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95" windowHeight="7830"/>
  </bookViews>
  <sheets>
    <sheet name="SF" sheetId="1" r:id="rId1"/>
  </sheets>
  <externalReferences>
    <externalReference r:id="rId2"/>
    <externalReference r:id="rId3"/>
  </externalReferences>
  <definedNames>
    <definedName name="_xlnm._FilterDatabase" localSheetId="0" hidden="1">SF!$A$1:$AB$116</definedName>
    <definedName name="_xlnm.Print_Area" localSheetId="0">SF!$E$1:$AX$116</definedName>
    <definedName name="_xlnm.Print_Titles" localSheetId="0">SF!$6:$6</definedName>
    <definedName name="女継新" localSheetId="0">#REF!</definedName>
    <definedName name="女継新">#REF!</definedName>
    <definedName name="女追加" localSheetId="0">#REF!</definedName>
    <definedName name="女追加">#REF!</definedName>
    <definedName name="男継新" localSheetId="0">#REF!</definedName>
    <definedName name="男継新">#REF!</definedName>
    <definedName name="男追加" localSheetId="0">#REF!</definedName>
    <definedName name="男追加">#REF!</definedName>
    <definedName name="登録日" localSheetId="0">[1]学校データ!#REF!</definedName>
    <definedName name="登録日">[1]学校データ!#REF!</definedName>
  </definedNames>
  <calcPr calcId="125725"/>
</workbook>
</file>

<file path=xl/calcChain.xml><?xml version="1.0" encoding="utf-8"?>
<calcChain xmlns="http://schemas.openxmlformats.org/spreadsheetml/2006/main">
  <c r="BM126" i="1"/>
  <c r="BM125"/>
  <c r="BN125" s="1"/>
  <c r="BM124"/>
  <c r="BN124" s="1"/>
  <c r="BM123"/>
  <c r="BN123" s="1"/>
  <c r="BM122"/>
  <c r="BN122" s="1"/>
  <c r="BM121"/>
  <c r="BN121" s="1"/>
  <c r="BM120"/>
  <c r="BN120" s="1"/>
  <c r="BM119"/>
  <c r="BM118"/>
  <c r="BN118" s="1"/>
  <c r="BF117"/>
  <c r="BC117"/>
  <c r="BM116"/>
  <c r="BN116" s="1"/>
  <c r="BI116"/>
  <c r="AY116"/>
  <c r="AJ116"/>
  <c r="AE116"/>
  <c r="AA116"/>
  <c r="Z116"/>
  <c r="U116"/>
  <c r="P116"/>
  <c r="BK116"/>
  <c r="C116"/>
  <c r="B116"/>
  <c r="A116"/>
  <c r="BM115"/>
  <c r="BN115" s="1"/>
  <c r="BL115"/>
  <c r="BK115"/>
  <c r="BC115"/>
  <c r="AJ115"/>
  <c r="AE115"/>
  <c r="AA115"/>
  <c r="Z115"/>
  <c r="U115"/>
  <c r="P115"/>
  <c r="A115"/>
  <c r="C115"/>
  <c r="B115"/>
  <c r="BM114"/>
  <c r="BN114" s="1"/>
  <c r="BC114"/>
  <c r="AJ114"/>
  <c r="AE114"/>
  <c r="AA114"/>
  <c r="Z114"/>
  <c r="U114"/>
  <c r="P114"/>
  <c r="C114"/>
  <c r="B114"/>
  <c r="BM113"/>
  <c r="BN113" s="1"/>
  <c r="BC113"/>
  <c r="BD113" s="1"/>
  <c r="AJ113"/>
  <c r="AE113"/>
  <c r="AA113"/>
  <c r="Z113"/>
  <c r="U113"/>
  <c r="P113"/>
  <c r="BK113"/>
  <c r="C113"/>
  <c r="B113"/>
  <c r="A113"/>
  <c r="BM112"/>
  <c r="BN112" s="1"/>
  <c r="BK112"/>
  <c r="BC112"/>
  <c r="BD112" s="1"/>
  <c r="AJ112"/>
  <c r="AE112"/>
  <c r="AA112"/>
  <c r="Z112"/>
  <c r="U112"/>
  <c r="P112"/>
  <c r="BL112"/>
  <c r="C112"/>
  <c r="B112"/>
  <c r="A112"/>
  <c r="BM111"/>
  <c r="BN111" s="1"/>
  <c r="BL111"/>
  <c r="BK111"/>
  <c r="BC111"/>
  <c r="AJ111"/>
  <c r="AE111"/>
  <c r="AA111"/>
  <c r="Z111"/>
  <c r="U111"/>
  <c r="P111"/>
  <c r="C111"/>
  <c r="B111"/>
  <c r="A111"/>
  <c r="BM110"/>
  <c r="BN110" s="1"/>
  <c r="BC110"/>
  <c r="AJ110"/>
  <c r="AE110"/>
  <c r="AA110"/>
  <c r="Z110"/>
  <c r="U110"/>
  <c r="P110"/>
  <c r="C110"/>
  <c r="B110"/>
  <c r="BM109"/>
  <c r="BN109" s="1"/>
  <c r="BC109"/>
  <c r="BD109" s="1"/>
  <c r="AJ109"/>
  <c r="AE109"/>
  <c r="AA109"/>
  <c r="Z109"/>
  <c r="U109"/>
  <c r="P109"/>
  <c r="BK109"/>
  <c r="C109"/>
  <c r="B109"/>
  <c r="A109"/>
  <c r="BM108"/>
  <c r="BN108" s="1"/>
  <c r="BK108"/>
  <c r="BD108"/>
  <c r="BE108" s="1"/>
  <c r="BC108"/>
  <c r="AJ108"/>
  <c r="AE108"/>
  <c r="AA108"/>
  <c r="Z108"/>
  <c r="U108"/>
  <c r="P108"/>
  <c r="BL108"/>
  <c r="C108"/>
  <c r="B108"/>
  <c r="A108"/>
  <c r="BM107"/>
  <c r="BN107" s="1"/>
  <c r="BL107"/>
  <c r="BK107"/>
  <c r="BC107"/>
  <c r="AJ107"/>
  <c r="AE107"/>
  <c r="AA107"/>
  <c r="Z107"/>
  <c r="U107"/>
  <c r="P107"/>
  <c r="C107"/>
  <c r="B107"/>
  <c r="A107"/>
  <c r="BM106"/>
  <c r="BN106" s="1"/>
  <c r="BC106"/>
  <c r="AJ106"/>
  <c r="AE106"/>
  <c r="AA106"/>
  <c r="Z106"/>
  <c r="U106"/>
  <c r="P106"/>
  <c r="C106"/>
  <c r="B106"/>
  <c r="BM105"/>
  <c r="BN105" s="1"/>
  <c r="BC105"/>
  <c r="BD105" s="1"/>
  <c r="AJ105"/>
  <c r="AE105"/>
  <c r="AA105"/>
  <c r="Z105"/>
  <c r="U105"/>
  <c r="P105"/>
  <c r="BK105"/>
  <c r="C105"/>
  <c r="B105"/>
  <c r="A105"/>
  <c r="BM104"/>
  <c r="BN104" s="1"/>
  <c r="BK104"/>
  <c r="BC104"/>
  <c r="BD104" s="1"/>
  <c r="BE104" s="1"/>
  <c r="AJ104"/>
  <c r="AE104"/>
  <c r="AA104"/>
  <c r="Z104"/>
  <c r="U104"/>
  <c r="P104"/>
  <c r="BL104"/>
  <c r="C104"/>
  <c r="B104"/>
  <c r="A104"/>
  <c r="BM103"/>
  <c r="BN103" s="1"/>
  <c r="BL103"/>
  <c r="BK103"/>
  <c r="BC103"/>
  <c r="BD103" s="1"/>
  <c r="AJ103"/>
  <c r="AE103"/>
  <c r="AA103"/>
  <c r="Z103"/>
  <c r="U103"/>
  <c r="P103"/>
  <c r="C103"/>
  <c r="B103"/>
  <c r="A103"/>
  <c r="BM102"/>
  <c r="BN102" s="1"/>
  <c r="BC102"/>
  <c r="AJ102"/>
  <c r="AE102"/>
  <c r="AA102"/>
  <c r="Z102"/>
  <c r="U102"/>
  <c r="P102"/>
  <c r="C102"/>
  <c r="B102"/>
  <c r="BN101"/>
  <c r="BM101"/>
  <c r="BC101"/>
  <c r="BD101" s="1"/>
  <c r="AJ101"/>
  <c r="AE101"/>
  <c r="AA101"/>
  <c r="Z101"/>
  <c r="U101"/>
  <c r="P101"/>
  <c r="BK101"/>
  <c r="C101"/>
  <c r="B101"/>
  <c r="A101"/>
  <c r="BM100"/>
  <c r="BN100" s="1"/>
  <c r="BK100"/>
  <c r="BC100"/>
  <c r="AJ100"/>
  <c r="AE100"/>
  <c r="AA100"/>
  <c r="Z100"/>
  <c r="U100"/>
  <c r="P100"/>
  <c r="BL100"/>
  <c r="C100"/>
  <c r="B100"/>
  <c r="A100"/>
  <c r="BM99"/>
  <c r="BN99" s="1"/>
  <c r="BL99"/>
  <c r="BK99"/>
  <c r="BD99"/>
  <c r="BE99" s="1"/>
  <c r="BC99"/>
  <c r="AJ99"/>
  <c r="AE99"/>
  <c r="AA99"/>
  <c r="Z99"/>
  <c r="U99"/>
  <c r="P99"/>
  <c r="C99"/>
  <c r="B99"/>
  <c r="A99"/>
  <c r="BM98"/>
  <c r="BN98" s="1"/>
  <c r="BC98"/>
  <c r="AJ98"/>
  <c r="AE98"/>
  <c r="AA98"/>
  <c r="Z98"/>
  <c r="U98"/>
  <c r="P98"/>
  <c r="C98"/>
  <c r="B98"/>
  <c r="BM97"/>
  <c r="BN97" s="1"/>
  <c r="BC97"/>
  <c r="BD97" s="1"/>
  <c r="AJ97"/>
  <c r="AE97"/>
  <c r="AA97"/>
  <c r="Z97"/>
  <c r="U97"/>
  <c r="P97"/>
  <c r="BK97"/>
  <c r="C97"/>
  <c r="B97"/>
  <c r="A97"/>
  <c r="BM96"/>
  <c r="BN96" s="1"/>
  <c r="BK96"/>
  <c r="BD96"/>
  <c r="BC96"/>
  <c r="AJ96"/>
  <c r="AE96"/>
  <c r="AA96"/>
  <c r="Z96"/>
  <c r="U96"/>
  <c r="P96"/>
  <c r="BL96"/>
  <c r="C96"/>
  <c r="B96"/>
  <c r="A96"/>
  <c r="BN95"/>
  <c r="BM95"/>
  <c r="BL95"/>
  <c r="BK95"/>
  <c r="BD95"/>
  <c r="BE95" s="1"/>
  <c r="BC95"/>
  <c r="AJ95"/>
  <c r="AE95"/>
  <c r="AA95"/>
  <c r="Z95"/>
  <c r="U95"/>
  <c r="P95"/>
  <c r="C95"/>
  <c r="B95"/>
  <c r="A95"/>
  <c r="BM94"/>
  <c r="BN94" s="1"/>
  <c r="BC94"/>
  <c r="AJ94"/>
  <c r="AE94"/>
  <c r="AA94"/>
  <c r="Z94"/>
  <c r="U94"/>
  <c r="P94"/>
  <c r="C94"/>
  <c r="B94"/>
  <c r="BM93"/>
  <c r="BN93" s="1"/>
  <c r="BD93"/>
  <c r="BC93"/>
  <c r="AJ93"/>
  <c r="AE93"/>
  <c r="AA93"/>
  <c r="Z93"/>
  <c r="U93"/>
  <c r="P93"/>
  <c r="BK93"/>
  <c r="C93"/>
  <c r="B93"/>
  <c r="A93"/>
  <c r="BN92"/>
  <c r="BM92"/>
  <c r="BK92"/>
  <c r="BD92"/>
  <c r="BC92"/>
  <c r="AJ92"/>
  <c r="AE92"/>
  <c r="AA92"/>
  <c r="Z92"/>
  <c r="U92"/>
  <c r="P92"/>
  <c r="BL92"/>
  <c r="C92"/>
  <c r="B92"/>
  <c r="A92"/>
  <c r="BN91"/>
  <c r="BM91"/>
  <c r="BL91"/>
  <c r="BK91"/>
  <c r="BC91"/>
  <c r="AJ91"/>
  <c r="AE91"/>
  <c r="AA91"/>
  <c r="Z91"/>
  <c r="U91"/>
  <c r="P91"/>
  <c r="C91"/>
  <c r="B91"/>
  <c r="A91"/>
  <c r="BM90"/>
  <c r="BN90" s="1"/>
  <c r="BC90"/>
  <c r="AJ90"/>
  <c r="AE90"/>
  <c r="AA90"/>
  <c r="Z90"/>
  <c r="U90"/>
  <c r="P90"/>
  <c r="C90"/>
  <c r="B90"/>
  <c r="BN89"/>
  <c r="BM89"/>
  <c r="BC89"/>
  <c r="BD89" s="1"/>
  <c r="AJ89"/>
  <c r="AE89"/>
  <c r="AA89"/>
  <c r="Z89"/>
  <c r="U89"/>
  <c r="P89"/>
  <c r="BK89"/>
  <c r="C89"/>
  <c r="B89"/>
  <c r="A89"/>
  <c r="BM88"/>
  <c r="BN88" s="1"/>
  <c r="BK88"/>
  <c r="BD88"/>
  <c r="BE88" s="1"/>
  <c r="BC88"/>
  <c r="AJ88"/>
  <c r="AE88"/>
  <c r="AA88"/>
  <c r="Z88"/>
  <c r="U88"/>
  <c r="P88"/>
  <c r="BL88"/>
  <c r="C88"/>
  <c r="B88"/>
  <c r="A88"/>
  <c r="BN87"/>
  <c r="BM87"/>
  <c r="BL87"/>
  <c r="BK87"/>
  <c r="BD87"/>
  <c r="BC87"/>
  <c r="AJ87"/>
  <c r="AE87"/>
  <c r="AA87"/>
  <c r="Z87"/>
  <c r="U87"/>
  <c r="P87"/>
  <c r="C87"/>
  <c r="B87"/>
  <c r="A87"/>
  <c r="BM86"/>
  <c r="BN86" s="1"/>
  <c r="BC86"/>
  <c r="AJ86"/>
  <c r="AE86"/>
  <c r="AA86"/>
  <c r="Z86"/>
  <c r="U86"/>
  <c r="P86"/>
  <c r="C86"/>
  <c r="B86"/>
  <c r="BM85"/>
  <c r="BN85" s="1"/>
  <c r="BC85"/>
  <c r="AJ85"/>
  <c r="AE85"/>
  <c r="AA85"/>
  <c r="Z85"/>
  <c r="U85"/>
  <c r="P85"/>
  <c r="BK85"/>
  <c r="C85"/>
  <c r="B85"/>
  <c r="A85"/>
  <c r="BM84"/>
  <c r="BN84" s="1"/>
  <c r="BK84"/>
  <c r="BC84"/>
  <c r="BD84" s="1"/>
  <c r="AJ84"/>
  <c r="AE84"/>
  <c r="AA84"/>
  <c r="Z84"/>
  <c r="U84"/>
  <c r="P84"/>
  <c r="BL84"/>
  <c r="C84"/>
  <c r="B84"/>
  <c r="A84"/>
  <c r="BM83"/>
  <c r="BN83" s="1"/>
  <c r="BL83"/>
  <c r="BK83"/>
  <c r="BC83"/>
  <c r="AJ83"/>
  <c r="AE83"/>
  <c r="AA83"/>
  <c r="Z83"/>
  <c r="U83"/>
  <c r="P83"/>
  <c r="C83"/>
  <c r="B83"/>
  <c r="A83"/>
  <c r="BM82"/>
  <c r="BN82" s="1"/>
  <c r="BC82"/>
  <c r="AJ82"/>
  <c r="AE82"/>
  <c r="AA82"/>
  <c r="Z82"/>
  <c r="U82"/>
  <c r="P82"/>
  <c r="C82"/>
  <c r="B82"/>
  <c r="BM81"/>
  <c r="BN81" s="1"/>
  <c r="BD81"/>
  <c r="BC81"/>
  <c r="AJ81"/>
  <c r="AE81"/>
  <c r="AA81"/>
  <c r="Z81"/>
  <c r="U81"/>
  <c r="P81"/>
  <c r="BK81"/>
  <c r="C81"/>
  <c r="B81"/>
  <c r="A81"/>
  <c r="BN80"/>
  <c r="BM80"/>
  <c r="BK80"/>
  <c r="BC80"/>
  <c r="BD80" s="1"/>
  <c r="AJ80"/>
  <c r="AE80"/>
  <c r="AA80"/>
  <c r="Z80"/>
  <c r="U80"/>
  <c r="P80"/>
  <c r="BL80"/>
  <c r="C80"/>
  <c r="B80"/>
  <c r="A80"/>
  <c r="BM79"/>
  <c r="BN79" s="1"/>
  <c r="BL79"/>
  <c r="BK79"/>
  <c r="BC79"/>
  <c r="BD79" s="1"/>
  <c r="AJ79"/>
  <c r="AE79"/>
  <c r="AA79"/>
  <c r="Z79"/>
  <c r="U79"/>
  <c r="P79"/>
  <c r="C79"/>
  <c r="B79"/>
  <c r="A79"/>
  <c r="BM78"/>
  <c r="BN78" s="1"/>
  <c r="BC78"/>
  <c r="AJ78"/>
  <c r="AE78"/>
  <c r="AA78"/>
  <c r="Z78"/>
  <c r="U78"/>
  <c r="P78"/>
  <c r="C78"/>
  <c r="B78"/>
  <c r="BM77"/>
  <c r="BN77" s="1"/>
  <c r="BC77"/>
  <c r="BD77" s="1"/>
  <c r="AJ77"/>
  <c r="AE77"/>
  <c r="AA77"/>
  <c r="Z77"/>
  <c r="U77"/>
  <c r="P77"/>
  <c r="BK77"/>
  <c r="C77"/>
  <c r="B77"/>
  <c r="A77"/>
  <c r="BM76"/>
  <c r="BN76" s="1"/>
  <c r="BK76"/>
  <c r="BC76"/>
  <c r="BD76" s="1"/>
  <c r="BE76" s="1"/>
  <c r="AJ76"/>
  <c r="AE76"/>
  <c r="AA76"/>
  <c r="Z76"/>
  <c r="U76"/>
  <c r="P76"/>
  <c r="BL76"/>
  <c r="C76"/>
  <c r="B76"/>
  <c r="A76"/>
  <c r="BM75"/>
  <c r="BN75" s="1"/>
  <c r="BL75"/>
  <c r="BK75"/>
  <c r="BC75"/>
  <c r="BD75" s="1"/>
  <c r="AJ75"/>
  <c r="AE75"/>
  <c r="AA75"/>
  <c r="Z75"/>
  <c r="U75"/>
  <c r="P75"/>
  <c r="C75"/>
  <c r="B75"/>
  <c r="A75"/>
  <c r="BM74"/>
  <c r="BN74" s="1"/>
  <c r="BC74"/>
  <c r="AJ74"/>
  <c r="AE74"/>
  <c r="AA74"/>
  <c r="Z74"/>
  <c r="U74"/>
  <c r="P74"/>
  <c r="C74"/>
  <c r="B74"/>
  <c r="BM73"/>
  <c r="BN73" s="1"/>
  <c r="BC73"/>
  <c r="BD73" s="1"/>
  <c r="AJ73"/>
  <c r="AE73"/>
  <c r="AA73"/>
  <c r="Z73"/>
  <c r="U73"/>
  <c r="P73"/>
  <c r="BK73"/>
  <c r="C73"/>
  <c r="B73"/>
  <c r="A73"/>
  <c r="BM72"/>
  <c r="BN72" s="1"/>
  <c r="BK72"/>
  <c r="BC72"/>
  <c r="BD72" s="1"/>
  <c r="AJ72"/>
  <c r="AE72"/>
  <c r="AA72"/>
  <c r="Z72"/>
  <c r="U72"/>
  <c r="P72"/>
  <c r="BL72"/>
  <c r="C72"/>
  <c r="B72"/>
  <c r="A72"/>
  <c r="BM71"/>
  <c r="BN71" s="1"/>
  <c r="BL71"/>
  <c r="BK71"/>
  <c r="BC71"/>
  <c r="BD71" s="1"/>
  <c r="AJ71"/>
  <c r="AE71"/>
  <c r="AA71"/>
  <c r="Z71"/>
  <c r="U71"/>
  <c r="P71"/>
  <c r="C71"/>
  <c r="B71"/>
  <c r="A71"/>
  <c r="BM70"/>
  <c r="BN70" s="1"/>
  <c r="BC70"/>
  <c r="AJ70"/>
  <c r="AE70"/>
  <c r="AA70"/>
  <c r="Z70"/>
  <c r="U70"/>
  <c r="P70"/>
  <c r="C70"/>
  <c r="B70"/>
  <c r="BN69"/>
  <c r="BM69"/>
  <c r="BC69"/>
  <c r="BD69" s="1"/>
  <c r="AJ69"/>
  <c r="AE69"/>
  <c r="AA69"/>
  <c r="Z69"/>
  <c r="U69"/>
  <c r="P69"/>
  <c r="BK69"/>
  <c r="C69"/>
  <c r="B69"/>
  <c r="A69"/>
  <c r="BM68"/>
  <c r="BN68" s="1"/>
  <c r="BK68"/>
  <c r="BC68"/>
  <c r="AJ68"/>
  <c r="AE68"/>
  <c r="AA68"/>
  <c r="Z68"/>
  <c r="U68"/>
  <c r="P68"/>
  <c r="BL68"/>
  <c r="C68"/>
  <c r="B68"/>
  <c r="A68"/>
  <c r="BM67"/>
  <c r="BN67" s="1"/>
  <c r="BL67"/>
  <c r="BK67"/>
  <c r="BC67"/>
  <c r="AJ67"/>
  <c r="AE67"/>
  <c r="AA67"/>
  <c r="Z67"/>
  <c r="U67"/>
  <c r="P67"/>
  <c r="C67"/>
  <c r="B67"/>
  <c r="A67"/>
  <c r="BM66"/>
  <c r="BN66" s="1"/>
  <c r="BC66"/>
  <c r="AJ66"/>
  <c r="AE66"/>
  <c r="AA66"/>
  <c r="Z66"/>
  <c r="U66"/>
  <c r="P66"/>
  <c r="C66"/>
  <c r="B66"/>
  <c r="BM65"/>
  <c r="BN65" s="1"/>
  <c r="BC65"/>
  <c r="BD65" s="1"/>
  <c r="AJ65"/>
  <c r="AE65"/>
  <c r="AA65"/>
  <c r="Z65"/>
  <c r="U65"/>
  <c r="P65"/>
  <c r="BK65"/>
  <c r="C65"/>
  <c r="B65"/>
  <c r="A65"/>
  <c r="BM64"/>
  <c r="BN64" s="1"/>
  <c r="BK64"/>
  <c r="BD64"/>
  <c r="BC64"/>
  <c r="AJ64"/>
  <c r="AE64"/>
  <c r="AA64"/>
  <c r="Z64"/>
  <c r="U64"/>
  <c r="P64"/>
  <c r="BL64"/>
  <c r="C64"/>
  <c r="B64"/>
  <c r="A64"/>
  <c r="BN63"/>
  <c r="BM63"/>
  <c r="BL63"/>
  <c r="BK63"/>
  <c r="BD63"/>
  <c r="BC63"/>
  <c r="AJ63"/>
  <c r="AE63"/>
  <c r="AA63"/>
  <c r="Z63"/>
  <c r="U63"/>
  <c r="P63"/>
  <c r="C63"/>
  <c r="B63"/>
  <c r="A63"/>
  <c r="BM62"/>
  <c r="BN62" s="1"/>
  <c r="BC62"/>
  <c r="AJ62"/>
  <c r="AE62"/>
  <c r="AA62"/>
  <c r="Z62"/>
  <c r="U62"/>
  <c r="P62"/>
  <c r="C62"/>
  <c r="B62"/>
  <c r="BM61"/>
  <c r="BN61" s="1"/>
  <c r="BD61"/>
  <c r="BC61"/>
  <c r="AJ61"/>
  <c r="AE61"/>
  <c r="AA61"/>
  <c r="Z61"/>
  <c r="U61"/>
  <c r="P61"/>
  <c r="BK61"/>
  <c r="C61"/>
  <c r="B61"/>
  <c r="A61"/>
  <c r="BN60"/>
  <c r="BM60"/>
  <c r="BK60"/>
  <c r="BC60"/>
  <c r="BD60" s="1"/>
  <c r="BE60" s="1"/>
  <c r="AJ60"/>
  <c r="AE60"/>
  <c r="AA60"/>
  <c r="Z60"/>
  <c r="U60"/>
  <c r="P60"/>
  <c r="BL60"/>
  <c r="C60"/>
  <c r="B60"/>
  <c r="A60"/>
  <c r="BM59"/>
  <c r="BN59" s="1"/>
  <c r="BL59"/>
  <c r="BK59"/>
  <c r="BC59"/>
  <c r="AJ59"/>
  <c r="AE59"/>
  <c r="AA59"/>
  <c r="Z59"/>
  <c r="U59"/>
  <c r="P59"/>
  <c r="A59"/>
  <c r="C59"/>
  <c r="B59"/>
  <c r="BM58"/>
  <c r="BN58" s="1"/>
  <c r="BC58"/>
  <c r="AJ58"/>
  <c r="AE58"/>
  <c r="AA58"/>
  <c r="Z58"/>
  <c r="U58"/>
  <c r="P58"/>
  <c r="C58"/>
  <c r="B58"/>
  <c r="BM57"/>
  <c r="BN57" s="1"/>
  <c r="BC57"/>
  <c r="BD57" s="1"/>
  <c r="AJ57"/>
  <c r="AE57"/>
  <c r="AA57"/>
  <c r="Z57"/>
  <c r="U57"/>
  <c r="P57"/>
  <c r="BK57"/>
  <c r="C57"/>
  <c r="B57"/>
  <c r="A57"/>
  <c r="BM56"/>
  <c r="BN56" s="1"/>
  <c r="BK56"/>
  <c r="BC56"/>
  <c r="BD56" s="1"/>
  <c r="BE56" s="1"/>
  <c r="AJ56"/>
  <c r="AE56"/>
  <c r="AA56"/>
  <c r="Z56"/>
  <c r="U56"/>
  <c r="P56"/>
  <c r="BL56"/>
  <c r="C56"/>
  <c r="B56"/>
  <c r="A56"/>
  <c r="BM55"/>
  <c r="BN55" s="1"/>
  <c r="BL55"/>
  <c r="BK55"/>
  <c r="BC55"/>
  <c r="AJ55"/>
  <c r="AE55"/>
  <c r="AA55"/>
  <c r="Z55"/>
  <c r="U55"/>
  <c r="P55"/>
  <c r="A55"/>
  <c r="C55"/>
  <c r="B55"/>
  <c r="BM54"/>
  <c r="BN54" s="1"/>
  <c r="BC54"/>
  <c r="AJ54"/>
  <c r="AE54"/>
  <c r="AA54"/>
  <c r="Z54"/>
  <c r="U54"/>
  <c r="P54"/>
  <c r="C54"/>
  <c r="B54"/>
  <c r="BM53"/>
  <c r="BN53" s="1"/>
  <c r="BC53"/>
  <c r="AJ53"/>
  <c r="AE53"/>
  <c r="AA53"/>
  <c r="Z53"/>
  <c r="U53"/>
  <c r="P53"/>
  <c r="BK53"/>
  <c r="C53"/>
  <c r="B53"/>
  <c r="A53"/>
  <c r="BM52"/>
  <c r="BN52" s="1"/>
  <c r="BK52"/>
  <c r="BC52"/>
  <c r="BD52" s="1"/>
  <c r="AJ52"/>
  <c r="AE52"/>
  <c r="AA52"/>
  <c r="Z52"/>
  <c r="U52"/>
  <c r="P52"/>
  <c r="BL52"/>
  <c r="C52"/>
  <c r="B52"/>
  <c r="A52"/>
  <c r="BM51"/>
  <c r="BN51" s="1"/>
  <c r="BL51"/>
  <c r="BK51"/>
  <c r="BC51"/>
  <c r="AJ51"/>
  <c r="AE51"/>
  <c r="AA51"/>
  <c r="Z51"/>
  <c r="U51"/>
  <c r="P51"/>
  <c r="A51"/>
  <c r="C51"/>
  <c r="B51"/>
  <c r="BM50"/>
  <c r="BN50" s="1"/>
  <c r="BL50"/>
  <c r="BC50"/>
  <c r="AJ50"/>
  <c r="AE50"/>
  <c r="AA50"/>
  <c r="Z50"/>
  <c r="U50"/>
  <c r="P50"/>
  <c r="C50"/>
  <c r="B50"/>
  <c r="BM49"/>
  <c r="BN49" s="1"/>
  <c r="BC49"/>
  <c r="BD49" s="1"/>
  <c r="AJ49"/>
  <c r="AE49"/>
  <c r="AA49"/>
  <c r="Z49"/>
  <c r="U49"/>
  <c r="P49"/>
  <c r="C49"/>
  <c r="B49"/>
  <c r="A49"/>
  <c r="BM48"/>
  <c r="BN48" s="1"/>
  <c r="BK48"/>
  <c r="BC48"/>
  <c r="BD48" s="1"/>
  <c r="AJ48"/>
  <c r="AE48"/>
  <c r="AA48"/>
  <c r="Z48"/>
  <c r="U48"/>
  <c r="P48"/>
  <c r="BL48"/>
  <c r="C48"/>
  <c r="B48"/>
  <c r="A48"/>
  <c r="BM47"/>
  <c r="BN47" s="1"/>
  <c r="BL47"/>
  <c r="BK47"/>
  <c r="BC47"/>
  <c r="AJ47"/>
  <c r="AE47"/>
  <c r="AA47"/>
  <c r="Z47"/>
  <c r="U47"/>
  <c r="P47"/>
  <c r="C47"/>
  <c r="B47"/>
  <c r="A47"/>
  <c r="BM46"/>
  <c r="BN46" s="1"/>
  <c r="BL46"/>
  <c r="BC46"/>
  <c r="AJ46"/>
  <c r="AE46"/>
  <c r="AA46"/>
  <c r="Z46"/>
  <c r="U46"/>
  <c r="P46"/>
  <c r="C46"/>
  <c r="B46"/>
  <c r="BM45"/>
  <c r="BN45" s="1"/>
  <c r="BC45"/>
  <c r="BD45" s="1"/>
  <c r="AJ45"/>
  <c r="AE45"/>
  <c r="AA45"/>
  <c r="Z45"/>
  <c r="U45"/>
  <c r="P45"/>
  <c r="C45"/>
  <c r="B45"/>
  <c r="A45"/>
  <c r="BM44"/>
  <c r="BN44" s="1"/>
  <c r="BK44"/>
  <c r="BD44"/>
  <c r="BE44" s="1"/>
  <c r="BC44"/>
  <c r="AJ44"/>
  <c r="AE44"/>
  <c r="AA44"/>
  <c r="Z44"/>
  <c r="U44"/>
  <c r="P44"/>
  <c r="BL44"/>
  <c r="C44"/>
  <c r="B44"/>
  <c r="A44"/>
  <c r="BN43"/>
  <c r="BM43"/>
  <c r="BL43"/>
  <c r="BK43"/>
  <c r="BB43"/>
  <c r="AJ43"/>
  <c r="AE43"/>
  <c r="AA43"/>
  <c r="Z43"/>
  <c r="U43"/>
  <c r="P43"/>
  <c r="C43"/>
  <c r="B43"/>
  <c r="A43"/>
  <c r="BM42"/>
  <c r="BN42" s="1"/>
  <c r="BL42"/>
  <c r="BB42"/>
  <c r="AJ42"/>
  <c r="AE42"/>
  <c r="AA42"/>
  <c r="Z42"/>
  <c r="U42"/>
  <c r="P42"/>
  <c r="C42"/>
  <c r="B42"/>
  <c r="BM41"/>
  <c r="BN41" s="1"/>
  <c r="BB41"/>
  <c r="BC41" s="1"/>
  <c r="AJ41"/>
  <c r="AE41"/>
  <c r="AA41"/>
  <c r="Z41"/>
  <c r="U41"/>
  <c r="P41"/>
  <c r="C41"/>
  <c r="B41"/>
  <c r="A41"/>
  <c r="BM40"/>
  <c r="BN40" s="1"/>
  <c r="BK40"/>
  <c r="BB40"/>
  <c r="BC40" s="1"/>
  <c r="AJ40"/>
  <c r="AE40"/>
  <c r="AA40"/>
  <c r="Z40"/>
  <c r="U40"/>
  <c r="P40"/>
  <c r="BL40"/>
  <c r="C40"/>
  <c r="B40"/>
  <c r="A40"/>
  <c r="BM39"/>
  <c r="BN39" s="1"/>
  <c r="BL39"/>
  <c r="BK39"/>
  <c r="BB39"/>
  <c r="BC39" s="1"/>
  <c r="AJ39"/>
  <c r="AE39"/>
  <c r="AA39"/>
  <c r="Z39"/>
  <c r="U39"/>
  <c r="P39"/>
  <c r="C39"/>
  <c r="B39"/>
  <c r="A39"/>
  <c r="BM38"/>
  <c r="BN38" s="1"/>
  <c r="BB38"/>
  <c r="AJ38"/>
  <c r="AE38"/>
  <c r="AA38"/>
  <c r="Z38"/>
  <c r="U38"/>
  <c r="P38"/>
  <c r="BL38"/>
  <c r="C38"/>
  <c r="B38"/>
  <c r="BM37"/>
  <c r="BN37" s="1"/>
  <c r="BB37"/>
  <c r="BC37" s="1"/>
  <c r="AJ37"/>
  <c r="AE37"/>
  <c r="AA37"/>
  <c r="Z37"/>
  <c r="U37"/>
  <c r="P37"/>
  <c r="C37"/>
  <c r="B37"/>
  <c r="BM36"/>
  <c r="BN36" s="1"/>
  <c r="BK36"/>
  <c r="BB36"/>
  <c r="BC36" s="1"/>
  <c r="AJ36"/>
  <c r="AE36"/>
  <c r="AA36"/>
  <c r="Z36"/>
  <c r="U36"/>
  <c r="P36"/>
  <c r="BL36"/>
  <c r="C36"/>
  <c r="B36"/>
  <c r="A36"/>
  <c r="BM35"/>
  <c r="BN35" s="1"/>
  <c r="BL35"/>
  <c r="BK35"/>
  <c r="BB35"/>
  <c r="BC35" s="1"/>
  <c r="AJ35"/>
  <c r="AE35"/>
  <c r="AA35"/>
  <c r="Z35"/>
  <c r="U35"/>
  <c r="P35"/>
  <c r="C35"/>
  <c r="B35"/>
  <c r="A35"/>
  <c r="BM34"/>
  <c r="BN34" s="1"/>
  <c r="BB34"/>
  <c r="AJ34"/>
  <c r="AE34"/>
  <c r="AA34"/>
  <c r="Z34"/>
  <c r="U34"/>
  <c r="P34"/>
  <c r="C34"/>
  <c r="B34"/>
  <c r="BM33"/>
  <c r="BN33" s="1"/>
  <c r="BB33"/>
  <c r="AJ33"/>
  <c r="AE33"/>
  <c r="AA33"/>
  <c r="Z33"/>
  <c r="U33"/>
  <c r="P33"/>
  <c r="C33"/>
  <c r="B33"/>
  <c r="BM32"/>
  <c r="BN32" s="1"/>
  <c r="BB32"/>
  <c r="BC32" s="1"/>
  <c r="BD32" s="1"/>
  <c r="AY32"/>
  <c r="AZ32"/>
  <c r="BE92" l="1"/>
  <c r="BF92" s="1"/>
  <c r="BG92" s="1"/>
  <c r="BE63"/>
  <c r="BF63" s="1"/>
  <c r="BD67"/>
  <c r="BE67" s="1"/>
  <c r="BE64"/>
  <c r="BF99"/>
  <c r="BG99" s="1"/>
  <c r="BD40"/>
  <c r="BF40" s="1"/>
  <c r="BE72"/>
  <c r="BE79"/>
  <c r="BF79" s="1"/>
  <c r="BG79" s="1"/>
  <c r="BE80"/>
  <c r="BF80" s="1"/>
  <c r="BG80" s="1"/>
  <c r="BE83"/>
  <c r="BF95"/>
  <c r="BD36"/>
  <c r="BE48"/>
  <c r="BF48" s="1"/>
  <c r="BG48" s="1"/>
  <c r="BD83"/>
  <c r="BE96"/>
  <c r="BE65"/>
  <c r="BF65" s="1"/>
  <c r="BG65" s="1"/>
  <c r="BE81"/>
  <c r="BF81" s="1"/>
  <c r="BG81" s="1"/>
  <c r="BE97"/>
  <c r="BF112"/>
  <c r="BG112" s="1"/>
  <c r="BD39"/>
  <c r="BE39" s="1"/>
  <c r="BE52"/>
  <c r="BF52" s="1"/>
  <c r="BG52" s="1"/>
  <c r="BC43"/>
  <c r="BD43" s="1"/>
  <c r="BD53"/>
  <c r="BF56"/>
  <c r="BD68"/>
  <c r="BE71"/>
  <c r="BF71" s="1"/>
  <c r="BG71" s="1"/>
  <c r="BF72"/>
  <c r="BG72" s="1"/>
  <c r="BD85"/>
  <c r="BE85" s="1"/>
  <c r="BE87"/>
  <c r="BF88"/>
  <c r="BG88" s="1"/>
  <c r="BD91"/>
  <c r="BE91" s="1"/>
  <c r="BG95"/>
  <c r="BD100"/>
  <c r="BE100" s="1"/>
  <c r="BE103"/>
  <c r="BF104"/>
  <c r="BG104" s="1"/>
  <c r="BE112"/>
  <c r="BE69"/>
  <c r="BF69" s="1"/>
  <c r="BG69" s="1"/>
  <c r="BF84"/>
  <c r="BE101"/>
  <c r="BD35"/>
  <c r="BE35" s="1"/>
  <c r="BF35" s="1"/>
  <c r="BE68"/>
  <c r="BF68" s="1"/>
  <c r="BG68" s="1"/>
  <c r="BE75"/>
  <c r="BE84"/>
  <c r="BF108"/>
  <c r="BG108" s="1"/>
  <c r="BJ64"/>
  <c r="BJ65"/>
  <c r="BJ80"/>
  <c r="BJ81"/>
  <c r="BJ96"/>
  <c r="BJ97"/>
  <c r="BJ112"/>
  <c r="BJ113"/>
  <c r="BJ50"/>
  <c r="BJ61"/>
  <c r="BJ44"/>
  <c r="BJ56"/>
  <c r="BJ57"/>
  <c r="BJ67"/>
  <c r="BJ77"/>
  <c r="BJ83"/>
  <c r="BJ93"/>
  <c r="BJ99"/>
  <c r="BJ109"/>
  <c r="BJ42"/>
  <c r="BJ52"/>
  <c r="BJ53"/>
  <c r="BJ114"/>
  <c r="BJ116"/>
  <c r="BJ41"/>
  <c r="BJ45"/>
  <c r="BJ49"/>
  <c r="BJ73"/>
  <c r="BJ88"/>
  <c r="BJ89"/>
  <c r="BJ104"/>
  <c r="BJ105"/>
  <c r="BJ39"/>
  <c r="BJ58"/>
  <c r="BJ59"/>
  <c r="BJ69"/>
  <c r="BJ78"/>
  <c r="BJ85"/>
  <c r="BJ94"/>
  <c r="BJ101"/>
  <c r="BJ110"/>
  <c r="BJ40"/>
  <c r="BJ48"/>
  <c r="BJ72"/>
  <c r="BJ37"/>
  <c r="BJ43"/>
  <c r="BJ90"/>
  <c r="BJ115"/>
  <c r="BJ36"/>
  <c r="BJ60"/>
  <c r="BJ63"/>
  <c r="BJ68"/>
  <c r="BJ76"/>
  <c r="BJ79"/>
  <c r="BJ84"/>
  <c r="BJ92"/>
  <c r="BJ95"/>
  <c r="BJ100"/>
  <c r="BJ108"/>
  <c r="BJ74"/>
  <c r="BJ106"/>
  <c r="BJ33"/>
  <c r="BJ62"/>
  <c r="BK33"/>
  <c r="BL33"/>
  <c r="A34"/>
  <c r="BK34"/>
  <c r="BC34"/>
  <c r="BD34" s="1"/>
  <c r="A82"/>
  <c r="BK82"/>
  <c r="BL82"/>
  <c r="BD98"/>
  <c r="BE98" s="1"/>
  <c r="BC38"/>
  <c r="A54"/>
  <c r="BL54"/>
  <c r="BK54"/>
  <c r="BD54"/>
  <c r="BE54" s="1"/>
  <c r="BF54" s="1"/>
  <c r="A70"/>
  <c r="BL70"/>
  <c r="BK70"/>
  <c r="BD70"/>
  <c r="A86"/>
  <c r="BK86"/>
  <c r="BL86"/>
  <c r="BD86"/>
  <c r="A102"/>
  <c r="BK102"/>
  <c r="BL102"/>
  <c r="BD102"/>
  <c r="BK41"/>
  <c r="BL41"/>
  <c r="BD41"/>
  <c r="A42"/>
  <c r="BK42"/>
  <c r="BC42"/>
  <c r="BK49"/>
  <c r="BL49"/>
  <c r="BE49"/>
  <c r="A50"/>
  <c r="BK50"/>
  <c r="BD50"/>
  <c r="A58"/>
  <c r="BK58"/>
  <c r="BL58"/>
  <c r="BD58"/>
  <c r="BE58" s="1"/>
  <c r="A74"/>
  <c r="BL74"/>
  <c r="BK74"/>
  <c r="BD74"/>
  <c r="A90"/>
  <c r="BK90"/>
  <c r="BL90"/>
  <c r="BD90"/>
  <c r="BE90" s="1"/>
  <c r="BF90" s="1"/>
  <c r="A106"/>
  <c r="BK106"/>
  <c r="BL106"/>
  <c r="BD106"/>
  <c r="A110"/>
  <c r="BL110"/>
  <c r="BK110"/>
  <c r="BD110"/>
  <c r="BE110" s="1"/>
  <c r="BF110" s="1"/>
  <c r="A114"/>
  <c r="BK114"/>
  <c r="BL114"/>
  <c r="BD114"/>
  <c r="BF44"/>
  <c r="BG44" s="1"/>
  <c r="BE32"/>
  <c r="BF32" s="1"/>
  <c r="BJ46"/>
  <c r="BJ47"/>
  <c r="BJ51"/>
  <c r="BE57"/>
  <c r="BF57" s="1"/>
  <c r="BJ71"/>
  <c r="BE73"/>
  <c r="BF73" s="1"/>
  <c r="BG73" s="1"/>
  <c r="BJ87"/>
  <c r="BE89"/>
  <c r="BF89" s="1"/>
  <c r="BG89" s="1"/>
  <c r="BJ103"/>
  <c r="BE105"/>
  <c r="BF105" s="1"/>
  <c r="BG105" s="1"/>
  <c r="BE109"/>
  <c r="BF109" s="1"/>
  <c r="BG109" s="1"/>
  <c r="BE113"/>
  <c r="BF113" s="1"/>
  <c r="BG113" s="1"/>
  <c r="A33"/>
  <c r="BJ34"/>
  <c r="BJ35"/>
  <c r="BE36"/>
  <c r="BF36" s="1"/>
  <c r="BJ55"/>
  <c r="BF60"/>
  <c r="BG60" s="1"/>
  <c r="BE61"/>
  <c r="BF61" s="1"/>
  <c r="BG61" s="1"/>
  <c r="BJ66"/>
  <c r="BJ75"/>
  <c r="BF76"/>
  <c r="BE77"/>
  <c r="BF77" s="1"/>
  <c r="BJ82"/>
  <c r="BJ91"/>
  <c r="BE93"/>
  <c r="BF93" s="1"/>
  <c r="BJ98"/>
  <c r="BJ107"/>
  <c r="BJ111"/>
  <c r="A66"/>
  <c r="BL66"/>
  <c r="BK66"/>
  <c r="BD66"/>
  <c r="BD82"/>
  <c r="BE82" s="1"/>
  <c r="A98"/>
  <c r="BK98"/>
  <c r="BL98"/>
  <c r="BK37"/>
  <c r="BL37"/>
  <c r="BD37"/>
  <c r="BE37" s="1"/>
  <c r="A38"/>
  <c r="BK38"/>
  <c r="BK45"/>
  <c r="BL45"/>
  <c r="BE45"/>
  <c r="BF45" s="1"/>
  <c r="A46"/>
  <c r="BK46"/>
  <c r="BD46"/>
  <c r="A62"/>
  <c r="BL62"/>
  <c r="BK62"/>
  <c r="BD62"/>
  <c r="BE62" s="1"/>
  <c r="A78"/>
  <c r="BK78"/>
  <c r="BL78"/>
  <c r="BD78"/>
  <c r="A94"/>
  <c r="BL94"/>
  <c r="BK94"/>
  <c r="BD94"/>
  <c r="BE94" s="1"/>
  <c r="BF94" s="1"/>
  <c r="BG94" s="1"/>
  <c r="BL34"/>
  <c r="BC33"/>
  <c r="BD33" s="1"/>
  <c r="A37"/>
  <c r="BJ38"/>
  <c r="BE40"/>
  <c r="BJ54"/>
  <c r="BF64"/>
  <c r="BJ70"/>
  <c r="BJ86"/>
  <c r="BF96"/>
  <c r="BG96" s="1"/>
  <c r="BJ102"/>
  <c r="BD47"/>
  <c r="BD51"/>
  <c r="BL53"/>
  <c r="BD55"/>
  <c r="BG56"/>
  <c r="BL57"/>
  <c r="BD59"/>
  <c r="BL61"/>
  <c r="BG64"/>
  <c r="BL65"/>
  <c r="BL69"/>
  <c r="BL73"/>
  <c r="BG76"/>
  <c r="BL77"/>
  <c r="BL81"/>
  <c r="BG84"/>
  <c r="BL85"/>
  <c r="BL89"/>
  <c r="BL93"/>
  <c r="BF97"/>
  <c r="BG97" s="1"/>
  <c r="BL97"/>
  <c r="BF101"/>
  <c r="BG101" s="1"/>
  <c r="BL101"/>
  <c r="BL105"/>
  <c r="BD107"/>
  <c r="BL109"/>
  <c r="BD111"/>
  <c r="BL113"/>
  <c r="BD115"/>
  <c r="BL116"/>
  <c r="AX32"/>
  <c r="AW32"/>
  <c r="AJ32"/>
  <c r="AE32"/>
  <c r="AA32"/>
  <c r="Z32"/>
  <c r="U32"/>
  <c r="P32"/>
  <c r="C32"/>
  <c r="B32"/>
  <c r="A32"/>
  <c r="BM31"/>
  <c r="BN31" s="1"/>
  <c r="BB31"/>
  <c r="BC31" s="1"/>
  <c r="AZ31"/>
  <c r="AY31"/>
  <c r="BF67" l="1"/>
  <c r="BG67"/>
  <c r="BG57"/>
  <c r="BF86"/>
  <c r="BE86"/>
  <c r="BG63"/>
  <c r="BG83"/>
  <c r="BF83"/>
  <c r="BF91"/>
  <c r="BG91" s="1"/>
  <c r="BF103"/>
  <c r="BG103" s="1"/>
  <c r="BF85"/>
  <c r="BG85" s="1"/>
  <c r="BE43"/>
  <c r="BF43" s="1"/>
  <c r="BF75"/>
  <c r="BG75" s="1"/>
  <c r="BG77"/>
  <c r="BF100"/>
  <c r="BG100" s="1"/>
  <c r="BE53"/>
  <c r="BF53" s="1"/>
  <c r="BF62"/>
  <c r="BG62" s="1"/>
  <c r="BF58"/>
  <c r="BG58" s="1"/>
  <c r="BF87"/>
  <c r="BG87" s="1"/>
  <c r="BG93"/>
  <c r="BF39"/>
  <c r="BE34"/>
  <c r="BF34" s="1"/>
  <c r="BE59"/>
  <c r="BF59" s="1"/>
  <c r="BG59" s="1"/>
  <c r="BE51"/>
  <c r="BE111"/>
  <c r="BF111" s="1"/>
  <c r="BG111" s="1"/>
  <c r="BE47"/>
  <c r="BJ32"/>
  <c r="BF37"/>
  <c r="BE33"/>
  <c r="BF33" s="1"/>
  <c r="BF98"/>
  <c r="BG98" s="1"/>
  <c r="BF82"/>
  <c r="BG82" s="1"/>
  <c r="BE66"/>
  <c r="BE70"/>
  <c r="BF70" s="1"/>
  <c r="BG45"/>
  <c r="BE55"/>
  <c r="BE115"/>
  <c r="BE107"/>
  <c r="BL32"/>
  <c r="BK32"/>
  <c r="BD31"/>
  <c r="BE31" s="1"/>
  <c r="BF31" s="1"/>
  <c r="BE78"/>
  <c r="BF78" s="1"/>
  <c r="BG78" s="1"/>
  <c r="BE46"/>
  <c r="BF46" s="1"/>
  <c r="BE114"/>
  <c r="BF114" s="1"/>
  <c r="BG110"/>
  <c r="BE106"/>
  <c r="BF106" s="1"/>
  <c r="BG90"/>
  <c r="BE74"/>
  <c r="BF74" s="1"/>
  <c r="BE50"/>
  <c r="BF50" s="1"/>
  <c r="BG50" s="1"/>
  <c r="BF49"/>
  <c r="BG49" s="1"/>
  <c r="BD42"/>
  <c r="BE41"/>
  <c r="BF41" s="1"/>
  <c r="BE102"/>
  <c r="BF102" s="1"/>
  <c r="BG102" s="1"/>
  <c r="BG86"/>
  <c r="BG54"/>
  <c r="BD38"/>
  <c r="BE38" s="1"/>
  <c r="AX31"/>
  <c r="AW31"/>
  <c r="AJ31"/>
  <c r="AE31"/>
  <c r="AA31"/>
  <c r="Z31"/>
  <c r="U31"/>
  <c r="P31"/>
  <c r="C31"/>
  <c r="B31"/>
  <c r="BM30"/>
  <c r="BN30" s="1"/>
  <c r="BC30"/>
  <c r="BD30" s="1"/>
  <c r="BB30"/>
  <c r="AY30"/>
  <c r="AZ30"/>
  <c r="BG53" l="1"/>
  <c r="BE30"/>
  <c r="BF30" s="1"/>
  <c r="BF107"/>
  <c r="BG107" s="1"/>
  <c r="BG46"/>
  <c r="BF55"/>
  <c r="BG55" s="1"/>
  <c r="BG70"/>
  <c r="BG106"/>
  <c r="BG114"/>
  <c r="BE42"/>
  <c r="BF42" s="1"/>
  <c r="BG74"/>
  <c r="BF47"/>
  <c r="BG47" s="1"/>
  <c r="BF51"/>
  <c r="BG51" s="1"/>
  <c r="BF66"/>
  <c r="BG66" s="1"/>
  <c r="BJ31"/>
  <c r="BF38"/>
  <c r="BF115"/>
  <c r="BG115" s="1"/>
  <c r="BK31"/>
  <c r="BL31"/>
  <c r="A31"/>
  <c r="AX30"/>
  <c r="AW30"/>
  <c r="AJ30"/>
  <c r="AE30"/>
  <c r="AA30"/>
  <c r="Z30"/>
  <c r="U30"/>
  <c r="P30"/>
  <c r="A30"/>
  <c r="C30"/>
  <c r="B30"/>
  <c r="BM29"/>
  <c r="BN29" s="1"/>
  <c r="BB29"/>
  <c r="BC29" s="1"/>
  <c r="AZ29"/>
  <c r="AY29"/>
  <c r="BD29" l="1"/>
  <c r="BE29" s="1"/>
  <c r="BF29" s="1"/>
  <c r="BK30"/>
  <c r="BL30"/>
  <c r="BJ30"/>
  <c r="AX29"/>
  <c r="AW29"/>
  <c r="AJ29"/>
  <c r="AE29"/>
  <c r="AA29"/>
  <c r="Z29"/>
  <c r="U29"/>
  <c r="P29"/>
  <c r="A29"/>
  <c r="C29"/>
  <c r="B29"/>
  <c r="BM28"/>
  <c r="BN28" s="1"/>
  <c r="BB28"/>
  <c r="BC28" s="1"/>
  <c r="AZ28"/>
  <c r="AY28"/>
  <c r="BD28" l="1"/>
  <c r="BE28" s="1"/>
  <c r="BL29"/>
  <c r="BK29"/>
  <c r="BJ29"/>
  <c r="AX28"/>
  <c r="AW28"/>
  <c r="AJ28"/>
  <c r="AE28"/>
  <c r="AA28"/>
  <c r="Z28"/>
  <c r="U28"/>
  <c r="P28"/>
  <c r="A28"/>
  <c r="C28"/>
  <c r="B28"/>
  <c r="BM27"/>
  <c r="BN27" s="1"/>
  <c r="BB27"/>
  <c r="BC27" s="1"/>
  <c r="AZ27"/>
  <c r="AY27"/>
  <c r="BF28" l="1"/>
  <c r="BJ28"/>
  <c r="BD27"/>
  <c r="BE27" s="1"/>
  <c r="BF27" s="1"/>
  <c r="BK28"/>
  <c r="BL28"/>
  <c r="AX27"/>
  <c r="AW27"/>
  <c r="BA27" s="1"/>
  <c r="AJ27"/>
  <c r="AE27"/>
  <c r="AA27"/>
  <c r="Z27"/>
  <c r="U27"/>
  <c r="P27"/>
  <c r="A27"/>
  <c r="C27"/>
  <c r="B27"/>
  <c r="BM26"/>
  <c r="BN26" s="1"/>
  <c r="BL26"/>
  <c r="BB26"/>
  <c r="BC26" s="1"/>
  <c r="AJ26"/>
  <c r="AE26"/>
  <c r="AA26"/>
  <c r="Z26"/>
  <c r="U26"/>
  <c r="P26"/>
  <c r="BK26"/>
  <c r="C26"/>
  <c r="B26"/>
  <c r="A26"/>
  <c r="BM25"/>
  <c r="BN25" s="1"/>
  <c r="BB25"/>
  <c r="AJ25"/>
  <c r="AE25"/>
  <c r="AA25"/>
  <c r="Z25"/>
  <c r="U25"/>
  <c r="P25"/>
  <c r="A25"/>
  <c r="C25"/>
  <c r="B25"/>
  <c r="BM24"/>
  <c r="BN24" s="1"/>
  <c r="BB24"/>
  <c r="BC24" s="1"/>
  <c r="AT22"/>
  <c r="AJ24"/>
  <c r="AE24"/>
  <c r="AA24"/>
  <c r="Z24"/>
  <c r="U24"/>
  <c r="P24"/>
  <c r="BK24"/>
  <c r="C24"/>
  <c r="B24"/>
  <c r="A24"/>
  <c r="BM23"/>
  <c r="BN23" s="1"/>
  <c r="BB23"/>
  <c r="AY23"/>
  <c r="AZ23"/>
  <c r="BC23" l="1"/>
  <c r="BD23" s="1"/>
  <c r="BD24"/>
  <c r="BJ24"/>
  <c r="BJ26"/>
  <c r="BJ25"/>
  <c r="BE24"/>
  <c r="BL24"/>
  <c r="BC25"/>
  <c r="BD26"/>
  <c r="BE26" s="1"/>
  <c r="BF26" s="1"/>
  <c r="BK27"/>
  <c r="BL27"/>
  <c r="BL25"/>
  <c r="BF24"/>
  <c r="BK25"/>
  <c r="BJ27"/>
  <c r="AX23"/>
  <c r="AW23"/>
  <c r="AT21"/>
  <c r="AT23" s="1"/>
  <c r="AT24" s="1"/>
  <c r="AJ23"/>
  <c r="AE23"/>
  <c r="AA23"/>
  <c r="Z23"/>
  <c r="U23"/>
  <c r="P23"/>
  <c r="C23"/>
  <c r="B23"/>
  <c r="BM22"/>
  <c r="BN22" s="1"/>
  <c r="BB22"/>
  <c r="BC22" s="1"/>
  <c r="AY22"/>
  <c r="AZ22"/>
  <c r="BE23" l="1"/>
  <c r="BF23" s="1"/>
  <c r="BD22"/>
  <c r="BK23"/>
  <c r="BL23"/>
  <c r="BD25"/>
  <c r="BE25" s="1"/>
  <c r="BF25" s="1"/>
  <c r="BE22"/>
  <c r="BF22" s="1"/>
  <c r="BJ23"/>
  <c r="A23"/>
  <c r="AX22"/>
  <c r="AW22"/>
  <c r="AJ22"/>
  <c r="AE22"/>
  <c r="AA22"/>
  <c r="Z22"/>
  <c r="U22"/>
  <c r="P22"/>
  <c r="C22"/>
  <c r="B22"/>
  <c r="A22"/>
  <c r="BM21"/>
  <c r="BN21" s="1"/>
  <c r="BB21"/>
  <c r="BC21" s="1"/>
  <c r="AY21"/>
  <c r="AZ21"/>
  <c r="BK22" l="1"/>
  <c r="BL22"/>
  <c r="BJ22"/>
  <c r="BD21"/>
  <c r="BE21" s="1"/>
  <c r="AX21"/>
  <c r="AW21"/>
  <c r="AJ21"/>
  <c r="AE21"/>
  <c r="AA21"/>
  <c r="Z21"/>
  <c r="U21"/>
  <c r="P21"/>
  <c r="A21"/>
  <c r="C21"/>
  <c r="B21"/>
  <c r="BM20"/>
  <c r="BN20" s="1"/>
  <c r="BB20"/>
  <c r="BC20" s="1"/>
  <c r="AY20"/>
  <c r="AZ20"/>
  <c r="BJ21" l="1"/>
  <c r="BD20"/>
  <c r="BE20" s="1"/>
  <c r="BF21"/>
  <c r="BK21"/>
  <c r="BL21"/>
  <c r="AX20"/>
  <c r="AW20"/>
  <c r="AJ20"/>
  <c r="AE20"/>
  <c r="AA20"/>
  <c r="Z20"/>
  <c r="U20"/>
  <c r="P20"/>
  <c r="C20"/>
  <c r="B20"/>
  <c r="A20"/>
  <c r="BM19"/>
  <c r="BN19" s="1"/>
  <c r="BB19"/>
  <c r="BC19" s="1"/>
  <c r="AY19"/>
  <c r="AZ19"/>
  <c r="BD19" l="1"/>
  <c r="BJ20"/>
  <c r="BK20"/>
  <c r="BL20"/>
  <c r="BF20"/>
  <c r="AX19"/>
  <c r="AW19"/>
  <c r="AJ19"/>
  <c r="AE19"/>
  <c r="AA19"/>
  <c r="Z19"/>
  <c r="U19"/>
  <c r="P19"/>
  <c r="C19"/>
  <c r="B19"/>
  <c r="A19"/>
  <c r="BN18"/>
  <c r="BM18"/>
  <c r="BC18"/>
  <c r="BB18"/>
  <c r="BD18" s="1"/>
  <c r="AZ18"/>
  <c r="AY18"/>
  <c r="BE18" l="1"/>
  <c r="BF18" s="1"/>
  <c r="BE19"/>
  <c r="BF19" s="1"/>
  <c r="BJ19"/>
  <c r="BK19"/>
  <c r="BL19"/>
  <c r="AX18"/>
  <c r="AW18"/>
  <c r="BA18" s="1"/>
  <c r="AJ18"/>
  <c r="AE18"/>
  <c r="AA18"/>
  <c r="Z18"/>
  <c r="U18"/>
  <c r="P18"/>
  <c r="C18"/>
  <c r="B18"/>
  <c r="BM17"/>
  <c r="BN17" s="1"/>
  <c r="BC17"/>
  <c r="BB17"/>
  <c r="AJ17"/>
  <c r="AE17"/>
  <c r="AA17"/>
  <c r="Z17"/>
  <c r="U17"/>
  <c r="P17"/>
  <c r="BK17"/>
  <c r="C17"/>
  <c r="B17"/>
  <c r="BM16"/>
  <c r="BN16" s="1"/>
  <c r="BB16"/>
  <c r="BC16" s="1"/>
  <c r="AJ16"/>
  <c r="AE16"/>
  <c r="AA16"/>
  <c r="Z16"/>
  <c r="U16"/>
  <c r="P16"/>
  <c r="BK16"/>
  <c r="C16"/>
  <c r="B16"/>
  <c r="A16"/>
  <c r="BM15"/>
  <c r="BN15" s="1"/>
  <c r="BK15"/>
  <c r="BB15"/>
  <c r="BC15" s="1"/>
  <c r="AJ15"/>
  <c r="AE15"/>
  <c r="AA15"/>
  <c r="Z15"/>
  <c r="U15"/>
  <c r="P15"/>
  <c r="BL15"/>
  <c r="C15"/>
  <c r="B15"/>
  <c r="BM14"/>
  <c r="BN14" s="1"/>
  <c r="BB14"/>
  <c r="BC14" s="1"/>
  <c r="AY14"/>
  <c r="AZ14"/>
  <c r="BD17" l="1"/>
  <c r="BD15"/>
  <c r="BE15" s="1"/>
  <c r="BJ15"/>
  <c r="BJ16"/>
  <c r="BJ17"/>
  <c r="BL16"/>
  <c r="BD14"/>
  <c r="BE14" s="1"/>
  <c r="BF14" s="1"/>
  <c r="A15"/>
  <c r="BD16"/>
  <c r="BE16" s="1"/>
  <c r="BF16" s="1"/>
  <c r="A17"/>
  <c r="BE17"/>
  <c r="BL17"/>
  <c r="BJ18"/>
  <c r="BK18"/>
  <c r="BL18"/>
  <c r="A18"/>
  <c r="AX14"/>
  <c r="AW14"/>
  <c r="AJ14"/>
  <c r="AE14"/>
  <c r="AA14"/>
  <c r="Z14"/>
  <c r="U14"/>
  <c r="P14"/>
  <c r="C14"/>
  <c r="B14"/>
  <c r="BM13"/>
  <c r="BN13" s="1"/>
  <c r="BB13"/>
  <c r="BC13" s="1"/>
  <c r="AY13"/>
  <c r="AZ13"/>
  <c r="BF15" l="1"/>
  <c r="BF17"/>
  <c r="BD13"/>
  <c r="BK14"/>
  <c r="BL14"/>
  <c r="BJ14"/>
  <c r="A14"/>
  <c r="AX13"/>
  <c r="AW13"/>
  <c r="AJ13"/>
  <c r="AE13"/>
  <c r="AA13"/>
  <c r="Z13"/>
  <c r="U13"/>
  <c r="P13"/>
  <c r="C13"/>
  <c r="B13"/>
  <c r="A13"/>
  <c r="BM12"/>
  <c r="BN12" s="1"/>
  <c r="BB12"/>
  <c r="BC12" s="1"/>
  <c r="AZ12"/>
  <c r="AY12"/>
  <c r="BE13" l="1"/>
  <c r="BF13" s="1"/>
  <c r="BK13"/>
  <c r="BL13"/>
  <c r="BJ13"/>
  <c r="BD12"/>
  <c r="BE12" s="1"/>
  <c r="BF12" s="1"/>
  <c r="AX12"/>
  <c r="AW12"/>
  <c r="AJ12"/>
  <c r="AE12"/>
  <c r="AA12"/>
  <c r="Z12"/>
  <c r="U12"/>
  <c r="P12"/>
  <c r="C12"/>
  <c r="B12"/>
  <c r="BM11"/>
  <c r="BN11" s="1"/>
  <c r="BB11"/>
  <c r="BC11" s="1"/>
  <c r="AY11"/>
  <c r="AZ11"/>
  <c r="BD11" l="1"/>
  <c r="BE11" s="1"/>
  <c r="BF11" s="1"/>
  <c r="BL12"/>
  <c r="BK12"/>
  <c r="BJ12"/>
  <c r="A12"/>
  <c r="AX11"/>
  <c r="AW11"/>
  <c r="AJ11"/>
  <c r="AE11"/>
  <c r="AA11"/>
  <c r="Z11"/>
  <c r="U11"/>
  <c r="P11"/>
  <c r="C11"/>
  <c r="B11"/>
  <c r="BN10"/>
  <c r="BM10"/>
  <c r="BC10"/>
  <c r="BB10"/>
  <c r="AY10"/>
  <c r="AZ10"/>
  <c r="BD10" l="1"/>
  <c r="BK11"/>
  <c r="BL11"/>
  <c r="BE10"/>
  <c r="BF10" s="1"/>
  <c r="BJ11"/>
  <c r="A11"/>
  <c r="AX10"/>
  <c r="AW10"/>
  <c r="AJ10"/>
  <c r="AE10"/>
  <c r="AA10"/>
  <c r="Z10"/>
  <c r="U10"/>
  <c r="P10"/>
  <c r="C10"/>
  <c r="B10"/>
  <c r="BM9"/>
  <c r="BN9" s="1"/>
  <c r="BC9"/>
  <c r="BB9"/>
  <c r="AZ9"/>
  <c r="AY9"/>
  <c r="BD9" l="1"/>
  <c r="BE9" s="1"/>
  <c r="BF9" s="1"/>
  <c r="AP117"/>
  <c r="AQ117"/>
  <c r="BJ10"/>
  <c r="BK10"/>
  <c r="BL10"/>
  <c r="A10"/>
  <c r="AX9"/>
  <c r="AW9"/>
  <c r="BA9" s="1"/>
  <c r="AR117" s="1"/>
  <c r="AJ9"/>
  <c r="AE9"/>
  <c r="AA9"/>
  <c r="Z9"/>
  <c r="U9"/>
  <c r="P9"/>
  <c r="C9"/>
  <c r="B9"/>
  <c r="A9"/>
  <c r="BM8"/>
  <c r="BN8" s="1"/>
  <c r="BL8"/>
  <c r="BB8"/>
  <c r="AJ8"/>
  <c r="AE8"/>
  <c r="AA8"/>
  <c r="Z8"/>
  <c r="U8"/>
  <c r="P8"/>
  <c r="C8"/>
  <c r="B8"/>
  <c r="A8"/>
  <c r="BM7"/>
  <c r="BM117" s="1"/>
  <c r="BB7"/>
  <c r="BC7" s="1"/>
  <c r="AJ7"/>
  <c r="AE7"/>
  <c r="AW8" s="1"/>
  <c r="AA7"/>
  <c r="Z7"/>
  <c r="U7"/>
  <c r="P7"/>
  <c r="C7"/>
  <c r="B7"/>
  <c r="A7"/>
  <c r="O3"/>
  <c r="AT10" l="1"/>
  <c r="AT9"/>
  <c r="AT7"/>
  <c r="AT8"/>
  <c r="BN7"/>
  <c r="BN117" s="1"/>
  <c r="BN119" s="1"/>
  <c r="AD4" s="1"/>
  <c r="BD7"/>
  <c r="BE7" s="1"/>
  <c r="BF7" s="1"/>
  <c r="BJ8"/>
  <c r="BJ9"/>
  <c r="AT14"/>
  <c r="AT16"/>
  <c r="AT15"/>
  <c r="AT13"/>
  <c r="AW26"/>
  <c r="AW17"/>
  <c r="BK9"/>
  <c r="BL9"/>
  <c r="BJ7"/>
  <c r="BK8"/>
  <c r="BC8"/>
  <c r="BL7" l="1"/>
  <c r="I4" s="1"/>
  <c r="BK7"/>
  <c r="I3" s="1"/>
  <c r="BD8"/>
  <c r="AT11"/>
  <c r="AT17"/>
  <c r="O4" l="1"/>
  <c r="BE8"/>
  <c r="BF8" s="1"/>
  <c r="AT18"/>
</calcChain>
</file>

<file path=xl/comments1.xml><?xml version="1.0" encoding="utf-8"?>
<comments xmlns="http://schemas.openxmlformats.org/spreadsheetml/2006/main">
  <authors>
    <author>NANS21</author>
  </authors>
  <commentLis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男は　1
女は　2</t>
        </r>
      </text>
    </comment>
  </commentList>
</comments>
</file>

<file path=xl/sharedStrings.xml><?xml version="1.0" encoding="utf-8"?>
<sst xmlns="http://schemas.openxmlformats.org/spreadsheetml/2006/main" count="73" uniqueCount="53">
  <si>
    <t>所属名</t>
    <rPh sb="0" eb="2">
      <t>ショゾク</t>
    </rPh>
    <rPh sb="2" eb="3">
      <t>メイ</t>
    </rPh>
    <phoneticPr fontId="6"/>
  </si>
  <si>
    <t>みえスポーツフェスティバル</t>
    <phoneticPr fontId="6"/>
  </si>
  <si>
    <t>所属コード</t>
    <rPh sb="0" eb="2">
      <t>ショゾク</t>
    </rPh>
    <phoneticPr fontId="6"/>
  </si>
  <si>
    <t>男子参加人数</t>
    <rPh sb="0" eb="2">
      <t>ダンシ</t>
    </rPh>
    <rPh sb="2" eb="4">
      <t>サンカ</t>
    </rPh>
    <rPh sb="4" eb="6">
      <t>ニンズウ</t>
    </rPh>
    <phoneticPr fontId="6"/>
  </si>
  <si>
    <t>女子参加人数</t>
    <rPh sb="0" eb="2">
      <t>ジョシ</t>
    </rPh>
    <rPh sb="2" eb="4">
      <t>サンカ</t>
    </rPh>
    <rPh sb="4" eb="6">
      <t>ニンズウ</t>
    </rPh>
    <phoneticPr fontId="6"/>
  </si>
  <si>
    <t>計</t>
    <rPh sb="0" eb="1">
      <t>ケイ</t>
    </rPh>
    <phoneticPr fontId="6"/>
  </si>
  <si>
    <t>参加費</t>
    <rPh sb="0" eb="3">
      <t>サンカヒ</t>
    </rPh>
    <phoneticPr fontId="6"/>
  </si>
  <si>
    <t>プログラム冊数</t>
    <rPh sb="5" eb="7">
      <t>サッスウ</t>
    </rPh>
    <phoneticPr fontId="6"/>
  </si>
  <si>
    <t>冊</t>
    <rPh sb="0" eb="1">
      <t>サツ</t>
    </rPh>
    <phoneticPr fontId="6"/>
  </si>
  <si>
    <t>競技者コード</t>
  </si>
  <si>
    <t>所属コード</t>
  </si>
  <si>
    <t>所属コード2</t>
    <phoneticPr fontId="6"/>
  </si>
  <si>
    <t>ナンバーA</t>
    <phoneticPr fontId="6"/>
  </si>
  <si>
    <t>ナンバー</t>
  </si>
  <si>
    <t>名前</t>
    <rPh sb="0" eb="2">
      <t>ナマエ</t>
    </rPh>
    <phoneticPr fontId="6"/>
  </si>
  <si>
    <t>カナ名</t>
  </si>
  <si>
    <t>掲示板名</t>
  </si>
  <si>
    <t>性別</t>
  </si>
  <si>
    <t>学年</t>
  </si>
  <si>
    <t>生年</t>
    <rPh sb="0" eb="2">
      <t>セイネン</t>
    </rPh>
    <phoneticPr fontId="6"/>
  </si>
  <si>
    <t>月日</t>
    <phoneticPr fontId="6"/>
  </si>
  <si>
    <t>個人所属地コード</t>
  </si>
  <si>
    <t>陸連コード</t>
  </si>
  <si>
    <t>1種目</t>
    <rPh sb="1" eb="3">
      <t>シュモク</t>
    </rPh>
    <phoneticPr fontId="6"/>
  </si>
  <si>
    <t>コード</t>
    <phoneticPr fontId="6"/>
  </si>
  <si>
    <t>記録</t>
    <phoneticPr fontId="6"/>
  </si>
  <si>
    <t>2種目</t>
    <rPh sb="1" eb="3">
      <t>シュモク</t>
    </rPh>
    <phoneticPr fontId="6"/>
  </si>
  <si>
    <t>3種目</t>
    <rPh sb="1" eb="3">
      <t>シュモク</t>
    </rPh>
    <phoneticPr fontId="6"/>
  </si>
  <si>
    <t>4×100</t>
    <phoneticPr fontId="6"/>
  </si>
  <si>
    <t>記録4</t>
    <phoneticPr fontId="6"/>
  </si>
  <si>
    <t>4×400Ｒ</t>
    <phoneticPr fontId="6"/>
  </si>
  <si>
    <t>記録5</t>
    <phoneticPr fontId="6"/>
  </si>
  <si>
    <t>出場数</t>
    <rPh sb="0" eb="2">
      <t>シュツジョウ</t>
    </rPh>
    <rPh sb="2" eb="3">
      <t>スウ</t>
    </rPh>
    <phoneticPr fontId="6"/>
  </si>
  <si>
    <t>種目</t>
    <rPh sb="0" eb="2">
      <t>シュモク</t>
    </rPh>
    <phoneticPr fontId="6"/>
  </si>
  <si>
    <t>4×100mR</t>
    <phoneticPr fontId="6"/>
  </si>
  <si>
    <t>種目数</t>
    <rPh sb="0" eb="2">
      <t>シュモク</t>
    </rPh>
    <rPh sb="2" eb="3">
      <t>カズ</t>
    </rPh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</si>
  <si>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</si>
  <si>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</si>
  <si>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100m</t>
  </si>
  <si>
    <t>記録</t>
    <rPh sb="0" eb="2">
      <t>キロク</t>
    </rPh>
    <phoneticPr fontId="6"/>
  </si>
  <si>
    <t>300m</t>
    <phoneticPr fontId="6"/>
  </si>
  <si>
    <t>ｵｰﾀﾞｰ</t>
    <phoneticPr fontId="6"/>
  </si>
  <si>
    <t>3000m</t>
    <phoneticPr fontId="6"/>
  </si>
  <si>
    <t>選　手</t>
    <rPh sb="0" eb="1">
      <t>セン</t>
    </rPh>
    <rPh sb="2" eb="3">
      <t>テ</t>
    </rPh>
    <phoneticPr fontId="6"/>
  </si>
  <si>
    <t>300mH</t>
    <phoneticPr fontId="6"/>
  </si>
  <si>
    <t>男子計</t>
    <rPh sb="0" eb="2">
      <t>ダンシ</t>
    </rPh>
    <rPh sb="2" eb="3">
      <t>ケイ</t>
    </rPh>
    <phoneticPr fontId="6"/>
  </si>
  <si>
    <t>女子計</t>
    <rPh sb="0" eb="2">
      <t>ジョシ</t>
    </rPh>
    <rPh sb="2" eb="3">
      <t>ケイ</t>
    </rPh>
    <phoneticPr fontId="6"/>
  </si>
  <si>
    <t>総計</t>
    <rPh sb="0" eb="1">
      <t>ソウ</t>
    </rPh>
    <rPh sb="1" eb="2">
      <t>ケイ</t>
    </rPh>
    <phoneticPr fontId="6"/>
  </si>
  <si>
    <t>混合4×400mR</t>
    <rPh sb="0" eb="2">
      <t>コンゴウ</t>
    </rPh>
    <phoneticPr fontId="6"/>
  </si>
  <si>
    <t>三重陸協</t>
    <rPh sb="0" eb="2">
      <t>ミエ</t>
    </rPh>
    <rPh sb="2" eb="3">
      <t>リク</t>
    </rPh>
    <rPh sb="3" eb="4">
      <t>キョウ</t>
    </rPh>
    <phoneticPr fontId="3"/>
  </si>
  <si>
    <t>申込者</t>
    <rPh sb="0" eb="2">
      <t>モウシコミ</t>
    </rPh>
    <rPh sb="2" eb="3">
      <t>シャ</t>
    </rPh>
    <phoneticPr fontId="6"/>
  </si>
  <si>
    <t>連絡先</t>
    <rPh sb="0" eb="3">
      <t>レンラクサキ</t>
    </rPh>
    <phoneticPr fontId="6"/>
  </si>
  <si>
    <t>5000m</t>
    <phoneticPr fontId="6"/>
  </si>
</sst>
</file>

<file path=xl/styles.xml><?xml version="1.0" encoding="utf-8"?>
<styleSheet xmlns="http://schemas.openxmlformats.org/spreadsheetml/2006/main">
  <numFmts count="3">
    <numFmt numFmtId="176" formatCode="##&quot;人&quot;"/>
    <numFmt numFmtId="177" formatCode="##&quot;チーム&quot;"/>
    <numFmt numFmtId="178" formatCode="&quot;¥&quot;#,##0_);\(&quot;¥&quot;#,##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FF9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61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2" borderId="62" applyNumberFormat="0" applyFon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33" borderId="6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5" applyNumberFormat="0" applyFill="0" applyAlignment="0" applyProtection="0">
      <alignment vertical="center"/>
    </xf>
    <xf numFmtId="0" fontId="24" fillId="0" borderId="66" applyNumberFormat="0" applyFill="0" applyAlignment="0" applyProtection="0">
      <alignment vertical="center"/>
    </xf>
    <xf numFmtId="0" fontId="25" fillId="0" borderId="6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8" applyNumberFormat="0" applyFill="0" applyAlignment="0" applyProtection="0">
      <alignment vertical="center"/>
    </xf>
    <xf numFmtId="0" fontId="27" fillId="33" borderId="6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7" borderId="64" applyNumberFormat="0" applyAlignment="0" applyProtection="0">
      <alignment vertical="center"/>
    </xf>
    <xf numFmtId="0" fontId="1" fillId="0" borderId="0">
      <alignment vertical="center"/>
    </xf>
    <xf numFmtId="0" fontId="30" fillId="14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2" fillId="0" borderId="0" xfId="1" applyFont="1" applyBorder="1" applyProtection="1">
      <protection hidden="1"/>
    </xf>
    <xf numFmtId="0" fontId="4" fillId="2" borderId="0" xfId="1" applyFont="1" applyFill="1" applyBorder="1" applyAlignment="1" applyProtection="1">
      <alignment horizontal="left"/>
      <protection hidden="1"/>
    </xf>
    <xf numFmtId="0" fontId="5" fillId="2" borderId="0" xfId="1" applyFont="1" applyFill="1" applyBorder="1" applyAlignment="1" applyProtection="1">
      <protection hidden="1"/>
    </xf>
    <xf numFmtId="0" fontId="2" fillId="2" borderId="0" xfId="1" applyFont="1" applyFill="1" applyBorder="1" applyProtection="1">
      <protection hidden="1"/>
    </xf>
    <xf numFmtId="0" fontId="4" fillId="2" borderId="0" xfId="1" applyFont="1" applyFill="1" applyAlignment="1" applyProtection="1">
      <alignment horizontal="left"/>
      <protection hidden="1"/>
    </xf>
    <xf numFmtId="0" fontId="7" fillId="2" borderId="0" xfId="1" applyFont="1" applyFill="1" applyAlignment="1" applyProtection="1">
      <alignment horizontal="left"/>
      <protection hidden="1"/>
    </xf>
    <xf numFmtId="0" fontId="7" fillId="3" borderId="0" xfId="1" applyFont="1" applyFill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1" applyFont="1" applyFill="1" applyProtection="1">
      <protection hidden="1"/>
    </xf>
    <xf numFmtId="49" fontId="2" fillId="2" borderId="0" xfId="1" applyNumberFormat="1" applyFont="1" applyFill="1" applyAlignment="1" applyProtection="1">
      <alignment horizontal="right" shrinkToFit="1"/>
      <protection hidden="1"/>
    </xf>
    <xf numFmtId="0" fontId="2" fillId="2" borderId="0" xfId="1" applyFont="1" applyFill="1" applyAlignment="1" applyProtection="1">
      <alignment horizontal="center" shrinkToFit="1"/>
      <protection hidden="1"/>
    </xf>
    <xf numFmtId="0" fontId="8" fillId="2" borderId="0" xfId="2" applyFill="1" applyBorder="1" applyAlignment="1" applyProtection="1">
      <alignment horizontal="left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2" fillId="2" borderId="0" xfId="1" applyNumberFormat="1" applyFont="1" applyFill="1" applyProtection="1">
      <protection hidden="1"/>
    </xf>
    <xf numFmtId="0" fontId="2" fillId="2" borderId="0" xfId="1" applyNumberFormat="1" applyFont="1" applyFill="1" applyBorder="1" applyAlignment="1" applyProtection="1">
      <alignment horizontal="center" shrinkToFit="1"/>
      <protection hidden="1"/>
    </xf>
    <xf numFmtId="0" fontId="2" fillId="2" borderId="0" xfId="0" applyFont="1" applyFill="1" applyBorder="1" applyAlignment="1">
      <alignment horizontal="center" shrinkToFit="1"/>
    </xf>
    <xf numFmtId="0" fontId="2" fillId="2" borderId="0" xfId="1" applyFont="1" applyFill="1" applyBorder="1" applyAlignment="1" applyProtection="1">
      <alignment horizontal="center"/>
      <protection hidden="1"/>
    </xf>
    <xf numFmtId="49" fontId="2" fillId="2" borderId="0" xfId="1" applyNumberFormat="1" applyFont="1" applyFill="1" applyBorder="1" applyAlignment="1" applyProtection="1">
      <alignment horizontal="right" shrinkToFit="1"/>
      <protection hidden="1"/>
    </xf>
    <xf numFmtId="49" fontId="2" fillId="2" borderId="0" xfId="1" applyNumberFormat="1" applyFont="1" applyFill="1" applyBorder="1" applyAlignment="1" applyProtection="1">
      <alignment shrinkToFit="1"/>
      <protection hidden="1"/>
    </xf>
    <xf numFmtId="49" fontId="2" fillId="2" borderId="0" xfId="1" applyNumberFormat="1" applyFont="1" applyFill="1" applyAlignment="1" applyProtection="1">
      <alignment shrinkToFit="1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2" fillId="2" borderId="0" xfId="3" applyFont="1" applyFill="1" applyProtection="1">
      <protection hidden="1"/>
    </xf>
    <xf numFmtId="0" fontId="2" fillId="2" borderId="0" xfId="1" applyFont="1" applyFill="1" applyProtection="1">
      <protection locked="0" hidden="1"/>
    </xf>
    <xf numFmtId="0" fontId="2" fillId="0" borderId="1" xfId="1" applyFont="1" applyFill="1" applyBorder="1" applyAlignment="1" applyProtection="1">
      <alignment horizontal="left"/>
      <protection locked="0" hidden="1"/>
    </xf>
    <xf numFmtId="0" fontId="9" fillId="2" borderId="0" xfId="1" applyFont="1" applyFill="1" applyAlignment="1" applyProtection="1">
      <alignment horizontal="right"/>
      <protection hidden="1"/>
    </xf>
    <xf numFmtId="176" fontId="9" fillId="2" borderId="0" xfId="1" applyNumberFormat="1" applyFont="1" applyFill="1" applyAlignment="1" applyProtection="1">
      <alignment shrinkToFit="1"/>
      <protection hidden="1"/>
    </xf>
    <xf numFmtId="176" fontId="9" fillId="2" borderId="0" xfId="1" applyNumberFormat="1" applyFont="1" applyFill="1" applyAlignment="1" applyProtection="1">
      <alignment horizontal="right" shrinkToFit="1"/>
      <protection hidden="1"/>
    </xf>
    <xf numFmtId="0" fontId="9" fillId="2" borderId="0" xfId="1" applyFont="1" applyFill="1" applyAlignment="1" applyProtection="1">
      <alignment horizontal="center"/>
      <protection hidden="1"/>
    </xf>
    <xf numFmtId="177" fontId="9" fillId="2" borderId="0" xfId="1" applyNumberFormat="1" applyFont="1" applyFill="1" applyAlignment="1" applyProtection="1">
      <alignment horizontal="center" shrinkToFit="1"/>
      <protection hidden="1"/>
    </xf>
    <xf numFmtId="0" fontId="2" fillId="2" borderId="0" xfId="1" applyNumberFormat="1" applyFont="1" applyFill="1" applyBorder="1" applyAlignment="1" applyProtection="1">
      <alignment horizontal="left" shrinkToFit="1"/>
      <protection hidden="1"/>
    </xf>
    <xf numFmtId="0" fontId="2" fillId="2" borderId="0" xfId="0" applyNumberFormat="1" applyFont="1" applyFill="1" applyBorder="1" applyAlignment="1">
      <alignment horizontal="left" shrinkToFit="1"/>
    </xf>
    <xf numFmtId="0" fontId="2" fillId="0" borderId="2" xfId="1" applyFont="1" applyFill="1" applyBorder="1" applyAlignment="1" applyProtection="1">
      <alignment horizontal="left"/>
      <protection locked="0" hidden="1"/>
    </xf>
    <xf numFmtId="0" fontId="9" fillId="2" borderId="0" xfId="1" applyNumberFormat="1" applyFont="1" applyFill="1" applyBorder="1" applyAlignment="1" applyProtection="1">
      <alignment horizontal="right" shrinkToFit="1"/>
      <protection hidden="1"/>
    </xf>
    <xf numFmtId="0" fontId="9" fillId="2" borderId="0" xfId="1" applyFont="1" applyFill="1" applyProtection="1">
      <protection hidden="1"/>
    </xf>
    <xf numFmtId="176" fontId="9" fillId="2" borderId="3" xfId="0" applyNumberFormat="1" applyFont="1" applyFill="1" applyBorder="1" applyAlignment="1">
      <alignment horizontal="right" shrinkToFit="1"/>
    </xf>
    <xf numFmtId="176" fontId="9" fillId="2" borderId="0" xfId="0" applyNumberFormat="1" applyFont="1" applyFill="1" applyBorder="1" applyAlignment="1">
      <alignment horizontal="right" shrinkToFit="1"/>
    </xf>
    <xf numFmtId="0" fontId="9" fillId="2" borderId="3" xfId="1" applyNumberFormat="1" applyFont="1" applyFill="1" applyBorder="1" applyAlignment="1" applyProtection="1">
      <alignment horizontal="right" shrinkToFit="1"/>
      <protection hidden="1"/>
    </xf>
    <xf numFmtId="0" fontId="9" fillId="2" borderId="3" xfId="1" applyFont="1" applyFill="1" applyBorder="1" applyAlignment="1" applyProtection="1">
      <alignment horizontal="center"/>
      <protection hidden="1"/>
    </xf>
    <xf numFmtId="0" fontId="9" fillId="2" borderId="3" xfId="1" applyNumberFormat="1" applyFont="1" applyFill="1" applyBorder="1" applyAlignment="1" applyProtection="1">
      <alignment horizontal="left" shrinkToFit="1"/>
      <protection hidden="1"/>
    </xf>
    <xf numFmtId="178" fontId="9" fillId="2" borderId="3" xfId="0" applyNumberFormat="1" applyFont="1" applyFill="1" applyBorder="1" applyAlignment="1">
      <alignment horizontal="left" shrinkToFit="1"/>
    </xf>
    <xf numFmtId="0" fontId="2" fillId="2" borderId="3" xfId="1" applyFont="1" applyFill="1" applyBorder="1" applyAlignment="1" applyProtection="1">
      <alignment horizontal="center"/>
      <protection hidden="1"/>
    </xf>
    <xf numFmtId="49" fontId="2" fillId="2" borderId="3" xfId="1" applyNumberFormat="1" applyFont="1" applyFill="1" applyBorder="1" applyAlignment="1" applyProtection="1">
      <alignment horizontal="right" shrinkToFit="1"/>
      <protection hidden="1"/>
    </xf>
    <xf numFmtId="49" fontId="2" fillId="2" borderId="3" xfId="1" applyNumberFormat="1" applyFont="1" applyFill="1" applyBorder="1" applyAlignment="1" applyProtection="1">
      <alignment shrinkToFit="1"/>
      <protection hidden="1"/>
    </xf>
    <xf numFmtId="0" fontId="2" fillId="2" borderId="3" xfId="1" applyFont="1" applyFill="1" applyBorder="1" applyAlignment="1" applyProtection="1">
      <alignment horizontal="center" shrinkToFit="1"/>
      <protection hidden="1"/>
    </xf>
    <xf numFmtId="0" fontId="2" fillId="2" borderId="3" xfId="0" applyFont="1" applyFill="1" applyBorder="1" applyProtection="1">
      <alignment vertical="center"/>
      <protection hidden="1"/>
    </xf>
    <xf numFmtId="178" fontId="10" fillId="2" borderId="3" xfId="1" applyNumberFormat="1" applyFont="1" applyFill="1" applyBorder="1" applyAlignment="1" applyProtection="1">
      <alignment shrinkToFit="1"/>
      <protection hidden="1"/>
    </xf>
    <xf numFmtId="0" fontId="4" fillId="2" borderId="0" xfId="1" applyFont="1" applyFill="1" applyBorder="1" applyAlignment="1" applyProtection="1">
      <alignment horizontal="center" vertical="center" shrinkToFit="1"/>
      <protection hidden="1"/>
    </xf>
    <xf numFmtId="0" fontId="4" fillId="2" borderId="0" xfId="1" applyFont="1" applyFill="1" applyAlignment="1" applyProtection="1">
      <alignment horizontal="center" vertical="center" shrinkToFit="1"/>
      <protection hidden="1"/>
    </xf>
    <xf numFmtId="49" fontId="10" fillId="2" borderId="0" xfId="1" applyNumberFormat="1" applyFont="1" applyFill="1" applyAlignment="1" applyProtection="1">
      <alignment horizontal="right"/>
      <protection hidden="1"/>
    </xf>
    <xf numFmtId="0" fontId="10" fillId="2" borderId="0" xfId="1" applyFont="1" applyFill="1" applyAlignment="1" applyProtection="1">
      <alignment horizontal="center"/>
      <protection hidden="1"/>
    </xf>
    <xf numFmtId="0" fontId="10" fillId="0" borderId="4" xfId="1" applyNumberFormat="1" applyFont="1" applyFill="1" applyBorder="1" applyAlignment="1" applyProtection="1">
      <alignment horizontal="center"/>
      <protection locked="0" hidden="1"/>
    </xf>
    <xf numFmtId="0" fontId="10" fillId="2" borderId="0" xfId="0" applyFont="1" applyFill="1" applyAlignment="1" applyProtection="1"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7" xfId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49" fontId="4" fillId="0" borderId="7" xfId="1" applyNumberFormat="1" applyFont="1" applyBorder="1" applyAlignment="1" applyProtection="1">
      <alignment horizontal="center" vertical="center"/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49" fontId="4" fillId="0" borderId="6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7" xfId="1" applyFont="1" applyBorder="1" applyAlignment="1" applyProtection="1">
      <alignment horizontal="center" vertical="center" shrinkToFit="1"/>
      <protection hidden="1"/>
    </xf>
    <xf numFmtId="49" fontId="4" fillId="0" borderId="10" xfId="1" applyNumberFormat="1" applyFont="1" applyBorder="1" applyAlignment="1" applyProtection="1">
      <alignment horizontal="center" vertical="center" shrinkToFit="1"/>
      <protection hidden="1"/>
    </xf>
    <xf numFmtId="49" fontId="4" fillId="0" borderId="8" xfId="1" applyNumberFormat="1" applyFont="1" applyBorder="1" applyAlignment="1" applyProtection="1">
      <alignment horizontal="center" vertical="center" shrinkToFit="1"/>
      <protection hidden="1"/>
    </xf>
    <xf numFmtId="49" fontId="4" fillId="0" borderId="9" xfId="1" applyNumberFormat="1" applyFont="1" applyBorder="1" applyAlignment="1" applyProtection="1">
      <alignment horizontal="center" vertical="center" shrinkToFit="1"/>
      <protection hidden="1"/>
    </xf>
    <xf numFmtId="49" fontId="4" fillId="0" borderId="4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8" xfId="1" applyFont="1" applyFill="1" applyBorder="1" applyAlignment="1" applyProtection="1">
      <alignment horizontal="center" vertical="center" shrinkToFit="1"/>
      <protection hidden="1"/>
    </xf>
    <xf numFmtId="49" fontId="4" fillId="0" borderId="7" xfId="1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1" applyNumberFormat="1" applyFont="1" applyFill="1" applyBorder="1" applyAlignment="1" applyProtection="1">
      <alignment horizontal="center" vertical="center" shrinkToFit="1"/>
      <protection hidden="1"/>
    </xf>
    <xf numFmtId="0" fontId="4" fillId="4" borderId="11" xfId="1" applyFont="1" applyFill="1" applyBorder="1" applyAlignment="1" applyProtection="1">
      <alignment horizontal="center" shrinkToFit="1"/>
      <protection hidden="1"/>
    </xf>
    <xf numFmtId="49" fontId="4" fillId="4" borderId="11" xfId="1" applyNumberFormat="1" applyFont="1" applyFill="1" applyBorder="1" applyAlignment="1" applyProtection="1">
      <alignment horizontal="center" shrinkToFit="1"/>
      <protection hidden="1"/>
    </xf>
    <xf numFmtId="49" fontId="4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2" xfId="1" applyFont="1" applyBorder="1" applyAlignment="1" applyProtection="1">
      <alignment horizontal="center"/>
      <protection hidden="1"/>
    </xf>
    <xf numFmtId="0" fontId="2" fillId="0" borderId="13" xfId="0" applyNumberFormat="1" applyFont="1" applyBorder="1" applyAlignment="1">
      <alignment horizontal="left" vertical="center"/>
    </xf>
    <xf numFmtId="0" fontId="4" fillId="0" borderId="14" xfId="3" applyFont="1" applyBorder="1" applyAlignment="1" applyProtection="1">
      <alignment horizontal="center"/>
      <protection hidden="1"/>
    </xf>
    <xf numFmtId="0" fontId="4" fillId="5" borderId="15" xfId="1" applyFont="1" applyFill="1" applyBorder="1" applyAlignment="1" applyProtection="1">
      <alignment horizontal="center" shrinkToFit="1"/>
      <protection hidden="1"/>
    </xf>
    <xf numFmtId="0" fontId="2" fillId="2" borderId="0" xfId="1" applyFont="1" applyFill="1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left"/>
      <protection locked="0" hidden="1"/>
    </xf>
    <xf numFmtId="0" fontId="4" fillId="2" borderId="0" xfId="1" applyFont="1" applyFill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49" fontId="2" fillId="0" borderId="0" xfId="0" applyNumberFormat="1" applyFont="1" applyBorder="1" applyAlignment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5" xfId="1" applyFont="1" applyFill="1" applyBorder="1" applyAlignment="1" applyProtection="1">
      <alignment vertical="center"/>
      <protection hidden="1"/>
    </xf>
    <xf numFmtId="0" fontId="2" fillId="0" borderId="22" xfId="1" applyNumberFormat="1" applyFont="1" applyFill="1" applyBorder="1" applyAlignment="1" applyProtection="1">
      <alignment horizontal="left" vertical="center" shrinkToFit="1"/>
      <protection locked="0" hidden="1"/>
    </xf>
    <xf numFmtId="0" fontId="2" fillId="0" borderId="23" xfId="1" applyFont="1" applyFill="1" applyBorder="1" applyAlignment="1" applyProtection="1">
      <alignment horizontal="center" vertical="center" shrinkToFit="1"/>
      <protection hidden="1"/>
    </xf>
    <xf numFmtId="0" fontId="2" fillId="0" borderId="24" xfId="1" applyNumberFormat="1" applyFont="1" applyFill="1" applyBorder="1" applyAlignment="1" applyProtection="1">
      <alignment horizontal="right"/>
      <protection locked="0" hidden="1"/>
    </xf>
    <xf numFmtId="0" fontId="2" fillId="0" borderId="25" xfId="1" applyNumberFormat="1" applyFont="1" applyFill="1" applyBorder="1" applyAlignment="1" applyProtection="1">
      <alignment horizontal="right" vertical="center"/>
      <protection locked="0" hidden="1"/>
    </xf>
    <xf numFmtId="0" fontId="2" fillId="0" borderId="26" xfId="1" applyNumberFormat="1" applyFont="1" applyFill="1" applyBorder="1" applyAlignment="1" applyProtection="1">
      <alignment horizontal="right" vertical="center"/>
      <protection locked="0" hidden="1"/>
    </xf>
    <xf numFmtId="0" fontId="2" fillId="0" borderId="24" xfId="1" applyNumberFormat="1" applyFont="1" applyFill="1" applyBorder="1" applyAlignment="1" applyProtection="1">
      <alignment horizontal="right"/>
      <protection hidden="1"/>
    </xf>
    <xf numFmtId="49" fontId="2" fillId="0" borderId="22" xfId="1" applyNumberFormat="1" applyFont="1" applyFill="1" applyBorder="1" applyAlignment="1" applyProtection="1">
      <alignment vertical="center" shrinkToFit="1"/>
      <protection locked="0" hidden="1"/>
    </xf>
    <xf numFmtId="49" fontId="2" fillId="0" borderId="27" xfId="1" applyNumberFormat="1" applyFont="1" applyFill="1" applyBorder="1" applyAlignment="1" applyProtection="1">
      <alignment vertical="center" shrinkToFit="1"/>
      <protection locked="0" hidden="1"/>
    </xf>
    <xf numFmtId="0" fontId="2" fillId="0" borderId="28" xfId="1" applyFont="1" applyFill="1" applyBorder="1" applyAlignment="1" applyProtection="1">
      <alignment horizontal="center" vertical="center" shrinkToFit="1"/>
      <protection hidden="1"/>
    </xf>
    <xf numFmtId="49" fontId="2" fillId="0" borderId="23" xfId="1" applyNumberFormat="1" applyFont="1" applyFill="1" applyBorder="1" applyAlignment="1" applyProtection="1">
      <alignment horizontal="right" vertical="center" shrinkToFit="1"/>
      <protection locked="0" hidden="1"/>
    </xf>
    <xf numFmtId="0" fontId="2" fillId="0" borderId="23" xfId="1" applyNumberFormat="1" applyFont="1" applyFill="1" applyBorder="1" applyAlignment="1" applyProtection="1">
      <alignment horizontal="right" vertical="center"/>
      <protection locked="0" hidden="1"/>
    </xf>
    <xf numFmtId="49" fontId="2" fillId="0" borderId="24" xfId="1" applyNumberFormat="1" applyFont="1" applyFill="1" applyBorder="1" applyAlignment="1" applyProtection="1">
      <alignment vertical="center" shrinkToFit="1"/>
      <protection locked="0" hidden="1"/>
    </xf>
    <xf numFmtId="0" fontId="2" fillId="0" borderId="29" xfId="1" applyFont="1" applyBorder="1" applyAlignment="1" applyProtection="1">
      <alignment horizontal="center" shrinkToFit="1"/>
      <protection hidden="1"/>
    </xf>
    <xf numFmtId="49" fontId="2" fillId="0" borderId="29" xfId="1" applyNumberFormat="1" applyFont="1" applyFill="1" applyBorder="1" applyAlignment="1" applyProtection="1">
      <alignment horizontal="right" shrinkToFit="1"/>
      <protection locked="0" hidden="1"/>
    </xf>
    <xf numFmtId="0" fontId="2" fillId="0" borderId="30" xfId="1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Protection="1">
      <alignment vertical="center"/>
      <protection hidden="1"/>
    </xf>
    <xf numFmtId="0" fontId="2" fillId="0" borderId="31" xfId="0" applyNumberFormat="1" applyFont="1" applyBorder="1" applyAlignment="1">
      <alignment horizontal="left" vertical="center"/>
    </xf>
    <xf numFmtId="0" fontId="4" fillId="6" borderId="15" xfId="3" applyFont="1" applyFill="1" applyBorder="1" applyAlignment="1" applyProtection="1">
      <alignment horizontal="right"/>
      <protection hidden="1"/>
    </xf>
    <xf numFmtId="0" fontId="2" fillId="0" borderId="17" xfId="3" applyFont="1" applyBorder="1" applyAlignment="1" applyProtection="1">
      <alignment horizontal="center"/>
      <protection hidden="1"/>
    </xf>
    <xf numFmtId="0" fontId="2" fillId="0" borderId="1" xfId="3" applyFont="1" applyBorder="1" applyAlignment="1" applyProtection="1">
      <alignment horizontal="center"/>
      <protection hidden="1"/>
    </xf>
    <xf numFmtId="0" fontId="2" fillId="2" borderId="32" xfId="3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right"/>
      <protection locked="0" hidden="1"/>
    </xf>
    <xf numFmtId="0" fontId="2" fillId="0" borderId="0" xfId="0" applyNumberFormat="1" applyFont="1" applyBorder="1">
      <alignment vertical="center"/>
    </xf>
    <xf numFmtId="0" fontId="2" fillId="0" borderId="0" xfId="1" applyFont="1"/>
    <xf numFmtId="0" fontId="2" fillId="0" borderId="37" xfId="1" applyNumberFormat="1" applyFont="1" applyFill="1" applyBorder="1" applyAlignment="1" applyProtection="1">
      <alignment horizontal="right"/>
      <protection locked="0" hidden="1"/>
    </xf>
    <xf numFmtId="0" fontId="2" fillId="0" borderId="28" xfId="1" applyNumberFormat="1" applyFont="1" applyFill="1" applyBorder="1" applyAlignment="1" applyProtection="1">
      <alignment horizontal="right" vertical="center"/>
      <protection locked="0" hidden="1"/>
    </xf>
    <xf numFmtId="0" fontId="2" fillId="0" borderId="38" xfId="1" applyNumberFormat="1" applyFont="1" applyFill="1" applyBorder="1" applyAlignment="1" applyProtection="1">
      <alignment horizontal="right" vertical="center"/>
      <protection locked="0"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49" fontId="2" fillId="0" borderId="35" xfId="1" applyNumberFormat="1" applyFont="1" applyFill="1" applyBorder="1" applyAlignment="1" applyProtection="1">
      <alignment vertical="center" shrinkToFit="1"/>
      <protection locked="0" hidden="1"/>
    </xf>
    <xf numFmtId="0" fontId="2" fillId="0" borderId="36" xfId="1" applyFont="1" applyFill="1" applyBorder="1" applyAlignment="1" applyProtection="1">
      <alignment horizontal="center" vertical="center" shrinkToFit="1"/>
      <protection hidden="1"/>
    </xf>
    <xf numFmtId="49" fontId="2" fillId="0" borderId="36" xfId="1" applyNumberFormat="1" applyFont="1" applyFill="1" applyBorder="1" applyAlignment="1" applyProtection="1">
      <alignment horizontal="right" vertical="center" shrinkToFit="1"/>
      <protection locked="0" hidden="1"/>
    </xf>
    <xf numFmtId="0" fontId="2" fillId="0" borderId="36" xfId="1" applyNumberFormat="1" applyFont="1" applyFill="1" applyBorder="1" applyAlignment="1" applyProtection="1">
      <alignment horizontal="right" vertical="center"/>
      <protection locked="0" hidden="1"/>
    </xf>
    <xf numFmtId="49" fontId="2" fillId="0" borderId="39" xfId="1" applyNumberFormat="1" applyFont="1" applyFill="1" applyBorder="1" applyAlignment="1" applyProtection="1">
      <alignment horizontal="right" shrinkToFit="1"/>
      <protection locked="0" hidden="1"/>
    </xf>
    <xf numFmtId="0" fontId="2" fillId="0" borderId="40" xfId="1" applyNumberFormat="1" applyFont="1" applyFill="1" applyBorder="1" applyAlignment="1" applyProtection="1">
      <alignment horizontal="right" vertical="center"/>
      <protection locked="0" hidden="1"/>
    </xf>
    <xf numFmtId="0" fontId="4" fillId="6" borderId="32" xfId="3" applyFont="1" applyFill="1" applyBorder="1" applyAlignment="1" applyProtection="1">
      <alignment horizontal="right"/>
      <protection hidden="1"/>
    </xf>
    <xf numFmtId="0" fontId="2" fillId="0" borderId="34" xfId="3" applyFont="1" applyBorder="1" applyAlignment="1" applyProtection="1">
      <alignment horizontal="center"/>
      <protection hidden="1"/>
    </xf>
    <xf numFmtId="0" fontId="2" fillId="0" borderId="2" xfId="3" applyFont="1" applyBorder="1" applyAlignment="1" applyProtection="1">
      <alignment horizontal="center"/>
      <protection hidden="1"/>
    </xf>
    <xf numFmtId="0" fontId="2" fillId="2" borderId="0" xfId="3" applyFont="1" applyFill="1" applyBorder="1" applyAlignment="1" applyProtection="1">
      <alignment horizontal="center"/>
      <protection hidden="1"/>
    </xf>
    <xf numFmtId="0" fontId="2" fillId="2" borderId="0" xfId="3" applyFont="1" applyFill="1" applyBorder="1" applyAlignment="1" applyProtection="1">
      <alignment horizontal="left"/>
      <protection hidden="1"/>
    </xf>
    <xf numFmtId="0" fontId="4" fillId="6" borderId="43" xfId="3" applyFont="1" applyFill="1" applyBorder="1" applyAlignment="1" applyProtection="1">
      <alignment horizontal="right"/>
      <protection hidden="1"/>
    </xf>
    <xf numFmtId="0" fontId="2" fillId="0" borderId="44" xfId="3" applyFont="1" applyBorder="1" applyAlignment="1" applyProtection="1">
      <alignment horizontal="center"/>
      <protection hidden="1"/>
    </xf>
    <xf numFmtId="0" fontId="2" fillId="2" borderId="33" xfId="1" applyNumberFormat="1" applyFont="1" applyFill="1" applyBorder="1" applyAlignment="1" applyProtection="1">
      <alignment horizontal="center" shrinkToFit="1"/>
      <protection hidden="1"/>
    </xf>
    <xf numFmtId="0" fontId="2" fillId="2" borderId="34" xfId="1" applyNumberFormat="1" applyFont="1" applyFill="1" applyBorder="1" applyAlignment="1" applyProtection="1">
      <alignment horizontal="left" shrinkToFit="1"/>
      <protection hidden="1"/>
    </xf>
    <xf numFmtId="0" fontId="2" fillId="2" borderId="0" xfId="1" applyNumberFormat="1" applyFont="1" applyFill="1" applyBorder="1" applyAlignment="1" applyProtection="1">
      <alignment horizontal="center" shrinkToFit="1"/>
      <protection locked="0" hidden="1"/>
    </xf>
    <xf numFmtId="0" fontId="2" fillId="2" borderId="0" xfId="1" applyNumberFormat="1" applyFont="1" applyFill="1" applyBorder="1" applyAlignment="1" applyProtection="1">
      <alignment horizontal="left" shrinkToFit="1"/>
      <protection locked="0" hidden="1"/>
    </xf>
    <xf numFmtId="0" fontId="2" fillId="0" borderId="45" xfId="3" applyFont="1" applyBorder="1" applyAlignment="1" applyProtection="1">
      <alignment horizontal="center"/>
      <protection hidden="1"/>
    </xf>
    <xf numFmtId="0" fontId="4" fillId="6" borderId="46" xfId="3" applyFont="1" applyFill="1" applyBorder="1" applyAlignment="1" applyProtection="1">
      <alignment horizontal="right"/>
      <protection hidden="1"/>
    </xf>
    <xf numFmtId="0" fontId="2" fillId="0" borderId="47" xfId="3" applyFont="1" applyBorder="1" applyAlignment="1" applyProtection="1">
      <alignment horizontal="center"/>
      <protection hidden="1"/>
    </xf>
    <xf numFmtId="0" fontId="2" fillId="0" borderId="0" xfId="3" applyFont="1" applyBorder="1" applyAlignment="1" applyProtection="1">
      <alignment horizontal="center"/>
      <protection hidden="1"/>
    </xf>
    <xf numFmtId="49" fontId="2" fillId="0" borderId="31" xfId="0" applyNumberFormat="1" applyFont="1" applyBorder="1" applyAlignment="1">
      <alignment horizontal="left" vertical="center"/>
    </xf>
    <xf numFmtId="0" fontId="4" fillId="7" borderId="48" xfId="3" applyFont="1" applyFill="1" applyBorder="1" applyAlignment="1" applyProtection="1">
      <alignment horizontal="right"/>
      <protection hidden="1"/>
    </xf>
    <xf numFmtId="0" fontId="2" fillId="7" borderId="11" xfId="3" applyFont="1" applyFill="1" applyBorder="1" applyAlignment="1" applyProtection="1">
      <alignment horizontal="center"/>
      <protection hidden="1"/>
    </xf>
    <xf numFmtId="0" fontId="2" fillId="7" borderId="0" xfId="3" applyFont="1" applyFill="1" applyBorder="1" applyAlignment="1" applyProtection="1">
      <alignment horizontal="center"/>
      <protection hidden="1"/>
    </xf>
    <xf numFmtId="0" fontId="4" fillId="8" borderId="15" xfId="3" applyFont="1" applyFill="1" applyBorder="1" applyAlignment="1" applyProtection="1">
      <alignment horizontal="right"/>
      <protection hidden="1"/>
    </xf>
    <xf numFmtId="0" fontId="4" fillId="8" borderId="50" xfId="3" applyFont="1" applyFill="1" applyBorder="1" applyAlignment="1" applyProtection="1">
      <alignment horizontal="right"/>
      <protection hidden="1"/>
    </xf>
    <xf numFmtId="0" fontId="4" fillId="9" borderId="15" xfId="1" applyFont="1" applyFill="1" applyBorder="1" applyAlignment="1" applyProtection="1">
      <alignment horizontal="center" shrinkToFit="1"/>
      <protection hidden="1"/>
    </xf>
    <xf numFmtId="0" fontId="11" fillId="2" borderId="0" xfId="1" applyFont="1" applyFill="1" applyBorder="1" applyAlignment="1" applyProtection="1">
      <alignment shrinkToFit="1"/>
      <protection locked="0" hidden="1"/>
    </xf>
    <xf numFmtId="0" fontId="11" fillId="2" borderId="0" xfId="1" applyFont="1" applyFill="1" applyBorder="1" applyAlignment="1" applyProtection="1">
      <alignment horizontal="left" shrinkToFit="1"/>
      <protection locked="0" hidden="1"/>
    </xf>
    <xf numFmtId="0" fontId="9" fillId="2" borderId="0" xfId="3" applyFont="1" applyFill="1" applyBorder="1" applyAlignment="1" applyProtection="1">
      <alignment vertical="top" textRotation="255"/>
      <protection locked="0" hidden="1"/>
    </xf>
    <xf numFmtId="0" fontId="9" fillId="2" borderId="0" xfId="3" applyFont="1" applyFill="1" applyBorder="1" applyAlignment="1" applyProtection="1">
      <alignment horizontal="left" vertical="top" textRotation="255"/>
      <protection locked="0" hidden="1"/>
    </xf>
    <xf numFmtId="0" fontId="9" fillId="2" borderId="0" xfId="0" applyFont="1" applyFill="1" applyBorder="1" applyAlignment="1" applyProtection="1">
      <alignment vertical="center" textRotation="255"/>
      <protection locked="0"/>
    </xf>
    <xf numFmtId="0" fontId="9" fillId="2" borderId="0" xfId="0" applyFont="1" applyFill="1" applyBorder="1" applyAlignment="1" applyProtection="1">
      <alignment horizontal="left" vertical="center" textRotation="255"/>
      <protection locked="0"/>
    </xf>
    <xf numFmtId="0" fontId="4" fillId="8" borderId="43" xfId="3" applyFont="1" applyFill="1" applyBorder="1" applyAlignment="1" applyProtection="1">
      <alignment horizontal="right"/>
      <protection hidden="1"/>
    </xf>
    <xf numFmtId="0" fontId="2" fillId="0" borderId="51" xfId="3" applyFont="1" applyBorder="1" applyAlignment="1" applyProtection="1">
      <alignment horizontal="center"/>
      <protection hidden="1"/>
    </xf>
    <xf numFmtId="0" fontId="12" fillId="8" borderId="46" xfId="1" applyFont="1" applyFill="1" applyBorder="1" applyAlignment="1" applyProtection="1">
      <alignment horizontal="right"/>
      <protection hidden="1"/>
    </xf>
    <xf numFmtId="0" fontId="2" fillId="0" borderId="47" xfId="1" applyFont="1" applyBorder="1" applyAlignment="1" applyProtection="1">
      <alignment horizontal="center"/>
      <protection hidden="1"/>
    </xf>
    <xf numFmtId="0" fontId="2" fillId="0" borderId="14" xfId="1" applyFont="1" applyBorder="1" applyAlignment="1" applyProtection="1">
      <alignment horizontal="center"/>
      <protection hidden="1"/>
    </xf>
    <xf numFmtId="0" fontId="2" fillId="2" borderId="46" xfId="1" applyFont="1" applyFill="1" applyBorder="1" applyAlignment="1" applyProtection="1">
      <alignment horizontal="center" shrinkToFit="1"/>
      <protection hidden="1"/>
    </xf>
    <xf numFmtId="0" fontId="2" fillId="2" borderId="11" xfId="1" applyFont="1" applyFill="1" applyBorder="1" applyAlignment="1" applyProtection="1">
      <alignment horizontal="center" shrinkToFit="1"/>
      <protection hidden="1"/>
    </xf>
    <xf numFmtId="0" fontId="2" fillId="2" borderId="0" xfId="1" applyFont="1" applyFill="1" applyBorder="1" applyAlignment="1" applyProtection="1">
      <alignment horizontal="center" shrinkToFit="1"/>
      <protection hidden="1"/>
    </xf>
    <xf numFmtId="0" fontId="13" fillId="2" borderId="0" xfId="1" applyFont="1" applyFill="1" applyBorder="1" applyAlignment="1" applyProtection="1">
      <alignment horizontal="right"/>
      <protection hidden="1"/>
    </xf>
    <xf numFmtId="0" fontId="13" fillId="2" borderId="0" xfId="1" applyFont="1" applyFill="1" applyBorder="1" applyAlignment="1" applyProtection="1">
      <alignment horizontal="center"/>
      <protection hidden="1"/>
    </xf>
    <xf numFmtId="0" fontId="13" fillId="2" borderId="0" xfId="1" applyFont="1" applyFill="1" applyAlignment="1" applyProtection="1">
      <alignment horizontal="right"/>
      <protection hidden="1"/>
    </xf>
    <xf numFmtId="0" fontId="13" fillId="2" borderId="0" xfId="1" applyFont="1" applyFill="1" applyAlignment="1" applyProtection="1">
      <alignment horizontal="center"/>
      <protection hidden="1"/>
    </xf>
    <xf numFmtId="0" fontId="2" fillId="2" borderId="54" xfId="1" applyNumberFormat="1" applyFont="1" applyFill="1" applyBorder="1" applyAlignment="1" applyProtection="1">
      <alignment horizontal="center" shrinkToFit="1"/>
      <protection hidden="1"/>
    </xf>
    <xf numFmtId="0" fontId="2" fillId="2" borderId="51" xfId="1" applyNumberFormat="1" applyFont="1" applyFill="1" applyBorder="1" applyAlignment="1" applyProtection="1">
      <alignment horizontal="left" shrinkToFit="1"/>
      <protection hidden="1"/>
    </xf>
    <xf numFmtId="0" fontId="4" fillId="10" borderId="15" xfId="1" applyFont="1" applyFill="1" applyBorder="1" applyAlignment="1" applyProtection="1">
      <alignment horizontal="center" shrinkToFit="1"/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center" vertical="center" shrinkToFit="1"/>
      <protection hidden="1"/>
    </xf>
    <xf numFmtId="0" fontId="4" fillId="2" borderId="0" xfId="1" applyFont="1" applyFill="1" applyBorder="1" applyAlignment="1" applyProtection="1">
      <alignment horizontal="center" shrinkToFit="1"/>
      <protection hidden="1"/>
    </xf>
    <xf numFmtId="0" fontId="2" fillId="2" borderId="0" xfId="1" applyFont="1" applyFill="1" applyBorder="1" applyProtection="1">
      <protection locked="0" hidden="1"/>
    </xf>
    <xf numFmtId="0" fontId="2" fillId="2" borderId="0" xfId="1" applyFont="1" applyFill="1" applyAlignment="1" applyProtection="1">
      <alignment horizontal="center" vertical="top" textRotation="255" wrapText="1"/>
      <protection hidden="1"/>
    </xf>
    <xf numFmtId="0" fontId="9" fillId="2" borderId="0" xfId="0" applyFont="1" applyFill="1" applyAlignment="1">
      <alignment vertical="center" textRotation="255"/>
    </xf>
    <xf numFmtId="0" fontId="2" fillId="0" borderId="0" xfId="1" applyFont="1" applyBorder="1" applyAlignment="1" applyProtection="1">
      <alignment horizontal="left"/>
      <protection hidden="1"/>
    </xf>
    <xf numFmtId="0" fontId="2" fillId="2" borderId="0" xfId="3" applyFont="1" applyFill="1" applyBorder="1" applyProtection="1">
      <protection hidden="1"/>
    </xf>
    <xf numFmtId="0" fontId="2" fillId="0" borderId="55" xfId="1" applyNumberFormat="1" applyFont="1" applyFill="1" applyBorder="1" applyAlignment="1" applyProtection="1">
      <alignment horizontal="left" vertical="center" shrinkToFit="1"/>
      <protection locked="0" hidden="1"/>
    </xf>
    <xf numFmtId="0" fontId="2" fillId="0" borderId="56" xfId="1" applyFont="1" applyFill="1" applyBorder="1" applyAlignment="1" applyProtection="1">
      <alignment horizontal="center" vertical="center" shrinkToFit="1"/>
      <protection hidden="1"/>
    </xf>
    <xf numFmtId="0" fontId="2" fillId="0" borderId="58" xfId="1" applyNumberFormat="1" applyFont="1" applyFill="1" applyBorder="1" applyAlignment="1" applyProtection="1">
      <alignment horizontal="right"/>
      <protection locked="0" hidden="1"/>
    </xf>
    <xf numFmtId="0" fontId="2" fillId="0" borderId="57" xfId="1" applyNumberFormat="1" applyFont="1" applyFill="1" applyBorder="1" applyAlignment="1" applyProtection="1">
      <alignment horizontal="right" vertical="center"/>
      <protection locked="0" hidden="1"/>
    </xf>
    <xf numFmtId="0" fontId="2" fillId="0" borderId="59" xfId="1" applyNumberFormat="1" applyFont="1" applyFill="1" applyBorder="1" applyAlignment="1" applyProtection="1">
      <alignment horizontal="right" vertical="center"/>
      <protection locked="0" hidden="1"/>
    </xf>
    <xf numFmtId="0" fontId="2" fillId="0" borderId="58" xfId="1" applyNumberFormat="1" applyFont="1" applyFill="1" applyBorder="1" applyAlignment="1" applyProtection="1">
      <alignment horizontal="right"/>
      <protection hidden="1"/>
    </xf>
    <xf numFmtId="49" fontId="2" fillId="0" borderId="55" xfId="1" applyNumberFormat="1" applyFont="1" applyFill="1" applyBorder="1" applyAlignment="1" applyProtection="1">
      <alignment vertical="center" shrinkToFit="1"/>
      <protection locked="0" hidden="1"/>
    </xf>
    <xf numFmtId="49" fontId="2" fillId="0" borderId="60" xfId="1" applyNumberFormat="1" applyFont="1" applyFill="1" applyBorder="1" applyAlignment="1" applyProtection="1">
      <alignment vertical="center" shrinkToFit="1"/>
      <protection locked="0" hidden="1"/>
    </xf>
    <xf numFmtId="0" fontId="2" fillId="0" borderId="57" xfId="1" applyFont="1" applyFill="1" applyBorder="1" applyAlignment="1" applyProtection="1">
      <alignment horizontal="center" vertical="center" shrinkToFit="1"/>
      <protection hidden="1"/>
    </xf>
    <xf numFmtId="0" fontId="2" fillId="0" borderId="56" xfId="0" applyFont="1" applyBorder="1" applyProtection="1">
      <alignment vertical="center"/>
      <protection hidden="1"/>
    </xf>
    <xf numFmtId="0" fontId="2" fillId="0" borderId="56" xfId="1" applyNumberFormat="1" applyFont="1" applyFill="1" applyBorder="1" applyAlignment="1" applyProtection="1">
      <alignment horizontal="right" vertical="center"/>
      <protection locked="0" hidden="1"/>
    </xf>
    <xf numFmtId="49" fontId="2" fillId="0" borderId="58" xfId="1" applyNumberFormat="1" applyFont="1" applyFill="1" applyBorder="1" applyAlignment="1" applyProtection="1">
      <alignment vertical="center" shrinkToFit="1"/>
      <protection locked="0" hidden="1"/>
    </xf>
    <xf numFmtId="0" fontId="2" fillId="2" borderId="0" xfId="0" applyNumberFormat="1" applyFont="1" applyFill="1" applyBorder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49" fontId="2" fillId="2" borderId="0" xfId="1" applyNumberFormat="1" applyFont="1" applyFill="1" applyAlignment="1" applyProtection="1">
      <alignment horizontal="right" shrinkToFit="1"/>
      <protection locked="0" hidden="1"/>
    </xf>
    <xf numFmtId="49" fontId="2" fillId="2" borderId="0" xfId="1" applyNumberFormat="1" applyFont="1" applyFill="1" applyAlignment="1" applyProtection="1">
      <alignment shrinkToFit="1"/>
      <protection locked="0" hidden="1"/>
    </xf>
    <xf numFmtId="0" fontId="2" fillId="11" borderId="0" xfId="1" applyFont="1" applyFill="1"/>
    <xf numFmtId="0" fontId="2" fillId="11" borderId="0" xfId="0" applyNumberFormat="1" applyFont="1" applyFill="1" applyBorder="1">
      <alignment vertical="center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Protection="1">
      <protection hidden="1"/>
    </xf>
    <xf numFmtId="49" fontId="2" fillId="0" borderId="0" xfId="1" applyNumberFormat="1" applyFont="1" applyFill="1" applyProtection="1"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2" fillId="0" borderId="0" xfId="0" applyFont="1" applyFill="1" applyProtection="1">
      <alignment vertical="center"/>
      <protection hidden="1"/>
    </xf>
    <xf numFmtId="49" fontId="2" fillId="0" borderId="0" xfId="1" applyNumberFormat="1" applyFont="1" applyFill="1" applyAlignment="1" applyProtection="1">
      <alignment horizontal="right" shrinkToFit="1"/>
      <protection locked="0" hidden="1"/>
    </xf>
    <xf numFmtId="0" fontId="2" fillId="0" borderId="0" xfId="1" applyFont="1" applyFill="1" applyAlignment="1" applyProtection="1">
      <alignment horizontal="center" shrinkToFit="1"/>
      <protection hidden="1"/>
    </xf>
    <xf numFmtId="49" fontId="2" fillId="0" borderId="0" xfId="1" applyNumberFormat="1" applyFont="1" applyFill="1" applyAlignment="1" applyProtection="1">
      <alignment horizontal="right" shrinkToFit="1"/>
      <protection hidden="1"/>
    </xf>
    <xf numFmtId="49" fontId="2" fillId="0" borderId="0" xfId="1" applyNumberFormat="1" applyFont="1" applyFill="1" applyAlignment="1" applyProtection="1">
      <alignment shrinkToFit="1"/>
      <protection locked="0" hidden="1"/>
    </xf>
    <xf numFmtId="0" fontId="2" fillId="0" borderId="0" xfId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3" applyFont="1" applyFill="1" applyProtection="1">
      <protection hidden="1"/>
    </xf>
    <xf numFmtId="0" fontId="2" fillId="0" borderId="0" xfId="1" applyFont="1" applyFill="1" applyProtection="1">
      <protection locked="0" hidden="1"/>
    </xf>
    <xf numFmtId="0" fontId="2" fillId="0" borderId="0" xfId="1" applyFont="1" applyFill="1" applyBorder="1" applyAlignment="1" applyProtection="1">
      <alignment horizontal="left"/>
      <protection hidden="1"/>
    </xf>
    <xf numFmtId="49" fontId="2" fillId="0" borderId="0" xfId="1" applyNumberFormat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 shrinkToFit="1"/>
      <protection hidden="1"/>
    </xf>
    <xf numFmtId="49" fontId="2" fillId="0" borderId="0" xfId="1" applyNumberFormat="1" applyFont="1" applyAlignment="1" applyProtection="1">
      <alignment horizontal="right" shrinkToFit="1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3" applyFont="1" applyProtection="1">
      <protection hidden="1"/>
    </xf>
    <xf numFmtId="0" fontId="2" fillId="0" borderId="0" xfId="1" applyFont="1" applyProtection="1">
      <protection locked="0" hidden="1"/>
    </xf>
    <xf numFmtId="0" fontId="5" fillId="0" borderId="0" xfId="1" applyFont="1" applyFill="1" applyAlignment="1" applyProtection="1">
      <protection hidden="1"/>
    </xf>
    <xf numFmtId="0" fontId="13" fillId="2" borderId="14" xfId="1" applyFont="1" applyFill="1" applyBorder="1" applyAlignment="1" applyProtection="1">
      <alignment horizontal="right"/>
      <protection hidden="1"/>
    </xf>
    <xf numFmtId="0" fontId="13" fillId="2" borderId="14" xfId="1" applyFont="1" applyFill="1" applyBorder="1" applyAlignment="1" applyProtection="1">
      <alignment horizontal="center"/>
      <protection hidden="1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 shrinkToFit="1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horizontal="center" vertical="center"/>
      <protection locked="0"/>
    </xf>
    <xf numFmtId="1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35" xfId="1" applyFont="1" applyFill="1" applyBorder="1" applyAlignment="1" applyProtection="1">
      <alignment vertical="center"/>
      <protection locked="0"/>
    </xf>
    <xf numFmtId="0" fontId="2" fillId="0" borderId="36" xfId="1" applyFont="1" applyFill="1" applyBorder="1" applyAlignment="1" applyProtection="1">
      <alignment vertical="center" shrinkToFit="1"/>
      <protection locked="0"/>
    </xf>
    <xf numFmtId="0" fontId="2" fillId="0" borderId="36" xfId="1" applyFont="1" applyFill="1" applyBorder="1" applyAlignment="1" applyProtection="1">
      <alignment vertical="center"/>
      <protection locked="0"/>
    </xf>
    <xf numFmtId="0" fontId="2" fillId="0" borderId="36" xfId="1" applyFont="1" applyBorder="1" applyAlignment="1" applyProtection="1">
      <alignment vertical="center"/>
      <protection locked="0"/>
    </xf>
    <xf numFmtId="0" fontId="2" fillId="0" borderId="36" xfId="1" applyFont="1" applyFill="1" applyBorder="1" applyAlignment="1" applyProtection="1">
      <alignment horizontal="center" vertical="center"/>
      <protection locked="0"/>
    </xf>
    <xf numFmtId="1" fontId="2" fillId="0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1" applyFont="1" applyFill="1" applyBorder="1" applyAlignment="1" applyProtection="1">
      <alignment vertical="center"/>
      <protection locked="0"/>
    </xf>
    <xf numFmtId="0" fontId="2" fillId="0" borderId="55" xfId="1" applyFont="1" applyFill="1" applyBorder="1" applyAlignment="1" applyProtection="1">
      <alignment vertical="center"/>
      <protection locked="0"/>
    </xf>
    <xf numFmtId="0" fontId="2" fillId="0" borderId="56" xfId="1" applyFont="1" applyFill="1" applyBorder="1" applyAlignment="1" applyProtection="1">
      <alignment vertical="center" shrinkToFit="1"/>
      <protection locked="0"/>
    </xf>
    <xf numFmtId="0" fontId="2" fillId="0" borderId="56" xfId="1" applyFont="1" applyFill="1" applyBorder="1" applyAlignment="1" applyProtection="1">
      <alignment vertical="center"/>
      <protection locked="0"/>
    </xf>
    <xf numFmtId="0" fontId="2" fillId="0" borderId="56" xfId="1" applyFont="1" applyBorder="1" applyAlignment="1" applyProtection="1">
      <alignment vertical="center"/>
      <protection locked="0"/>
    </xf>
    <xf numFmtId="0" fontId="2" fillId="0" borderId="56" xfId="1" applyFont="1" applyFill="1" applyBorder="1" applyAlignment="1" applyProtection="1">
      <alignment horizontal="center" vertical="center"/>
      <protection locked="0"/>
    </xf>
    <xf numFmtId="1" fontId="2" fillId="0" borderId="56" xfId="1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58" xfId="1" applyFont="1" applyFill="1" applyBorder="1" applyAlignment="1" applyProtection="1">
      <alignment vertical="center"/>
      <protection locked="0"/>
    </xf>
    <xf numFmtId="0" fontId="2" fillId="0" borderId="22" xfId="1" applyFont="1" applyFill="1" applyBorder="1" applyAlignment="1" applyProtection="1">
      <alignment vertical="center"/>
      <protection locked="0"/>
    </xf>
    <xf numFmtId="0" fontId="2" fillId="0" borderId="23" xfId="1" applyFont="1" applyFill="1" applyBorder="1" applyAlignment="1" applyProtection="1">
      <alignment vertical="center" shrinkToFit="1"/>
      <protection locked="0"/>
    </xf>
    <xf numFmtId="0" fontId="2" fillId="0" borderId="23" xfId="1" applyFont="1" applyFill="1" applyBorder="1" applyAlignment="1" applyProtection="1">
      <alignment vertical="center"/>
      <protection locked="0"/>
    </xf>
    <xf numFmtId="0" fontId="2" fillId="0" borderId="23" xfId="1" applyFont="1" applyBorder="1" applyAlignment="1" applyProtection="1">
      <alignment vertical="center"/>
      <protection locked="0"/>
    </xf>
    <xf numFmtId="0" fontId="2" fillId="0" borderId="23" xfId="1" applyFont="1" applyFill="1" applyBorder="1" applyAlignment="1" applyProtection="1">
      <alignment horizontal="center" vertical="center"/>
      <protection locked="0"/>
    </xf>
    <xf numFmtId="1" fontId="2" fillId="0" borderId="23" xfId="1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1" applyFont="1" applyFill="1" applyBorder="1" applyAlignment="1" applyProtection="1">
      <alignment vertical="center"/>
      <protection locked="0"/>
    </xf>
    <xf numFmtId="0" fontId="2" fillId="0" borderId="25" xfId="1" applyFont="1" applyFill="1" applyBorder="1" applyAlignment="1" applyProtection="1">
      <alignment horizontal="center" vertical="center" shrinkToFit="1"/>
      <protection hidden="1"/>
    </xf>
    <xf numFmtId="0" fontId="2" fillId="0" borderId="70" xfId="1" applyNumberFormat="1" applyFont="1" applyFill="1" applyBorder="1" applyAlignment="1" applyProtection="1">
      <alignment horizontal="left" vertical="center" shrinkToFit="1"/>
      <protection locked="0" hidden="1"/>
    </xf>
    <xf numFmtId="0" fontId="2" fillId="0" borderId="71" xfId="1" applyFont="1" applyFill="1" applyBorder="1" applyAlignment="1" applyProtection="1">
      <alignment horizontal="center" vertical="center" shrinkToFit="1"/>
      <protection hidden="1"/>
    </xf>
    <xf numFmtId="49" fontId="2" fillId="0" borderId="72" xfId="1" applyNumberFormat="1" applyFont="1" applyFill="1" applyBorder="1" applyAlignment="1" applyProtection="1">
      <alignment vertical="center" shrinkToFit="1"/>
      <protection locked="0" hidden="1"/>
    </xf>
    <xf numFmtId="49" fontId="2" fillId="0" borderId="56" xfId="1" applyNumberFormat="1" applyFont="1" applyFill="1" applyBorder="1" applyAlignment="1" applyProtection="1">
      <alignment horizontal="right" vertical="center" shrinkToFit="1"/>
      <protection locked="0" hidden="1"/>
    </xf>
    <xf numFmtId="49" fontId="2" fillId="0" borderId="73" xfId="1" applyNumberFormat="1" applyFont="1" applyFill="1" applyBorder="1" applyAlignment="1" applyProtection="1">
      <alignment vertical="center" shrinkToFit="1"/>
      <protection locked="0" hidden="1"/>
    </xf>
    <xf numFmtId="0" fontId="2" fillId="0" borderId="0" xfId="1" applyFont="1" applyFill="1"/>
    <xf numFmtId="0" fontId="2" fillId="10" borderId="16" xfId="1" applyFont="1" applyFill="1" applyBorder="1" applyAlignment="1" applyProtection="1">
      <alignment horizontal="center"/>
      <protection hidden="1"/>
    </xf>
    <xf numFmtId="0" fontId="2" fillId="10" borderId="17" xfId="1" applyFont="1" applyFill="1" applyBorder="1" applyAlignment="1" applyProtection="1">
      <alignment horizontal="center"/>
      <protection hidden="1"/>
    </xf>
    <xf numFmtId="0" fontId="7" fillId="2" borderId="0" xfId="1" applyFont="1" applyFill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alignment horizontal="left" shrinkToFit="1"/>
      <protection hidden="1"/>
    </xf>
    <xf numFmtId="0" fontId="2" fillId="2" borderId="0" xfId="0" applyNumberFormat="1" applyFont="1" applyFill="1" applyBorder="1" applyAlignment="1">
      <alignment horizontal="left" shrinkToFit="1"/>
    </xf>
    <xf numFmtId="0" fontId="4" fillId="0" borderId="48" xfId="3" applyFont="1" applyBorder="1" applyAlignment="1" applyProtection="1">
      <alignment horizontal="center"/>
      <protection hidden="1"/>
    </xf>
    <xf numFmtId="0" fontId="4" fillId="0" borderId="11" xfId="3" applyFont="1" applyBorder="1" applyAlignment="1" applyProtection="1">
      <alignment horizontal="center"/>
      <protection hidden="1"/>
    </xf>
    <xf numFmtId="0" fontId="2" fillId="5" borderId="16" xfId="1" applyFont="1" applyFill="1" applyBorder="1" applyAlignment="1" applyProtection="1">
      <alignment horizontal="center"/>
      <protection hidden="1"/>
    </xf>
    <xf numFmtId="0" fontId="2" fillId="5" borderId="17" xfId="1" applyFont="1" applyFill="1" applyBorder="1" applyAlignment="1" applyProtection="1">
      <alignment horizontal="center"/>
      <protection hidden="1"/>
    </xf>
    <xf numFmtId="0" fontId="2" fillId="0" borderId="33" xfId="1" applyFont="1" applyFill="1" applyBorder="1" applyAlignment="1" applyProtection="1">
      <alignment horizontal="right"/>
      <protection locked="0" hidden="1"/>
    </xf>
    <xf numFmtId="0" fontId="2" fillId="0" borderId="34" xfId="1" applyFont="1" applyFill="1" applyBorder="1" applyAlignment="1" applyProtection="1">
      <alignment horizontal="right"/>
      <protection locked="0" hidden="1"/>
    </xf>
    <xf numFmtId="0" fontId="2" fillId="2" borderId="41" xfId="3" applyFont="1" applyFill="1" applyBorder="1" applyAlignment="1" applyProtection="1">
      <alignment horizontal="center"/>
      <protection hidden="1"/>
    </xf>
    <xf numFmtId="0" fontId="2" fillId="2" borderId="42" xfId="3" applyFont="1" applyFill="1" applyBorder="1" applyAlignment="1" applyProtection="1">
      <alignment horizontal="center"/>
      <protection hidden="1"/>
    </xf>
    <xf numFmtId="0" fontId="2" fillId="2" borderId="32" xfId="1" applyFont="1" applyFill="1" applyBorder="1" applyAlignment="1" applyProtection="1">
      <alignment horizontal="center" vertical="center" shrinkToFit="1"/>
      <protection hidden="1"/>
    </xf>
    <xf numFmtId="0" fontId="2" fillId="2" borderId="49" xfId="1" applyFont="1" applyFill="1" applyBorder="1" applyAlignment="1" applyProtection="1">
      <alignment horizontal="center" vertical="center" shrinkToFit="1"/>
      <protection hidden="1"/>
    </xf>
    <xf numFmtId="0" fontId="2" fillId="9" borderId="16" xfId="1" applyFont="1" applyFill="1" applyBorder="1" applyAlignment="1" applyProtection="1">
      <alignment horizontal="center"/>
      <protection hidden="1"/>
    </xf>
    <xf numFmtId="0" fontId="2" fillId="9" borderId="17" xfId="1" applyFont="1" applyFill="1" applyBorder="1" applyAlignment="1" applyProtection="1">
      <alignment horizontal="center"/>
      <protection hidden="1"/>
    </xf>
    <xf numFmtId="0" fontId="2" fillId="2" borderId="43" xfId="1" applyFont="1" applyFill="1" applyBorder="1" applyAlignment="1" applyProtection="1">
      <alignment horizontal="center" vertical="center" shrinkToFit="1"/>
      <protection hidden="1"/>
    </xf>
    <xf numFmtId="0" fontId="2" fillId="2" borderId="52" xfId="1" applyFont="1" applyFill="1" applyBorder="1" applyAlignment="1" applyProtection="1">
      <alignment horizontal="center" vertical="center" shrinkToFit="1"/>
      <protection hidden="1"/>
    </xf>
    <xf numFmtId="0" fontId="2" fillId="2" borderId="53" xfId="1" applyFont="1" applyFill="1" applyBorder="1" applyAlignment="1" applyProtection="1">
      <alignment horizontal="center" vertical="center" shrinkToFit="1"/>
      <protection hidden="1"/>
    </xf>
    <xf numFmtId="0" fontId="2" fillId="7" borderId="0" xfId="1" applyFont="1" applyFill="1" applyBorder="1" applyAlignment="1" applyProtection="1">
      <alignment horizontal="center" vertical="center" shrinkToFit="1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right"/>
      <protection locked="0" hidden="1"/>
    </xf>
    <xf numFmtId="0" fontId="2" fillId="7" borderId="0" xfId="3" applyFont="1" applyFill="1" applyBorder="1" applyAlignment="1" applyProtection="1">
      <alignment horizontal="center"/>
      <protection hidden="1"/>
    </xf>
  </cellXfs>
  <cellStyles count="46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ハイパーリンク" xfId="2" builtinId="8"/>
    <cellStyle name="メモ 2" xfId="31"/>
    <cellStyle name="リンク セル 2" xfId="32"/>
    <cellStyle name="悪い 2" xfId="33"/>
    <cellStyle name="計算 2" xfId="34"/>
    <cellStyle name="警告文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_競技者" xfId="1"/>
    <cellStyle name="標準_競技者_hs" xfId="3"/>
    <cellStyle name="良い 2" xfId="45"/>
  </cellStyles>
  <dxfs count="84"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10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\mrk\mousikomi\2012\touroku\2007&#39640;&#26657;&#30331;&#376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rk/mousikomi/2019/2019_tea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データ"/>
      <sheetName val="競技者データ"/>
      <sheetName val="登録用紙"/>
      <sheetName val="追加登録用紙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説明"/>
      <sheetName val="メニュー"/>
      <sheetName val="大会申込"/>
      <sheetName val="陸連登録"/>
      <sheetName val="県外認知書"/>
      <sheetName val="個人種目選手権"/>
      <sheetName val="県選"/>
      <sheetName val="ジュニアO"/>
      <sheetName val="SF"/>
      <sheetName val="DENSO_CUP"/>
      <sheetName val="お伊勢さんマラソン"/>
      <sheetName val="振込票貼付用紙"/>
      <sheetName val="男子種目コード"/>
      <sheetName val="女子種目コード"/>
      <sheetName val="作業"/>
      <sheetName val="所属コード"/>
      <sheetName val="所属地コード"/>
      <sheetName val="選手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/>
          </cell>
          <cell r="N2" t="str">
            <v/>
          </cell>
        </row>
        <row r="3">
          <cell r="N3" t="str">
            <v/>
          </cell>
        </row>
        <row r="4">
          <cell r="N4" t="str">
            <v/>
          </cell>
        </row>
        <row r="5">
          <cell r="N5" t="str">
            <v/>
          </cell>
        </row>
        <row r="6">
          <cell r="N6" t="str">
            <v/>
          </cell>
        </row>
        <row r="7">
          <cell r="N7" t="str">
            <v/>
          </cell>
        </row>
        <row r="8">
          <cell r="N8" t="str">
            <v/>
          </cell>
        </row>
        <row r="9">
          <cell r="N9" t="str">
            <v/>
          </cell>
        </row>
        <row r="10">
          <cell r="N10" t="str">
            <v/>
          </cell>
        </row>
        <row r="11">
          <cell r="N11" t="str">
            <v/>
          </cell>
        </row>
        <row r="12">
          <cell r="N12" t="str">
            <v/>
          </cell>
        </row>
        <row r="13">
          <cell r="N13" t="str">
            <v/>
          </cell>
        </row>
        <row r="14">
          <cell r="N14" t="str">
            <v/>
          </cell>
        </row>
        <row r="15">
          <cell r="N15" t="str">
            <v/>
          </cell>
        </row>
        <row r="16">
          <cell r="N16" t="str">
            <v/>
          </cell>
        </row>
        <row r="17">
          <cell r="N17" t="str">
            <v/>
          </cell>
        </row>
        <row r="18">
          <cell r="N18" t="str">
            <v/>
          </cell>
        </row>
        <row r="19">
          <cell r="N19" t="str">
            <v/>
          </cell>
        </row>
        <row r="20">
          <cell r="N20" t="str">
            <v/>
          </cell>
        </row>
        <row r="21">
          <cell r="N21" t="str">
            <v/>
          </cell>
        </row>
        <row r="22">
          <cell r="N22" t="str">
            <v/>
          </cell>
        </row>
        <row r="23">
          <cell r="N23" t="str">
            <v/>
          </cell>
        </row>
        <row r="24">
          <cell r="N24" t="str">
            <v/>
          </cell>
        </row>
        <row r="25">
          <cell r="N25" t="str">
            <v/>
          </cell>
        </row>
        <row r="26">
          <cell r="N26" t="str">
            <v/>
          </cell>
        </row>
        <row r="27">
          <cell r="N27" t="str">
            <v/>
          </cell>
        </row>
        <row r="28">
          <cell r="N28" t="str">
            <v/>
          </cell>
        </row>
        <row r="29">
          <cell r="N29" t="str">
            <v/>
          </cell>
        </row>
        <row r="30">
          <cell r="N30" t="str">
            <v/>
          </cell>
        </row>
        <row r="31">
          <cell r="N31" t="str">
            <v/>
          </cell>
        </row>
        <row r="32">
          <cell r="N32" t="str">
            <v/>
          </cell>
        </row>
        <row r="33">
          <cell r="N33" t="str">
            <v/>
          </cell>
        </row>
        <row r="34">
          <cell r="N34" t="str">
            <v/>
          </cell>
        </row>
        <row r="35">
          <cell r="N35" t="str">
            <v/>
          </cell>
        </row>
        <row r="36">
          <cell r="N36" t="str">
            <v/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  <row r="45">
          <cell r="N45" t="str">
            <v/>
          </cell>
        </row>
        <row r="46">
          <cell r="N46" t="str">
            <v/>
          </cell>
        </row>
        <row r="47">
          <cell r="N47" t="str">
            <v/>
          </cell>
        </row>
        <row r="48">
          <cell r="N48" t="str">
            <v/>
          </cell>
        </row>
        <row r="49">
          <cell r="N49" t="str">
            <v/>
          </cell>
        </row>
        <row r="50">
          <cell r="N50" t="str">
            <v/>
          </cell>
        </row>
        <row r="51">
          <cell r="N51" t="str">
            <v/>
          </cell>
        </row>
        <row r="52">
          <cell r="N52" t="str">
            <v/>
          </cell>
        </row>
        <row r="53">
          <cell r="N53" t="str">
            <v/>
          </cell>
        </row>
        <row r="54">
          <cell r="N54" t="str">
            <v/>
          </cell>
        </row>
        <row r="55">
          <cell r="N55" t="str">
            <v/>
          </cell>
        </row>
        <row r="56">
          <cell r="N56" t="str">
            <v/>
          </cell>
        </row>
        <row r="57">
          <cell r="N57" t="str">
            <v/>
          </cell>
        </row>
        <row r="58">
          <cell r="N58" t="str">
            <v/>
          </cell>
        </row>
        <row r="59">
          <cell r="N59" t="str">
            <v/>
          </cell>
        </row>
        <row r="60">
          <cell r="N60" t="str">
            <v/>
          </cell>
        </row>
        <row r="61">
          <cell r="N61" t="str">
            <v/>
          </cell>
        </row>
        <row r="62">
          <cell r="N62" t="str">
            <v/>
          </cell>
        </row>
        <row r="63">
          <cell r="N63" t="str">
            <v/>
          </cell>
        </row>
        <row r="64">
          <cell r="N64" t="str">
            <v/>
          </cell>
        </row>
        <row r="65">
          <cell r="N65" t="str">
            <v/>
          </cell>
        </row>
        <row r="66">
          <cell r="N66" t="str">
            <v/>
          </cell>
        </row>
        <row r="67">
          <cell r="N67" t="str">
            <v/>
          </cell>
        </row>
        <row r="68">
          <cell r="N68" t="str">
            <v/>
          </cell>
        </row>
        <row r="69">
          <cell r="N69" t="str">
            <v/>
          </cell>
        </row>
        <row r="70">
          <cell r="N70" t="str">
            <v/>
          </cell>
        </row>
        <row r="71">
          <cell r="N71" t="str">
            <v/>
          </cell>
        </row>
        <row r="72">
          <cell r="N72" t="str">
            <v/>
          </cell>
        </row>
        <row r="73">
          <cell r="N73" t="str">
            <v/>
          </cell>
        </row>
        <row r="74">
          <cell r="N74" t="str">
            <v/>
          </cell>
        </row>
        <row r="75">
          <cell r="N75" t="str">
            <v/>
          </cell>
        </row>
        <row r="76">
          <cell r="N76" t="str">
            <v/>
          </cell>
        </row>
        <row r="77">
          <cell r="N77" t="str">
            <v/>
          </cell>
        </row>
        <row r="78">
          <cell r="N78" t="str">
            <v/>
          </cell>
        </row>
        <row r="79">
          <cell r="N79" t="str">
            <v/>
          </cell>
        </row>
        <row r="80">
          <cell r="N80" t="str">
            <v/>
          </cell>
        </row>
        <row r="81">
          <cell r="N81" t="str">
            <v/>
          </cell>
        </row>
        <row r="82">
          <cell r="N82" t="str">
            <v/>
          </cell>
        </row>
        <row r="83">
          <cell r="N83" t="str">
            <v/>
          </cell>
        </row>
        <row r="84">
          <cell r="N84" t="str">
            <v/>
          </cell>
        </row>
        <row r="85">
          <cell r="N85" t="str">
            <v/>
          </cell>
        </row>
        <row r="86">
          <cell r="N86" t="str">
            <v/>
          </cell>
        </row>
        <row r="87">
          <cell r="N87" t="str">
            <v/>
          </cell>
        </row>
        <row r="88">
          <cell r="N88" t="str">
            <v/>
          </cell>
        </row>
        <row r="89">
          <cell r="N89" t="str">
            <v/>
          </cell>
        </row>
        <row r="90">
          <cell r="N90" t="str">
            <v/>
          </cell>
        </row>
        <row r="91">
          <cell r="N91" t="str">
            <v/>
          </cell>
        </row>
        <row r="92">
          <cell r="N92" t="str">
            <v/>
          </cell>
        </row>
        <row r="93">
          <cell r="N93" t="str">
            <v/>
          </cell>
        </row>
        <row r="94">
          <cell r="N94" t="str">
            <v/>
          </cell>
        </row>
        <row r="95">
          <cell r="N95" t="str">
            <v/>
          </cell>
        </row>
        <row r="96">
          <cell r="N96" t="str">
            <v/>
          </cell>
        </row>
        <row r="97">
          <cell r="N97" t="str">
            <v/>
          </cell>
        </row>
        <row r="98">
          <cell r="N98" t="str">
            <v/>
          </cell>
        </row>
        <row r="99">
          <cell r="N99" t="str">
            <v/>
          </cell>
        </row>
        <row r="100">
          <cell r="N100" t="str">
            <v/>
          </cell>
        </row>
        <row r="101">
          <cell r="N101" t="str">
            <v/>
          </cell>
        </row>
        <row r="102">
          <cell r="N102" t="str">
            <v/>
          </cell>
        </row>
        <row r="103">
          <cell r="N103" t="str">
            <v/>
          </cell>
        </row>
        <row r="104">
          <cell r="N104" t="str">
            <v/>
          </cell>
        </row>
        <row r="105">
          <cell r="N105" t="str">
            <v/>
          </cell>
        </row>
        <row r="106">
          <cell r="N106" t="str">
            <v/>
          </cell>
        </row>
        <row r="107">
          <cell r="N107" t="str">
            <v/>
          </cell>
        </row>
        <row r="108">
          <cell r="N108" t="str">
            <v/>
          </cell>
        </row>
        <row r="109">
          <cell r="N109" t="str">
            <v/>
          </cell>
        </row>
        <row r="110">
          <cell r="N110" t="str">
            <v/>
          </cell>
        </row>
        <row r="111">
          <cell r="N111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>
        <row r="1">
          <cell r="A1" t="str">
            <v>国体1次高校県選</v>
          </cell>
        </row>
        <row r="2">
          <cell r="A2">
            <v>100</v>
          </cell>
          <cell r="B2">
            <v>1</v>
          </cell>
        </row>
        <row r="3">
          <cell r="A3">
            <v>200</v>
          </cell>
          <cell r="B3">
            <v>2</v>
          </cell>
        </row>
        <row r="4">
          <cell r="A4">
            <v>400</v>
          </cell>
          <cell r="B4">
            <v>3</v>
          </cell>
        </row>
        <row r="5">
          <cell r="A5">
            <v>800</v>
          </cell>
          <cell r="B5">
            <v>4</v>
          </cell>
        </row>
        <row r="6">
          <cell r="A6">
            <v>1500</v>
          </cell>
          <cell r="B6">
            <v>5</v>
          </cell>
        </row>
        <row r="7">
          <cell r="A7">
            <v>5000</v>
          </cell>
          <cell r="B7">
            <v>6</v>
          </cell>
        </row>
        <row r="8">
          <cell r="A8">
            <v>10000</v>
          </cell>
          <cell r="B8">
            <v>7</v>
          </cell>
        </row>
        <row r="9">
          <cell r="A9" t="str">
            <v>110H</v>
          </cell>
          <cell r="B9">
            <v>8</v>
          </cell>
        </row>
        <row r="10">
          <cell r="A10" t="str">
            <v>400H</v>
          </cell>
          <cell r="B10">
            <v>9</v>
          </cell>
        </row>
        <row r="11">
          <cell r="A11" t="str">
            <v>3000SC</v>
          </cell>
          <cell r="B11">
            <v>10</v>
          </cell>
        </row>
        <row r="12">
          <cell r="B12">
            <v>11</v>
          </cell>
        </row>
        <row r="13">
          <cell r="A13" t="str">
            <v>5000W</v>
          </cell>
          <cell r="B13">
            <v>12</v>
          </cell>
        </row>
        <row r="14">
          <cell r="A14" t="str">
            <v>4×100</v>
          </cell>
          <cell r="B14">
            <v>13</v>
          </cell>
        </row>
        <row r="15">
          <cell r="A15" t="str">
            <v>4×400</v>
          </cell>
          <cell r="B15">
            <v>14</v>
          </cell>
        </row>
        <row r="16">
          <cell r="A16" t="str">
            <v>走高跳</v>
          </cell>
          <cell r="B16">
            <v>15</v>
          </cell>
        </row>
        <row r="17">
          <cell r="A17" t="str">
            <v>棒高跳</v>
          </cell>
          <cell r="B17">
            <v>16</v>
          </cell>
        </row>
        <row r="18">
          <cell r="A18" t="str">
            <v>走幅跳</v>
          </cell>
          <cell r="B18">
            <v>17</v>
          </cell>
        </row>
        <row r="19">
          <cell r="A19" t="str">
            <v>三段跳</v>
          </cell>
          <cell r="B19">
            <v>18</v>
          </cell>
        </row>
        <row r="20">
          <cell r="A20" t="str">
            <v>砲丸投</v>
          </cell>
          <cell r="B20">
            <v>19</v>
          </cell>
        </row>
        <row r="21">
          <cell r="A21" t="str">
            <v>円盤投</v>
          </cell>
          <cell r="B21">
            <v>20</v>
          </cell>
        </row>
        <row r="22">
          <cell r="A22" t="str">
            <v>ハンマー投</v>
          </cell>
          <cell r="B22">
            <v>21</v>
          </cell>
        </row>
        <row r="23">
          <cell r="A23" t="str">
            <v>やり投</v>
          </cell>
          <cell r="B23">
            <v>22</v>
          </cell>
        </row>
        <row r="24">
          <cell r="A24" t="str">
            <v>8種</v>
          </cell>
          <cell r="B24">
            <v>23</v>
          </cell>
        </row>
        <row r="25">
          <cell r="A25" t="str">
            <v>少年3000</v>
          </cell>
          <cell r="B25">
            <v>24</v>
          </cell>
        </row>
        <row r="26">
          <cell r="A26" t="str">
            <v>少年砲丸投</v>
          </cell>
          <cell r="B26">
            <v>25</v>
          </cell>
        </row>
        <row r="27">
          <cell r="A27" t="str">
            <v>少年円盤投</v>
          </cell>
          <cell r="B27">
            <v>26</v>
          </cell>
        </row>
        <row r="28">
          <cell r="A28" t="str">
            <v>少年ハンマー投</v>
          </cell>
          <cell r="B28">
            <v>27</v>
          </cell>
        </row>
        <row r="29">
          <cell r="A29" t="str">
            <v>少年B100</v>
          </cell>
          <cell r="B29">
            <v>28</v>
          </cell>
        </row>
        <row r="30">
          <cell r="A30" t="str">
            <v>少年B砲丸投</v>
          </cell>
          <cell r="B30">
            <v>29</v>
          </cell>
        </row>
        <row r="31">
          <cell r="A31" t="str">
            <v>少年B円盤投</v>
          </cell>
          <cell r="B31">
            <v>30</v>
          </cell>
        </row>
        <row r="32">
          <cell r="A32" t="str">
            <v>少年Aハンマー投</v>
          </cell>
          <cell r="B32">
            <v>31</v>
          </cell>
        </row>
        <row r="33">
          <cell r="A33" t="str">
            <v>記録会5000</v>
          </cell>
          <cell r="B33">
            <v>32</v>
          </cell>
        </row>
      </sheetData>
      <sheetData sheetId="14">
        <row r="36">
          <cell r="A36">
            <v>100</v>
          </cell>
          <cell r="B36">
            <v>40</v>
          </cell>
        </row>
        <row r="37">
          <cell r="A37">
            <v>200</v>
          </cell>
          <cell r="B37">
            <v>41</v>
          </cell>
        </row>
        <row r="38">
          <cell r="A38">
            <v>400</v>
          </cell>
          <cell r="B38">
            <v>42</v>
          </cell>
        </row>
        <row r="39">
          <cell r="A39">
            <v>800</v>
          </cell>
          <cell r="B39">
            <v>43</v>
          </cell>
        </row>
        <row r="40">
          <cell r="A40">
            <v>1500</v>
          </cell>
          <cell r="B40">
            <v>44</v>
          </cell>
        </row>
        <row r="41">
          <cell r="A41">
            <v>3000</v>
          </cell>
          <cell r="B41">
            <v>45</v>
          </cell>
        </row>
        <row r="42">
          <cell r="A42">
            <v>5000</v>
          </cell>
          <cell r="B42">
            <v>46</v>
          </cell>
        </row>
        <row r="43">
          <cell r="A43">
            <v>10000</v>
          </cell>
          <cell r="B43">
            <v>47</v>
          </cell>
        </row>
        <row r="44">
          <cell r="A44" t="str">
            <v>100H</v>
          </cell>
          <cell r="B44">
            <v>48</v>
          </cell>
        </row>
        <row r="45">
          <cell r="A45" t="str">
            <v>400H</v>
          </cell>
          <cell r="B45">
            <v>49</v>
          </cell>
        </row>
        <row r="46">
          <cell r="B46">
            <v>50</v>
          </cell>
        </row>
        <row r="47">
          <cell r="A47" t="str">
            <v>3000W</v>
          </cell>
          <cell r="B47">
            <v>51</v>
          </cell>
        </row>
        <row r="48">
          <cell r="A48" t="str">
            <v>5000W</v>
          </cell>
          <cell r="B48">
            <v>52</v>
          </cell>
        </row>
        <row r="49">
          <cell r="A49" t="str">
            <v>4×100</v>
          </cell>
          <cell r="B49">
            <v>53</v>
          </cell>
        </row>
        <row r="50">
          <cell r="A50" t="str">
            <v>4×400</v>
          </cell>
          <cell r="B50">
            <v>54</v>
          </cell>
        </row>
        <row r="51">
          <cell r="A51" t="str">
            <v>走高跳</v>
          </cell>
          <cell r="B51">
            <v>55</v>
          </cell>
        </row>
        <row r="52">
          <cell r="A52" t="str">
            <v>棒高跳</v>
          </cell>
          <cell r="B52">
            <v>56</v>
          </cell>
        </row>
        <row r="53">
          <cell r="A53" t="str">
            <v>走幅跳</v>
          </cell>
          <cell r="B53">
            <v>57</v>
          </cell>
        </row>
        <row r="54">
          <cell r="A54" t="str">
            <v>三段跳</v>
          </cell>
          <cell r="B54">
            <v>58</v>
          </cell>
        </row>
        <row r="55">
          <cell r="A55" t="str">
            <v>砲丸投</v>
          </cell>
          <cell r="B55">
            <v>59</v>
          </cell>
        </row>
        <row r="56">
          <cell r="A56" t="str">
            <v>円盤投</v>
          </cell>
          <cell r="B56">
            <v>60</v>
          </cell>
        </row>
        <row r="57">
          <cell r="A57" t="str">
            <v>ハンマー投</v>
          </cell>
          <cell r="B57">
            <v>61</v>
          </cell>
        </row>
        <row r="58">
          <cell r="A58" t="str">
            <v>やり投</v>
          </cell>
          <cell r="B58">
            <v>62</v>
          </cell>
        </row>
        <row r="59">
          <cell r="A59" t="str">
            <v>7種</v>
          </cell>
          <cell r="B59">
            <v>63</v>
          </cell>
        </row>
        <row r="60">
          <cell r="B60">
            <v>64</v>
          </cell>
        </row>
        <row r="61">
          <cell r="B61">
            <v>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34"/>
    <pageSetUpPr fitToPage="1"/>
  </sheetPr>
  <dimension ref="A1:BO144"/>
  <sheetViews>
    <sheetView showGridLines="0" showZeros="0" tabSelected="1" topLeftCell="E1" zoomScale="90" zoomScaleNormal="90" workbookViewId="0">
      <selection activeCell="BP12" sqref="BP12"/>
    </sheetView>
  </sheetViews>
  <sheetFormatPr defaultColWidth="8.625" defaultRowHeight="13.5"/>
  <cols>
    <col min="1" max="1" width="9.625" style="1" hidden="1" customWidth="1"/>
    <col min="2" max="2" width="8.125" style="1" hidden="1" customWidth="1"/>
    <col min="3" max="3" width="7" style="1" hidden="1" customWidth="1"/>
    <col min="4" max="4" width="5.875" style="1" hidden="1" customWidth="1"/>
    <col min="5" max="5" width="10.25" style="15" bestFit="1" customWidth="1"/>
    <col min="6" max="6" width="15.125" style="15" customWidth="1"/>
    <col min="7" max="7" width="17.375" style="207" bestFit="1" customWidth="1"/>
    <col min="8" max="8" width="8.5" style="208" hidden="1" customWidth="1"/>
    <col min="9" max="9" width="4.75" style="208" customWidth="1"/>
    <col min="10" max="10" width="6.375" style="105" customWidth="1"/>
    <col min="11" max="11" width="6.5" style="105" hidden="1" customWidth="1"/>
    <col min="12" max="12" width="6.5" style="15" hidden="1" customWidth="1"/>
    <col min="13" max="13" width="6.5" style="198" hidden="1" customWidth="1"/>
    <col min="14" max="14" width="10.25" style="209" bestFit="1" customWidth="1"/>
    <col min="15" max="15" width="9.5" style="210" customWidth="1"/>
    <col min="16" max="16" width="8.25" style="201" hidden="1" customWidth="1"/>
    <col min="17" max="17" width="12.75" style="209" customWidth="1"/>
    <col min="18" max="18" width="3.875" style="210" hidden="1" customWidth="1"/>
    <col min="19" max="19" width="3.75" style="201" hidden="1" customWidth="1"/>
    <col min="20" max="20" width="9.625" style="209" customWidth="1"/>
    <col min="21" max="21" width="12.375" style="210" hidden="1" customWidth="1"/>
    <col min="22" max="22" width="12.625" style="201" customWidth="1"/>
    <col min="23" max="23" width="9.25" style="209" hidden="1" customWidth="1"/>
    <col min="24" max="24" width="14.75" style="210" hidden="1" customWidth="1"/>
    <col min="25" max="25" width="12.5" style="201" hidden="1" customWidth="1"/>
    <col min="26" max="26" width="14.125" style="209" hidden="1" customWidth="1"/>
    <col min="27" max="27" width="16.25" style="210" hidden="1" customWidth="1"/>
    <col min="28" max="28" width="13.5" style="105" hidden="1" customWidth="1"/>
    <col min="29" max="29" width="10.375" style="105" hidden="1" customWidth="1"/>
    <col min="30" max="30" width="9.625" style="15" hidden="1" customWidth="1"/>
    <col min="31" max="31" width="6.75" style="167" hidden="1" customWidth="1"/>
    <col min="32" max="32" width="7.25" style="15" hidden="1" customWidth="1"/>
    <col min="33" max="33" width="7.125" style="211" hidden="1" customWidth="1"/>
    <col min="34" max="34" width="9.5" style="208" hidden="1" customWidth="1"/>
    <col min="35" max="35" width="8.5" style="212" hidden="1" customWidth="1"/>
    <col min="36" max="36" width="8.375" style="212" hidden="1" customWidth="1"/>
    <col min="37" max="37" width="5.875" style="213" hidden="1" customWidth="1"/>
    <col min="38" max="38" width="5.375" style="213" hidden="1" customWidth="1"/>
    <col min="39" max="39" width="6.125" style="213" hidden="1" customWidth="1"/>
    <col min="40" max="40" width="5.5" style="213" hidden="1" customWidth="1"/>
    <col min="41" max="41" width="5.5" style="15" hidden="1" customWidth="1"/>
    <col min="42" max="42" width="6.875" style="15" hidden="1" customWidth="1"/>
    <col min="43" max="43" width="4" style="15" hidden="1" customWidth="1"/>
    <col min="44" max="44" width="5.25" style="15" hidden="1" customWidth="1"/>
    <col min="45" max="45" width="8.875" style="15" customWidth="1"/>
    <col min="46" max="46" width="4.875" style="15" customWidth="1"/>
    <col min="47" max="47" width="3.625" style="15" hidden="1" customWidth="1"/>
    <col min="48" max="48" width="7.5" style="15" hidden="1" customWidth="1"/>
    <col min="49" max="49" width="5.375" style="15" hidden="1" customWidth="1"/>
    <col min="50" max="50" width="13.25" style="173" hidden="1" customWidth="1"/>
    <col min="51" max="52" width="7.5" style="173" hidden="1" customWidth="1"/>
    <col min="53" max="53" width="6.625" style="1" hidden="1" customWidth="1"/>
    <col min="54" max="54" width="5.5" style="15" hidden="1" customWidth="1"/>
    <col min="55" max="56" width="11.75" style="15" hidden="1" customWidth="1"/>
    <col min="57" max="57" width="7.125" style="15" hidden="1" customWidth="1"/>
    <col min="58" max="58" width="7.25" style="15" hidden="1" customWidth="1"/>
    <col min="59" max="59" width="8" style="15" hidden="1" customWidth="1"/>
    <col min="60" max="60" width="6.5" style="15" hidden="1" customWidth="1"/>
    <col min="61" max="61" width="4.625" style="15" hidden="1" customWidth="1"/>
    <col min="62" max="62" width="6.75" style="15" hidden="1" customWidth="1"/>
    <col min="63" max="64" width="5" style="15" hidden="1" customWidth="1"/>
    <col min="65" max="65" width="6" style="15" hidden="1" customWidth="1"/>
    <col min="66" max="66" width="7.125" style="194" hidden="1" customWidth="1"/>
    <col min="67" max="67" width="17.125" style="15" customWidth="1"/>
    <col min="68" max="68" width="19.75" style="15" customWidth="1"/>
    <col min="69" max="69" width="15.375" style="15" customWidth="1"/>
    <col min="70" max="16384" width="8.625" style="15"/>
  </cols>
  <sheetData>
    <row r="1" spans="1:67" ht="27" customHeight="1">
      <c r="B1" s="2"/>
      <c r="C1" s="3"/>
      <c r="D1" s="4"/>
      <c r="E1" s="5" t="s">
        <v>0</v>
      </c>
      <c r="F1" s="214" t="s">
        <v>49</v>
      </c>
      <c r="G1" s="6"/>
      <c r="H1" s="7"/>
      <c r="I1" s="8"/>
      <c r="J1" s="9"/>
      <c r="K1" s="9"/>
      <c r="L1" s="10"/>
      <c r="M1" s="11"/>
      <c r="N1" s="12"/>
      <c r="O1" s="262" t="s">
        <v>1</v>
      </c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6"/>
      <c r="AV1" s="10"/>
      <c r="AW1" s="10"/>
      <c r="AX1" s="13"/>
      <c r="AY1" s="14"/>
      <c r="AZ1" s="14"/>
      <c r="BA1" s="4"/>
      <c r="BB1" s="10"/>
      <c r="BM1" s="10"/>
      <c r="BN1" s="10"/>
      <c r="BO1" s="10"/>
    </row>
    <row r="2" spans="1:67" ht="27" customHeight="1">
      <c r="B2" s="2"/>
      <c r="C2" s="14"/>
      <c r="D2" s="4"/>
      <c r="E2" s="5" t="s">
        <v>2</v>
      </c>
      <c r="F2" s="202">
        <v>230000</v>
      </c>
      <c r="G2" s="17"/>
      <c r="H2" s="8"/>
      <c r="I2" s="8"/>
      <c r="J2" s="9"/>
      <c r="K2" s="9"/>
      <c r="L2" s="10"/>
      <c r="M2" s="11"/>
      <c r="N2" s="8"/>
      <c r="O2" s="18"/>
      <c r="P2" s="19"/>
      <c r="Q2" s="20"/>
      <c r="R2" s="21"/>
      <c r="S2" s="22"/>
      <c r="T2" s="20"/>
      <c r="U2" s="263"/>
      <c r="V2" s="264"/>
      <c r="W2" s="8"/>
      <c r="X2" s="11"/>
      <c r="Y2" s="23"/>
      <c r="Z2" s="12"/>
      <c r="AA2" s="11"/>
      <c r="AB2" s="9"/>
      <c r="AC2" s="9"/>
      <c r="AD2" s="10"/>
      <c r="AE2" s="16"/>
      <c r="AF2" s="10"/>
      <c r="AG2" s="24"/>
      <c r="AH2" s="8"/>
      <c r="AI2" s="25"/>
      <c r="AJ2" s="25"/>
      <c r="AK2" s="26"/>
      <c r="AL2" s="26"/>
      <c r="AM2" s="26"/>
      <c r="AN2" s="26"/>
      <c r="AO2" s="10"/>
      <c r="AS2" s="10"/>
      <c r="AT2" s="10"/>
      <c r="AU2" s="10"/>
      <c r="AV2" s="10"/>
      <c r="AW2" s="10"/>
      <c r="AX2" s="14"/>
      <c r="AY2" s="14"/>
      <c r="AZ2" s="14"/>
      <c r="BA2" s="4"/>
      <c r="BB2" s="10"/>
      <c r="BM2" s="10"/>
      <c r="BN2" s="10"/>
      <c r="BO2" s="10"/>
    </row>
    <row r="3" spans="1:67" ht="27" customHeight="1">
      <c r="B3" s="2"/>
      <c r="C3" s="14"/>
      <c r="D3" s="14"/>
      <c r="E3" s="2" t="s">
        <v>50</v>
      </c>
      <c r="F3" s="27"/>
      <c r="G3" s="28" t="s">
        <v>3</v>
      </c>
      <c r="H3" s="8"/>
      <c r="I3" s="29">
        <f>COUNTIF($I$7:$I$116,1)-COUNTIF($BK$7:$BK$116,0)</f>
        <v>0</v>
      </c>
      <c r="J3" s="29"/>
      <c r="K3" s="29"/>
      <c r="L3" s="10"/>
      <c r="M3" s="30"/>
      <c r="N3" s="31"/>
      <c r="O3" s="32">
        <f>AT24</f>
        <v>0</v>
      </c>
      <c r="P3" s="19"/>
      <c r="Q3" s="20"/>
      <c r="R3" s="21"/>
      <c r="S3" s="22"/>
      <c r="T3" s="20"/>
      <c r="U3" s="33"/>
      <c r="V3" s="34"/>
      <c r="W3" s="8"/>
      <c r="X3" s="11"/>
      <c r="Y3" s="23"/>
      <c r="Z3" s="12"/>
      <c r="AA3" s="11"/>
      <c r="AB3" s="9"/>
      <c r="AC3" s="9"/>
      <c r="AD3" s="10"/>
      <c r="AE3" s="16"/>
      <c r="AF3" s="10"/>
      <c r="AG3" s="24"/>
      <c r="AH3" s="8"/>
      <c r="AI3" s="25"/>
      <c r="AJ3" s="25"/>
      <c r="AK3" s="26"/>
      <c r="AL3" s="26"/>
      <c r="AM3" s="26"/>
      <c r="AN3" s="26"/>
      <c r="AO3" s="10"/>
      <c r="AS3" s="10"/>
      <c r="AT3" s="10"/>
      <c r="AU3" s="10"/>
      <c r="AV3" s="10"/>
      <c r="AW3" s="10"/>
      <c r="AX3" s="14"/>
      <c r="AY3" s="14"/>
      <c r="AZ3" s="14"/>
      <c r="BA3" s="4"/>
      <c r="BB3" s="4"/>
      <c r="BC3" s="1"/>
      <c r="BM3" s="10"/>
      <c r="BN3" s="10"/>
      <c r="BO3" s="10"/>
    </row>
    <row r="4" spans="1:67" ht="27" customHeight="1" thickBot="1">
      <c r="B4" s="2"/>
      <c r="C4" s="14"/>
      <c r="D4" s="14"/>
      <c r="E4" s="2" t="s">
        <v>51</v>
      </c>
      <c r="F4" s="35"/>
      <c r="G4" s="28" t="s">
        <v>4</v>
      </c>
      <c r="H4" s="31"/>
      <c r="I4" s="29">
        <f>COUNTIF($I$7:$I$116,2)-COUNTIF($BL$7:$BL$116,0)</f>
        <v>0</v>
      </c>
      <c r="J4" s="36" t="s">
        <v>5</v>
      </c>
      <c r="K4" s="29"/>
      <c r="L4" s="37"/>
      <c r="M4" s="30"/>
      <c r="N4" s="8"/>
      <c r="O4" s="38">
        <f>I3+I4</f>
        <v>0</v>
      </c>
      <c r="P4" s="39"/>
      <c r="Q4" s="38" t="s">
        <v>6</v>
      </c>
      <c r="R4" s="40"/>
      <c r="S4" s="38"/>
      <c r="T4" s="41"/>
      <c r="U4" s="42"/>
      <c r="V4" s="43"/>
      <c r="W4" s="44"/>
      <c r="X4" s="45"/>
      <c r="Y4" s="46"/>
      <c r="Z4" s="47"/>
      <c r="AA4" s="45"/>
      <c r="AB4" s="48"/>
      <c r="AC4" s="48"/>
      <c r="AD4" s="49">
        <f>BN119*1000+AT24*2000+I5*800</f>
        <v>0</v>
      </c>
      <c r="AE4" s="16"/>
      <c r="AF4" s="10"/>
      <c r="AG4" s="24"/>
      <c r="AH4" s="8"/>
      <c r="AI4" s="25"/>
      <c r="AJ4" s="25"/>
      <c r="AK4" s="26"/>
      <c r="AL4" s="26"/>
      <c r="AM4" s="26"/>
      <c r="AN4" s="26"/>
      <c r="AO4" s="10"/>
      <c r="AS4" s="10"/>
      <c r="AT4" s="10"/>
      <c r="AU4" s="10"/>
      <c r="AV4" s="10"/>
      <c r="AW4" s="10"/>
      <c r="AX4" s="14"/>
      <c r="AY4" s="14"/>
      <c r="AZ4" s="14"/>
      <c r="BA4" s="4"/>
      <c r="BB4" s="4"/>
      <c r="BC4" s="1"/>
      <c r="BM4" s="10"/>
      <c r="BN4" s="10"/>
      <c r="BO4" s="10"/>
    </row>
    <row r="5" spans="1:67" ht="27" customHeight="1" thickTop="1" thickBot="1">
      <c r="B5" s="20"/>
      <c r="C5" s="50"/>
      <c r="D5" s="4"/>
      <c r="E5" s="8"/>
      <c r="F5" s="51"/>
      <c r="G5" s="52" t="s">
        <v>7</v>
      </c>
      <c r="H5" s="53"/>
      <c r="I5" s="54"/>
      <c r="J5" s="55" t="s">
        <v>8</v>
      </c>
      <c r="K5" s="9"/>
      <c r="L5" s="10"/>
      <c r="M5" s="11"/>
      <c r="N5" s="8"/>
      <c r="O5" s="18"/>
      <c r="P5" s="19"/>
      <c r="Q5" s="8"/>
      <c r="R5" s="11"/>
      <c r="S5" s="23"/>
      <c r="T5" s="8"/>
      <c r="U5" s="33"/>
      <c r="V5" s="34"/>
      <c r="W5" s="8"/>
      <c r="X5" s="11"/>
      <c r="Y5" s="23"/>
      <c r="Z5" s="12"/>
      <c r="AA5" s="11"/>
      <c r="AB5" s="9"/>
      <c r="AC5" s="9"/>
      <c r="AD5" s="10"/>
      <c r="AE5" s="16"/>
      <c r="AF5" s="10"/>
      <c r="AG5" s="24"/>
      <c r="AH5" s="8"/>
      <c r="AI5" s="25"/>
      <c r="AJ5" s="25"/>
      <c r="AK5" s="26"/>
      <c r="AL5" s="26"/>
      <c r="AM5" s="26"/>
      <c r="AN5" s="26"/>
      <c r="AO5" s="10"/>
      <c r="AS5" s="10"/>
      <c r="AT5" s="10"/>
      <c r="AU5" s="10"/>
      <c r="AV5" s="10"/>
      <c r="AW5" s="10"/>
      <c r="AX5" s="14"/>
      <c r="AY5" s="14"/>
      <c r="AZ5" s="14"/>
      <c r="BA5" s="4"/>
      <c r="BB5" s="4"/>
      <c r="BC5" s="1"/>
      <c r="BM5" s="10"/>
      <c r="BN5" s="10"/>
      <c r="BO5" s="10"/>
    </row>
    <row r="6" spans="1:67" s="85" customFormat="1" ht="14.25" thickBot="1">
      <c r="A6" s="56" t="s">
        <v>9</v>
      </c>
      <c r="B6" s="57" t="s">
        <v>10</v>
      </c>
      <c r="C6" s="57" t="s">
        <v>11</v>
      </c>
      <c r="D6" s="58" t="s">
        <v>12</v>
      </c>
      <c r="E6" s="59" t="s">
        <v>13</v>
      </c>
      <c r="F6" s="60" t="s">
        <v>14</v>
      </c>
      <c r="G6" s="60" t="s">
        <v>15</v>
      </c>
      <c r="H6" s="60" t="s">
        <v>16</v>
      </c>
      <c r="I6" s="60" t="s">
        <v>17</v>
      </c>
      <c r="J6" s="60" t="s">
        <v>18</v>
      </c>
      <c r="K6" s="61" t="s">
        <v>19</v>
      </c>
      <c r="L6" s="62" t="s">
        <v>20</v>
      </c>
      <c r="M6" s="63" t="s">
        <v>21</v>
      </c>
      <c r="N6" s="64" t="s">
        <v>22</v>
      </c>
      <c r="O6" s="65" t="s">
        <v>23</v>
      </c>
      <c r="P6" s="66" t="s">
        <v>24</v>
      </c>
      <c r="Q6" s="67" t="s">
        <v>25</v>
      </c>
      <c r="R6" s="68"/>
      <c r="S6" s="69"/>
      <c r="T6" s="65" t="s">
        <v>26</v>
      </c>
      <c r="U6" s="66" t="s">
        <v>24</v>
      </c>
      <c r="V6" s="67" t="s">
        <v>25</v>
      </c>
      <c r="W6" s="68"/>
      <c r="X6" s="69"/>
      <c r="Y6" s="65" t="s">
        <v>27</v>
      </c>
      <c r="Z6" s="66" t="s">
        <v>24</v>
      </c>
      <c r="AA6" s="67" t="s">
        <v>25</v>
      </c>
      <c r="AB6" s="68"/>
      <c r="AC6" s="69"/>
      <c r="AD6" s="70" t="s">
        <v>28</v>
      </c>
      <c r="AE6" s="71" t="s">
        <v>24</v>
      </c>
      <c r="AF6" s="72" t="s">
        <v>29</v>
      </c>
      <c r="AG6" s="72"/>
      <c r="AH6" s="72"/>
      <c r="AI6" s="73" t="s">
        <v>30</v>
      </c>
      <c r="AJ6" s="74" t="s">
        <v>24</v>
      </c>
      <c r="AK6" s="75" t="s">
        <v>31</v>
      </c>
      <c r="AL6" s="76"/>
      <c r="AM6" s="76"/>
      <c r="AN6" s="77"/>
      <c r="AO6" s="77"/>
      <c r="AP6" s="78"/>
      <c r="AQ6" s="79"/>
      <c r="AR6" s="78"/>
      <c r="AS6" s="265" t="s">
        <v>32</v>
      </c>
      <c r="AT6" s="266"/>
      <c r="AU6" s="80"/>
      <c r="AV6" s="81" t="s">
        <v>33</v>
      </c>
      <c r="AW6" s="267" t="s">
        <v>34</v>
      </c>
      <c r="AX6" s="268"/>
      <c r="AY6" s="82"/>
      <c r="AZ6" s="83"/>
      <c r="BA6" s="84"/>
      <c r="BI6" s="86"/>
      <c r="BJ6" s="87" t="s">
        <v>35</v>
      </c>
      <c r="BK6" s="87" t="s">
        <v>36</v>
      </c>
      <c r="BL6" s="87" t="s">
        <v>37</v>
      </c>
      <c r="BM6" s="84"/>
      <c r="BN6" s="84"/>
      <c r="BO6" s="84"/>
    </row>
    <row r="7" spans="1:67">
      <c r="A7" s="1" t="b">
        <f>IF(I7=1,IF(AD7="男子",1),IF(AD7="女子",2))</f>
        <v>0</v>
      </c>
      <c r="B7" s="88" t="str">
        <f>[2]陸連登録!N2</f>
        <v/>
      </c>
      <c r="C7" s="1" t="b">
        <f>IF(AI7=$AW$24,1)</f>
        <v>0</v>
      </c>
      <c r="D7" s="89"/>
      <c r="E7" s="217"/>
      <c r="F7" s="218"/>
      <c r="G7" s="219"/>
      <c r="H7" s="220"/>
      <c r="I7" s="221"/>
      <c r="J7" s="222"/>
      <c r="K7" s="223"/>
      <c r="L7" s="224"/>
      <c r="M7" s="219"/>
      <c r="N7" s="225"/>
      <c r="O7" s="90"/>
      <c r="P7" s="91" t="str">
        <f t="shared" ref="P7:P38" si="0">IF(O7="","",IF(I7=1,VLOOKUP(O7,$AS$7:$AU$10,3,FALSE),IF(I7=2,VLOOKUP(O7,$AS$13:$AU$16,3,FALSE))))</f>
        <v/>
      </c>
      <c r="Q7" s="92"/>
      <c r="R7" s="93">
        <v>0</v>
      </c>
      <c r="S7" s="94">
        <v>2</v>
      </c>
      <c r="T7" s="90"/>
      <c r="U7" s="91" t="str">
        <f t="shared" ref="U7:U38" si="1">IF(T7="","",IF(I7=1,VLOOKUP(T7,$AS$7:$AU$10,3,FALSE),IF(N7=2,VLOOKUP(I7,$AS$13:$AU$16,3,FALSE))))</f>
        <v/>
      </c>
      <c r="V7" s="92"/>
      <c r="W7" s="93">
        <v>0</v>
      </c>
      <c r="X7" s="94">
        <v>2</v>
      </c>
      <c r="Y7" s="96"/>
      <c r="Z7" s="91" t="str">
        <f>IF(Y7="","",IF(I7=1,VLOOKUP(Y7,[2]男子種目コード!$A$1:$B$33,2,FALSE),IF(I7=2,VLOOKUP(Y7,[2]女子種目コード!$A$36:$B$66,2,FALSE))))</f>
        <v/>
      </c>
      <c r="AA7" s="92" t="str">
        <f>IF(Y7="","",HLOOKUP(Y7,#REF!,2,FALSE))</f>
        <v/>
      </c>
      <c r="AB7" s="93">
        <v>0</v>
      </c>
      <c r="AC7" s="94">
        <v>2</v>
      </c>
      <c r="AD7" s="97"/>
      <c r="AE7" s="98" t="str">
        <f>IF(AD7="","",IF(AD7="男子",10,26))</f>
        <v/>
      </c>
      <c r="AF7" s="99"/>
      <c r="AG7" s="100"/>
      <c r="AH7" s="100">
        <v>2</v>
      </c>
      <c r="AI7" s="101"/>
      <c r="AJ7" s="102" t="str">
        <f>IF(AI7=$AW$24,27,"")</f>
        <v/>
      </c>
      <c r="AK7" s="103"/>
      <c r="AL7" s="104">
        <v>0</v>
      </c>
      <c r="AM7" s="104">
        <v>2</v>
      </c>
      <c r="AN7" s="105"/>
      <c r="AO7" s="105"/>
      <c r="AQ7" s="106"/>
      <c r="AS7" s="107" t="s">
        <v>38</v>
      </c>
      <c r="AT7" s="108">
        <f>COUNTIF($P$7:$P$116,1)+COUNTIF($U$7:$U$116,1)+COUNTIF($Z$7:$Z$116,1)</f>
        <v>0</v>
      </c>
      <c r="AU7" s="109">
        <v>1</v>
      </c>
      <c r="AV7" s="110" t="s">
        <v>39</v>
      </c>
      <c r="AW7" s="269"/>
      <c r="AX7" s="270"/>
      <c r="AY7" s="111"/>
      <c r="AZ7" s="83"/>
      <c r="BA7" s="10"/>
      <c r="BB7" s="112" t="str">
        <f t="shared" ref="BB7:BB43" si="2">IF(O7="","",1)</f>
        <v/>
      </c>
      <c r="BC7" s="112">
        <f t="shared" ref="BC7:BC43" si="3">IF(OR(BB7=1,T7=""),0,1)</f>
        <v>0</v>
      </c>
      <c r="BD7" s="112">
        <f t="shared" ref="BD7:BD43" si="4">IF(OR(BB7=1,BC7=1,Y7=""),0,1)</f>
        <v>0</v>
      </c>
      <c r="BE7" s="112">
        <f t="shared" ref="BE7:BE43" si="5">IF(OR(BB7=1,BC7=1,BD7=1,AD7=""),0,1)</f>
        <v>0</v>
      </c>
      <c r="BF7" s="112">
        <f t="shared" ref="BF7:BF43" si="6">IF(OR(BB7=1,BC7=1,BD7=1,BE7=1,AI7=""),0,1)</f>
        <v>0</v>
      </c>
      <c r="BI7" s="86"/>
      <c r="BJ7" s="15">
        <f>COUNT(P7,U7,Z7,AE7,AJ7)</f>
        <v>0</v>
      </c>
      <c r="BK7" s="15" t="str">
        <f t="shared" ref="BK7:BK70" si="7">IF(I7=1,BJ7,"")</f>
        <v/>
      </c>
      <c r="BL7" s="15" t="str">
        <f t="shared" ref="BL7:BL70" si="8">IF(I7=2,BJ7,"")</f>
        <v/>
      </c>
      <c r="BM7" s="113" t="str">
        <f>IF(O7="","",1)</f>
        <v/>
      </c>
      <c r="BN7" s="112">
        <f>IF(OR(BM7=1,T7=""),0,1)</f>
        <v>0</v>
      </c>
      <c r="BO7" s="10"/>
    </row>
    <row r="8" spans="1:67">
      <c r="A8" s="1" t="b">
        <f t="shared" ref="A8:A71" si="9">IF(I8=1,IF(AD8="男子",1),IF(AD8="女子",2))</f>
        <v>0</v>
      </c>
      <c r="B8" s="88" t="str">
        <f>[2]陸連登録!N3</f>
        <v/>
      </c>
      <c r="C8" s="1" t="b">
        <f t="shared" ref="C8:C71" si="10">IF(AI8=$AW$24,1)</f>
        <v>0</v>
      </c>
      <c r="D8" s="89"/>
      <c r="E8" s="226"/>
      <c r="F8" s="227"/>
      <c r="G8" s="228"/>
      <c r="H8" s="229"/>
      <c r="I8" s="230"/>
      <c r="J8" s="231"/>
      <c r="K8" s="232"/>
      <c r="L8" s="233"/>
      <c r="M8" s="228"/>
      <c r="N8" s="234"/>
      <c r="O8" s="90"/>
      <c r="P8" s="91" t="str">
        <f t="shared" si="0"/>
        <v/>
      </c>
      <c r="Q8" s="114"/>
      <c r="R8" s="115">
        <v>0</v>
      </c>
      <c r="S8" s="116">
        <v>2</v>
      </c>
      <c r="T8" s="90"/>
      <c r="U8" s="91" t="str">
        <f t="shared" si="1"/>
        <v/>
      </c>
      <c r="V8" s="114"/>
      <c r="W8" s="115">
        <v>0</v>
      </c>
      <c r="X8" s="116">
        <v>2</v>
      </c>
      <c r="Y8" s="118"/>
      <c r="Z8" s="119" t="str">
        <f>IF(Y8="","",IF(I8=1,VLOOKUP(Y8,[2]男子種目コード!$A$1:$B$33,2,FALSE),IF(I8=2,VLOOKUP(Y8,[2]女子種目コード!$A$36:$B$66,2,FALSE))))</f>
        <v/>
      </c>
      <c r="AA8" s="114" t="str">
        <f>IF(Y8="","",HLOOKUP(Y8,#REF!,3,FALSE))</f>
        <v/>
      </c>
      <c r="AB8" s="115">
        <v>0</v>
      </c>
      <c r="AC8" s="116">
        <v>2</v>
      </c>
      <c r="AD8" s="97"/>
      <c r="AE8" s="98" t="str">
        <f>IF(AD8="","",IF(AD8="男子",10,26))</f>
        <v/>
      </c>
      <c r="AF8" s="120"/>
      <c r="AG8" s="121">
        <v>0</v>
      </c>
      <c r="AH8" s="121">
        <v>2</v>
      </c>
      <c r="AI8" s="101"/>
      <c r="AJ8" s="102" t="str">
        <f t="shared" ref="AJ8:AJ71" si="11">IF(AI8=$AW$24,27,"")</f>
        <v/>
      </c>
      <c r="AK8" s="122"/>
      <c r="AL8" s="104">
        <v>0</v>
      </c>
      <c r="AM8" s="123">
        <v>2</v>
      </c>
      <c r="AN8" s="105"/>
      <c r="AO8" s="105"/>
      <c r="AQ8" s="106"/>
      <c r="AS8" s="124" t="s">
        <v>40</v>
      </c>
      <c r="AT8" s="125">
        <f>COUNTIF($P$7:$P$116,3)+COUNTIF($U$7:$U$116,3)+COUNTIF($Z$7:$Z$116,3)</f>
        <v>0</v>
      </c>
      <c r="AU8" s="126">
        <v>3</v>
      </c>
      <c r="AV8" s="110" t="s">
        <v>41</v>
      </c>
      <c r="AW8" s="271">
        <f>COUNTIF($AE$7:$AE$116,6)</f>
        <v>0</v>
      </c>
      <c r="AX8" s="272"/>
      <c r="AY8" s="127"/>
      <c r="AZ8" s="128"/>
      <c r="BA8" s="10"/>
      <c r="BB8" s="112" t="str">
        <f t="shared" si="2"/>
        <v/>
      </c>
      <c r="BC8" s="112">
        <f t="shared" si="3"/>
        <v>0</v>
      </c>
      <c r="BD8" s="112">
        <f t="shared" si="4"/>
        <v>0</v>
      </c>
      <c r="BE8" s="112">
        <f t="shared" si="5"/>
        <v>0</v>
      </c>
      <c r="BF8" s="112">
        <f t="shared" si="6"/>
        <v>0</v>
      </c>
      <c r="BJ8" s="15">
        <f t="shared" ref="BJ8:BJ71" si="12">COUNT(P8,U8,Z8,AE8,AJ8)</f>
        <v>0</v>
      </c>
      <c r="BK8" s="15" t="str">
        <f t="shared" si="7"/>
        <v/>
      </c>
      <c r="BL8" s="15" t="str">
        <f t="shared" si="8"/>
        <v/>
      </c>
      <c r="BM8" s="113" t="str">
        <f t="shared" ref="BM8:BM71" si="13">IF(O8="","",1)</f>
        <v/>
      </c>
      <c r="BN8" s="112">
        <f t="shared" ref="BN8:BN71" si="14">IF(OR(BM8=1,T8=""),0,1)</f>
        <v>0</v>
      </c>
      <c r="BO8" s="10"/>
    </row>
    <row r="9" spans="1:67">
      <c r="A9" s="1" t="b">
        <f t="shared" si="9"/>
        <v>0</v>
      </c>
      <c r="B9" s="88" t="str">
        <f>[2]陸連登録!N4</f>
        <v/>
      </c>
      <c r="C9" s="1" t="b">
        <f t="shared" si="10"/>
        <v>0</v>
      </c>
      <c r="D9" s="89"/>
      <c r="E9" s="226"/>
      <c r="F9" s="227"/>
      <c r="G9" s="228"/>
      <c r="H9" s="229"/>
      <c r="I9" s="230"/>
      <c r="J9" s="231"/>
      <c r="K9" s="232"/>
      <c r="L9" s="233"/>
      <c r="M9" s="228"/>
      <c r="N9" s="234"/>
      <c r="O9" s="90"/>
      <c r="P9" s="91" t="str">
        <f t="shared" si="0"/>
        <v/>
      </c>
      <c r="Q9" s="114"/>
      <c r="R9" s="115">
        <v>0</v>
      </c>
      <c r="S9" s="116">
        <v>2</v>
      </c>
      <c r="T9" s="90"/>
      <c r="U9" s="91" t="str">
        <f t="shared" si="1"/>
        <v/>
      </c>
      <c r="V9" s="114"/>
      <c r="W9" s="115">
        <v>0</v>
      </c>
      <c r="X9" s="116">
        <v>2</v>
      </c>
      <c r="Y9" s="118"/>
      <c r="Z9" s="119" t="str">
        <f>IF(Y9="","",IF(I9=1,VLOOKUP(Y9,[2]男子種目コード!$A$1:$B$33,2,FALSE),IF(I9=2,VLOOKUP(Y9,[2]女子種目コード!$A$36:$B$66,2,FALSE))))</f>
        <v/>
      </c>
      <c r="AA9" s="114" t="str">
        <f>IF(Y9="","",HLOOKUP(Y9,#REF!,4,FALSE))</f>
        <v/>
      </c>
      <c r="AB9" s="115">
        <v>0</v>
      </c>
      <c r="AC9" s="116">
        <v>2</v>
      </c>
      <c r="AD9" s="97"/>
      <c r="AE9" s="98" t="str">
        <f t="shared" ref="AE9:AE72" si="15">IF(AD9="","",IF(AD9="男子",10,26))</f>
        <v/>
      </c>
      <c r="AF9" s="120"/>
      <c r="AG9" s="121">
        <v>0</v>
      </c>
      <c r="AH9" s="121">
        <v>2</v>
      </c>
      <c r="AI9" s="101"/>
      <c r="AJ9" s="102" t="str">
        <f t="shared" si="11"/>
        <v/>
      </c>
      <c r="AK9" s="122"/>
      <c r="AL9" s="104">
        <v>0</v>
      </c>
      <c r="AM9" s="123">
        <v>2</v>
      </c>
      <c r="AN9" s="105"/>
      <c r="AO9" s="105"/>
      <c r="AQ9" s="106"/>
      <c r="AS9" s="129" t="s">
        <v>52</v>
      </c>
      <c r="AT9" s="125">
        <f>COUNTIF($P$7:$P$116,6)+COUNTIF($U$7:$U$116,6)+COUNTIF($Z$7:$Z$116,6)</f>
        <v>0</v>
      </c>
      <c r="AU9" s="130">
        <v>6</v>
      </c>
      <c r="AV9" s="273" t="s">
        <v>43</v>
      </c>
      <c r="AW9" s="131" t="str">
        <f ca="1">IF(ISERROR(AY9),"",AY9)</f>
        <v/>
      </c>
      <c r="AX9" s="132" t="str">
        <f ca="1">IF(ISERROR(AZ9),"",AZ9)</f>
        <v/>
      </c>
      <c r="AY9" s="133" t="e">
        <f ca="1">VLookUpX(1,$A$7:$F$116,1,5)</f>
        <v>#NAME?</v>
      </c>
      <c r="AZ9" s="134" t="e">
        <f ca="1">VLookUpX(1,$A$7:$F$116,1,6)</f>
        <v>#NAME?</v>
      </c>
      <c r="BA9" s="10" t="str">
        <f ca="1">IF(AW9="","",1)</f>
        <v/>
      </c>
      <c r="BB9" s="112" t="str">
        <f t="shared" si="2"/>
        <v/>
      </c>
      <c r="BC9" s="112">
        <f t="shared" si="3"/>
        <v>0</v>
      </c>
      <c r="BD9" s="112">
        <f t="shared" si="4"/>
        <v>0</v>
      </c>
      <c r="BE9" s="112">
        <f t="shared" si="5"/>
        <v>0</v>
      </c>
      <c r="BF9" s="112">
        <f t="shared" si="6"/>
        <v>0</v>
      </c>
      <c r="BJ9" s="15">
        <f t="shared" si="12"/>
        <v>0</v>
      </c>
      <c r="BK9" s="15" t="str">
        <f t="shared" si="7"/>
        <v/>
      </c>
      <c r="BL9" s="15" t="str">
        <f t="shared" si="8"/>
        <v/>
      </c>
      <c r="BM9" s="113" t="str">
        <f t="shared" si="13"/>
        <v/>
      </c>
      <c r="BN9" s="112">
        <f t="shared" si="14"/>
        <v>0</v>
      </c>
      <c r="BO9" s="10"/>
    </row>
    <row r="10" spans="1:67" ht="14.25" thickBot="1">
      <c r="A10" s="1" t="b">
        <f t="shared" si="9"/>
        <v>0</v>
      </c>
      <c r="B10" s="88" t="str">
        <f>[2]陸連登録!N5</f>
        <v/>
      </c>
      <c r="C10" s="1" t="b">
        <f t="shared" si="10"/>
        <v>0</v>
      </c>
      <c r="D10" s="89"/>
      <c r="E10" s="226"/>
      <c r="F10" s="227"/>
      <c r="G10" s="228"/>
      <c r="H10" s="229"/>
      <c r="I10" s="230"/>
      <c r="J10" s="231"/>
      <c r="K10" s="232"/>
      <c r="L10" s="233"/>
      <c r="M10" s="228"/>
      <c r="N10" s="234"/>
      <c r="O10" s="90"/>
      <c r="P10" s="91" t="str">
        <f t="shared" si="0"/>
        <v/>
      </c>
      <c r="Q10" s="114"/>
      <c r="R10" s="115">
        <v>0</v>
      </c>
      <c r="S10" s="116">
        <v>2</v>
      </c>
      <c r="T10" s="90"/>
      <c r="U10" s="91" t="str">
        <f t="shared" si="1"/>
        <v/>
      </c>
      <c r="V10" s="114"/>
      <c r="W10" s="115">
        <v>0</v>
      </c>
      <c r="X10" s="116">
        <v>2</v>
      </c>
      <c r="Y10" s="118"/>
      <c r="Z10" s="119" t="str">
        <f>IF(Y10="","",IF(I10=1,VLOOKUP(Y10,[2]男子種目コード!$A$1:$B$33,2,FALSE),IF(I10=2,VLOOKUP(Y10,[2]女子種目コード!$A$36:$B$66,2,FALSE))))</f>
        <v/>
      </c>
      <c r="AA10" s="114" t="str">
        <f>IF(Y10="","",HLOOKUP(Y10,#REF!,5,FALSE))</f>
        <v/>
      </c>
      <c r="AB10" s="115">
        <v>0</v>
      </c>
      <c r="AC10" s="116">
        <v>2</v>
      </c>
      <c r="AD10" s="97"/>
      <c r="AE10" s="98" t="str">
        <f t="shared" si="15"/>
        <v/>
      </c>
      <c r="AF10" s="120"/>
      <c r="AG10" s="121">
        <v>0</v>
      </c>
      <c r="AH10" s="121">
        <v>2</v>
      </c>
      <c r="AI10" s="101"/>
      <c r="AJ10" s="102" t="str">
        <f t="shared" si="11"/>
        <v/>
      </c>
      <c r="AK10" s="122"/>
      <c r="AL10" s="104">
        <v>0</v>
      </c>
      <c r="AM10" s="123">
        <v>2</v>
      </c>
      <c r="AN10" s="105"/>
      <c r="AO10" s="105"/>
      <c r="AQ10" s="106"/>
      <c r="AS10" s="129" t="s">
        <v>44</v>
      </c>
      <c r="AT10" s="135">
        <f>COUNTIF($P$7:$P$116,8)+COUNTIF($U$7:$U$116,8)+COUNTIF($Z$7:$Z$116,8)</f>
        <v>0</v>
      </c>
      <c r="AU10" s="130">
        <v>8</v>
      </c>
      <c r="AV10" s="273"/>
      <c r="AW10" s="131" t="str">
        <f t="shared" ref="AW10:AX14" ca="1" si="16">IF(ISERROR(AY10),"",AY10)</f>
        <v/>
      </c>
      <c r="AX10" s="132" t="str">
        <f t="shared" ca="1" si="16"/>
        <v/>
      </c>
      <c r="AY10" s="133" t="e">
        <f ca="1">VLookUpX(1,$A$7:$F$116,2,5)</f>
        <v>#NAME?</v>
      </c>
      <c r="AZ10" s="134" t="e">
        <f ca="1">VLookUpX(1,$A$7:$F$116,2,6)</f>
        <v>#NAME?</v>
      </c>
      <c r="BA10" s="10"/>
      <c r="BB10" s="112" t="str">
        <f t="shared" si="2"/>
        <v/>
      </c>
      <c r="BC10" s="112">
        <f t="shared" si="3"/>
        <v>0</v>
      </c>
      <c r="BD10" s="112">
        <f t="shared" si="4"/>
        <v>0</v>
      </c>
      <c r="BE10" s="112">
        <f t="shared" si="5"/>
        <v>0</v>
      </c>
      <c r="BF10" s="112">
        <f t="shared" si="6"/>
        <v>0</v>
      </c>
      <c r="BJ10" s="15">
        <f t="shared" si="12"/>
        <v>0</v>
      </c>
      <c r="BK10" s="15" t="str">
        <f t="shared" si="7"/>
        <v/>
      </c>
      <c r="BL10" s="15" t="str">
        <f t="shared" si="8"/>
        <v/>
      </c>
      <c r="BM10" s="113" t="str">
        <f t="shared" si="13"/>
        <v/>
      </c>
      <c r="BN10" s="112">
        <f t="shared" si="14"/>
        <v>0</v>
      </c>
      <c r="BO10" s="10"/>
    </row>
    <row r="11" spans="1:67" ht="14.25" thickBot="1">
      <c r="A11" s="1" t="b">
        <f t="shared" si="9"/>
        <v>0</v>
      </c>
      <c r="B11" s="88" t="str">
        <f>[2]陸連登録!N6</f>
        <v/>
      </c>
      <c r="C11" s="1" t="b">
        <f t="shared" si="10"/>
        <v>0</v>
      </c>
      <c r="D11" s="89"/>
      <c r="E11" s="226"/>
      <c r="F11" s="227"/>
      <c r="G11" s="228"/>
      <c r="H11" s="229"/>
      <c r="I11" s="230"/>
      <c r="J11" s="231"/>
      <c r="K11" s="232"/>
      <c r="L11" s="233"/>
      <c r="M11" s="228"/>
      <c r="N11" s="234"/>
      <c r="O11" s="90"/>
      <c r="P11" s="91" t="str">
        <f t="shared" si="0"/>
        <v/>
      </c>
      <c r="Q11" s="114"/>
      <c r="R11" s="115">
        <v>0</v>
      </c>
      <c r="S11" s="116">
        <v>2</v>
      </c>
      <c r="T11" s="90"/>
      <c r="U11" s="91" t="str">
        <f t="shared" si="1"/>
        <v/>
      </c>
      <c r="V11" s="114"/>
      <c r="W11" s="115">
        <v>0</v>
      </c>
      <c r="X11" s="116">
        <v>2</v>
      </c>
      <c r="Y11" s="118"/>
      <c r="Z11" s="119" t="str">
        <f>IF(Y11="","",IF(I11=1,VLOOKUP(Y11,[2]男子種目コード!$A$1:$B$33,2,FALSE),IF(I11=2,VLOOKUP(Y11,[2]女子種目コード!$A$36:$B$66,2,FALSE))))</f>
        <v/>
      </c>
      <c r="AA11" s="114" t="str">
        <f>IF(Y11="","",HLOOKUP(Y11,#REF!,6,FALSE))</f>
        <v/>
      </c>
      <c r="AB11" s="115">
        <v>0</v>
      </c>
      <c r="AC11" s="116">
        <v>2</v>
      </c>
      <c r="AD11" s="97"/>
      <c r="AE11" s="98" t="str">
        <f t="shared" si="15"/>
        <v/>
      </c>
      <c r="AF11" s="120"/>
      <c r="AG11" s="121">
        <v>0</v>
      </c>
      <c r="AH11" s="121">
        <v>2</v>
      </c>
      <c r="AI11" s="101"/>
      <c r="AJ11" s="102" t="str">
        <f t="shared" si="11"/>
        <v/>
      </c>
      <c r="AK11" s="122"/>
      <c r="AL11" s="104">
        <v>0</v>
      </c>
      <c r="AM11" s="123">
        <v>2</v>
      </c>
      <c r="AN11" s="105"/>
      <c r="AO11" s="105"/>
      <c r="AQ11" s="106"/>
      <c r="AS11" s="136" t="s">
        <v>45</v>
      </c>
      <c r="AT11" s="137">
        <f>SUM(AT7:AT10)</f>
        <v>0</v>
      </c>
      <c r="AU11" s="138"/>
      <c r="AV11" s="273"/>
      <c r="AW11" s="131" t="str">
        <f t="shared" ca="1" si="16"/>
        <v/>
      </c>
      <c r="AX11" s="132" t="str">
        <f t="shared" ca="1" si="16"/>
        <v/>
      </c>
      <c r="AY11" s="133" t="e">
        <f ca="1">VLookUpX(1,$A$7:$F$116,3,5)</f>
        <v>#NAME?</v>
      </c>
      <c r="AZ11" s="134" t="e">
        <f ca="1">VLookUpX(1,$A$7:$F$116,3,6)</f>
        <v>#NAME?</v>
      </c>
      <c r="BA11" s="10"/>
      <c r="BB11" s="112" t="str">
        <f t="shared" si="2"/>
        <v/>
      </c>
      <c r="BC11" s="112">
        <f t="shared" si="3"/>
        <v>0</v>
      </c>
      <c r="BD11" s="112">
        <f t="shared" si="4"/>
        <v>0</v>
      </c>
      <c r="BE11" s="112">
        <f t="shared" si="5"/>
        <v>0</v>
      </c>
      <c r="BF11" s="112">
        <f t="shared" si="6"/>
        <v>0</v>
      </c>
      <c r="BJ11" s="15">
        <f t="shared" si="12"/>
        <v>0</v>
      </c>
      <c r="BK11" s="15" t="str">
        <f t="shared" si="7"/>
        <v/>
      </c>
      <c r="BL11" s="15" t="str">
        <f t="shared" si="8"/>
        <v/>
      </c>
      <c r="BM11" s="113" t="str">
        <f t="shared" si="13"/>
        <v/>
      </c>
      <c r="BN11" s="112">
        <f t="shared" si="14"/>
        <v>0</v>
      </c>
      <c r="BO11" s="10"/>
    </row>
    <row r="12" spans="1:67" ht="14.25" thickBot="1">
      <c r="A12" s="1" t="b">
        <f t="shared" si="9"/>
        <v>0</v>
      </c>
      <c r="B12" s="88" t="str">
        <f>[2]陸連登録!N7</f>
        <v/>
      </c>
      <c r="C12" s="1" t="b">
        <f t="shared" si="10"/>
        <v>0</v>
      </c>
      <c r="D12" s="89"/>
      <c r="E12" s="226"/>
      <c r="F12" s="227"/>
      <c r="G12" s="228"/>
      <c r="H12" s="229"/>
      <c r="I12" s="230"/>
      <c r="J12" s="231"/>
      <c r="K12" s="232"/>
      <c r="L12" s="233"/>
      <c r="M12" s="228"/>
      <c r="N12" s="234"/>
      <c r="O12" s="90"/>
      <c r="P12" s="91" t="str">
        <f t="shared" si="0"/>
        <v/>
      </c>
      <c r="Q12" s="114"/>
      <c r="R12" s="115">
        <v>0</v>
      </c>
      <c r="S12" s="116">
        <v>2</v>
      </c>
      <c r="T12" s="90"/>
      <c r="U12" s="91" t="str">
        <f t="shared" si="1"/>
        <v/>
      </c>
      <c r="V12" s="114"/>
      <c r="W12" s="115">
        <v>0</v>
      </c>
      <c r="X12" s="116">
        <v>2</v>
      </c>
      <c r="Y12" s="118"/>
      <c r="Z12" s="119" t="str">
        <f>IF(Y12="","",IF(I12=1,VLOOKUP(Y12,[2]男子種目コード!$A$1:$B$33,2,FALSE),IF(I12=2,VLOOKUP(Y12,[2]女子種目コード!$A$36:$B$66,2,FALSE))))</f>
        <v/>
      </c>
      <c r="AA12" s="114" t="str">
        <f>IF(Y12="","",HLOOKUP(Y12,#REF!,7,FALSE))</f>
        <v/>
      </c>
      <c r="AB12" s="115">
        <v>0</v>
      </c>
      <c r="AC12" s="116">
        <v>2</v>
      </c>
      <c r="AD12" s="97"/>
      <c r="AE12" s="98" t="str">
        <f t="shared" si="15"/>
        <v/>
      </c>
      <c r="AF12" s="120"/>
      <c r="AG12" s="121">
        <v>0</v>
      </c>
      <c r="AH12" s="121">
        <v>2</v>
      </c>
      <c r="AI12" s="101"/>
      <c r="AJ12" s="102" t="str">
        <f t="shared" si="11"/>
        <v/>
      </c>
      <c r="AK12" s="122"/>
      <c r="AL12" s="104">
        <v>0</v>
      </c>
      <c r="AM12" s="123">
        <v>2</v>
      </c>
      <c r="AN12" s="105"/>
      <c r="AO12" s="105"/>
      <c r="AQ12" s="106"/>
      <c r="AS12" s="140"/>
      <c r="AT12" s="141"/>
      <c r="AU12" s="142"/>
      <c r="AV12" s="273"/>
      <c r="AW12" s="131" t="str">
        <f t="shared" ca="1" si="16"/>
        <v/>
      </c>
      <c r="AX12" s="132" t="str">
        <f t="shared" ca="1" si="16"/>
        <v/>
      </c>
      <c r="AY12" s="133" t="e">
        <f ca="1">VLookUpX(1,$A$7:$F$116,4,5)</f>
        <v>#NAME?</v>
      </c>
      <c r="AZ12" s="134" t="e">
        <f ca="1">VLookUpX(1,$A$7:$F$116,4,6)</f>
        <v>#NAME?</v>
      </c>
      <c r="BA12" s="10"/>
      <c r="BB12" s="112" t="str">
        <f t="shared" si="2"/>
        <v/>
      </c>
      <c r="BC12" s="112">
        <f t="shared" si="3"/>
        <v>0</v>
      </c>
      <c r="BD12" s="112">
        <f t="shared" si="4"/>
        <v>0</v>
      </c>
      <c r="BE12" s="112">
        <f t="shared" si="5"/>
        <v>0</v>
      </c>
      <c r="BF12" s="112">
        <f t="shared" si="6"/>
        <v>0</v>
      </c>
      <c r="BJ12" s="15">
        <f t="shared" si="12"/>
        <v>0</v>
      </c>
      <c r="BK12" s="15" t="str">
        <f t="shared" si="7"/>
        <v/>
      </c>
      <c r="BL12" s="15" t="str">
        <f t="shared" si="8"/>
        <v/>
      </c>
      <c r="BM12" s="113" t="str">
        <f t="shared" si="13"/>
        <v/>
      </c>
      <c r="BN12" s="112">
        <f t="shared" si="14"/>
        <v>0</v>
      </c>
      <c r="BO12" s="10"/>
    </row>
    <row r="13" spans="1:67">
      <c r="A13" s="1" t="b">
        <f t="shared" si="9"/>
        <v>0</v>
      </c>
      <c r="B13" s="88" t="str">
        <f>[2]陸連登録!N8</f>
        <v/>
      </c>
      <c r="C13" s="1" t="b">
        <f t="shared" si="10"/>
        <v>0</v>
      </c>
      <c r="D13" s="89"/>
      <c r="E13" s="226"/>
      <c r="F13" s="227"/>
      <c r="G13" s="228"/>
      <c r="H13" s="229"/>
      <c r="I13" s="230"/>
      <c r="J13" s="231"/>
      <c r="K13" s="232"/>
      <c r="L13" s="233"/>
      <c r="M13" s="228"/>
      <c r="N13" s="234"/>
      <c r="O13" s="90"/>
      <c r="P13" s="91" t="str">
        <f t="shared" si="0"/>
        <v/>
      </c>
      <c r="Q13" s="114"/>
      <c r="R13" s="115">
        <v>0</v>
      </c>
      <c r="S13" s="116">
        <v>2</v>
      </c>
      <c r="T13" s="90"/>
      <c r="U13" s="91" t="str">
        <f t="shared" si="1"/>
        <v/>
      </c>
      <c r="V13" s="114"/>
      <c r="W13" s="115">
        <v>0</v>
      </c>
      <c r="X13" s="116">
        <v>2</v>
      </c>
      <c r="Y13" s="118"/>
      <c r="Z13" s="119" t="str">
        <f>IF(Y13="","",IF(I13=1,VLOOKUP(Y13,[2]男子種目コード!$A$1:$B$33,2,FALSE),IF(I13=2,VLOOKUP(Y13,[2]女子種目コード!$A$36:$B$66,2,FALSE))))</f>
        <v/>
      </c>
      <c r="AA13" s="114" t="str">
        <f>IF(Y13="","",HLOOKUP(Y13,#REF!,8,FALSE))</f>
        <v/>
      </c>
      <c r="AB13" s="115">
        <v>0</v>
      </c>
      <c r="AC13" s="116">
        <v>2</v>
      </c>
      <c r="AD13" s="97"/>
      <c r="AE13" s="98" t="str">
        <f t="shared" si="15"/>
        <v/>
      </c>
      <c r="AF13" s="120"/>
      <c r="AG13" s="121">
        <v>0</v>
      </c>
      <c r="AH13" s="121">
        <v>2</v>
      </c>
      <c r="AI13" s="101"/>
      <c r="AJ13" s="102" t="str">
        <f t="shared" si="11"/>
        <v/>
      </c>
      <c r="AK13" s="122"/>
      <c r="AL13" s="104">
        <v>0</v>
      </c>
      <c r="AM13" s="123">
        <v>2</v>
      </c>
      <c r="AN13" s="105"/>
      <c r="AO13" s="105"/>
      <c r="AQ13" s="139"/>
      <c r="AS13" s="143" t="s">
        <v>38</v>
      </c>
      <c r="AT13" s="108">
        <f>COUNTIF($P$7:$P$116,21)+COUNTIF($U$7:$U$116,21)+COUNTIF($Z$7:$Z$116,21)</f>
        <v>0</v>
      </c>
      <c r="AU13" s="109">
        <v>21</v>
      </c>
      <c r="AV13" s="273"/>
      <c r="AW13" s="131" t="str">
        <f t="shared" ca="1" si="16"/>
        <v/>
      </c>
      <c r="AX13" s="132" t="str">
        <f t="shared" ca="1" si="16"/>
        <v/>
      </c>
      <c r="AY13" s="133" t="e">
        <f ca="1">VLookUpX(1,$A$7:$F$116,5,5)</f>
        <v>#NAME?</v>
      </c>
      <c r="AZ13" s="134" t="e">
        <f ca="1">VLookUpX(1,$A$7:$F$116,5,6)</f>
        <v>#NAME?</v>
      </c>
      <c r="BA13" s="10"/>
      <c r="BB13" s="112" t="str">
        <f t="shared" si="2"/>
        <v/>
      </c>
      <c r="BC13" s="112">
        <f t="shared" si="3"/>
        <v>0</v>
      </c>
      <c r="BD13" s="112">
        <f t="shared" si="4"/>
        <v>0</v>
      </c>
      <c r="BE13" s="112">
        <f t="shared" si="5"/>
        <v>0</v>
      </c>
      <c r="BF13" s="112">
        <f t="shared" si="6"/>
        <v>0</v>
      </c>
      <c r="BJ13" s="15">
        <f t="shared" si="12"/>
        <v>0</v>
      </c>
      <c r="BK13" s="15" t="str">
        <f t="shared" si="7"/>
        <v/>
      </c>
      <c r="BL13" s="15" t="str">
        <f t="shared" si="8"/>
        <v/>
      </c>
      <c r="BM13" s="113" t="str">
        <f t="shared" si="13"/>
        <v/>
      </c>
      <c r="BN13" s="112">
        <f t="shared" si="14"/>
        <v>0</v>
      </c>
      <c r="BO13" s="10"/>
    </row>
    <row r="14" spans="1:67" ht="13.5" customHeight="1" thickBot="1">
      <c r="A14" s="1" t="b">
        <f t="shared" si="9"/>
        <v>0</v>
      </c>
      <c r="B14" s="88" t="str">
        <f>[2]陸連登録!N9</f>
        <v/>
      </c>
      <c r="C14" s="1" t="b">
        <f t="shared" si="10"/>
        <v>0</v>
      </c>
      <c r="D14" s="89"/>
      <c r="E14" s="226"/>
      <c r="F14" s="227"/>
      <c r="G14" s="228"/>
      <c r="H14" s="229"/>
      <c r="I14" s="230"/>
      <c r="J14" s="231"/>
      <c r="K14" s="232"/>
      <c r="L14" s="233"/>
      <c r="M14" s="228"/>
      <c r="N14" s="234"/>
      <c r="O14" s="90"/>
      <c r="P14" s="91" t="str">
        <f t="shared" si="0"/>
        <v/>
      </c>
      <c r="Q14" s="114"/>
      <c r="R14" s="115">
        <v>0</v>
      </c>
      <c r="S14" s="116">
        <v>2</v>
      </c>
      <c r="T14" s="90"/>
      <c r="U14" s="91" t="str">
        <f t="shared" si="1"/>
        <v/>
      </c>
      <c r="V14" s="114"/>
      <c r="W14" s="115">
        <v>0</v>
      </c>
      <c r="X14" s="116">
        <v>2</v>
      </c>
      <c r="Y14" s="118"/>
      <c r="Z14" s="119" t="str">
        <f>IF(Y14="","",IF(I14=1,VLOOKUP(Y14,[2]男子種目コード!$A$1:$B$33,2,FALSE),IF(I14=2,VLOOKUP(Y14,[2]女子種目コード!$A$36:$B$66,2,FALSE))))</f>
        <v/>
      </c>
      <c r="AA14" s="114" t="str">
        <f>IF(Y14="","",HLOOKUP(Y14,#REF!,9,FALSE))</f>
        <v/>
      </c>
      <c r="AB14" s="115">
        <v>0</v>
      </c>
      <c r="AC14" s="116">
        <v>2</v>
      </c>
      <c r="AD14" s="97"/>
      <c r="AE14" s="98" t="str">
        <f t="shared" si="15"/>
        <v/>
      </c>
      <c r="AF14" s="120"/>
      <c r="AG14" s="121">
        <v>0</v>
      </c>
      <c r="AH14" s="121">
        <v>2</v>
      </c>
      <c r="AI14" s="101"/>
      <c r="AJ14" s="102" t="str">
        <f t="shared" si="11"/>
        <v/>
      </c>
      <c r="AK14" s="122"/>
      <c r="AL14" s="104">
        <v>0</v>
      </c>
      <c r="AM14" s="123">
        <v>2</v>
      </c>
      <c r="AN14" s="105"/>
      <c r="AO14" s="105"/>
      <c r="AQ14" s="139"/>
      <c r="AS14" s="144" t="s">
        <v>40</v>
      </c>
      <c r="AT14" s="125">
        <f>COUNTIF($P$7:$P$116,22)+COUNTIF($U$7:$U$116,22)+COUNTIF($Z$7:$Z$116,22)</f>
        <v>0</v>
      </c>
      <c r="AU14" s="109">
        <v>22</v>
      </c>
      <c r="AV14" s="274"/>
      <c r="AW14" s="131" t="str">
        <f t="shared" ca="1" si="16"/>
        <v/>
      </c>
      <c r="AX14" s="132" t="str">
        <f t="shared" ca="1" si="16"/>
        <v/>
      </c>
      <c r="AY14" s="133" t="e">
        <f ca="1">VLookUpX(1,$A$7:$F$116,6,5)</f>
        <v>#NAME?</v>
      </c>
      <c r="AZ14" s="134" t="e">
        <f ca="1">VLookUpX(1,$A$7:$F$116,6,6)</f>
        <v>#NAME?</v>
      </c>
      <c r="BA14" s="10"/>
      <c r="BB14" s="112" t="str">
        <f t="shared" si="2"/>
        <v/>
      </c>
      <c r="BC14" s="112">
        <f t="shared" si="3"/>
        <v>0</v>
      </c>
      <c r="BD14" s="112">
        <f t="shared" si="4"/>
        <v>0</v>
      </c>
      <c r="BE14" s="112">
        <f t="shared" si="5"/>
        <v>0</v>
      </c>
      <c r="BF14" s="112">
        <f t="shared" si="6"/>
        <v>0</v>
      </c>
      <c r="BJ14" s="15">
        <f t="shared" si="12"/>
        <v>0</v>
      </c>
      <c r="BK14" s="15" t="str">
        <f t="shared" si="7"/>
        <v/>
      </c>
      <c r="BL14" s="15" t="str">
        <f t="shared" si="8"/>
        <v/>
      </c>
      <c r="BM14" s="113" t="str">
        <f t="shared" si="13"/>
        <v/>
      </c>
      <c r="BN14" s="112">
        <f t="shared" si="14"/>
        <v>0</v>
      </c>
      <c r="BO14" s="10"/>
    </row>
    <row r="15" spans="1:67" ht="13.5" customHeight="1">
      <c r="A15" s="1" t="b">
        <f t="shared" si="9"/>
        <v>0</v>
      </c>
      <c r="B15" s="88" t="str">
        <f>[2]陸連登録!N10</f>
        <v/>
      </c>
      <c r="C15" s="1" t="b">
        <f t="shared" si="10"/>
        <v>0</v>
      </c>
      <c r="D15" s="89"/>
      <c r="E15" s="226"/>
      <c r="F15" s="227"/>
      <c r="G15" s="228"/>
      <c r="H15" s="229"/>
      <c r="I15" s="230"/>
      <c r="J15" s="231"/>
      <c r="K15" s="232"/>
      <c r="L15" s="233"/>
      <c r="M15" s="228"/>
      <c r="N15" s="234"/>
      <c r="O15" s="90"/>
      <c r="P15" s="91" t="str">
        <f t="shared" si="0"/>
        <v/>
      </c>
      <c r="Q15" s="114"/>
      <c r="R15" s="115">
        <v>0</v>
      </c>
      <c r="S15" s="116">
        <v>2</v>
      </c>
      <c r="T15" s="90"/>
      <c r="U15" s="91" t="str">
        <f t="shared" si="1"/>
        <v/>
      </c>
      <c r="V15" s="114"/>
      <c r="W15" s="115">
        <v>0</v>
      </c>
      <c r="X15" s="116">
        <v>2</v>
      </c>
      <c r="Y15" s="118"/>
      <c r="Z15" s="119" t="str">
        <f>IF(Y15="","",IF(I15=1,VLOOKUP(Y15,[2]男子種目コード!$A$1:$B$33,2,FALSE),IF(I15=2,VLOOKUP(Y15,[2]女子種目コード!$A$36:$B$66,2,FALSE))))</f>
        <v/>
      </c>
      <c r="AA15" s="114" t="str">
        <f>IF(Y15="","",HLOOKUP(Y15,#REF!,10,FALSE))</f>
        <v/>
      </c>
      <c r="AB15" s="115">
        <v>0</v>
      </c>
      <c r="AC15" s="116">
        <v>2</v>
      </c>
      <c r="AD15" s="97"/>
      <c r="AE15" s="98" t="str">
        <f t="shared" si="15"/>
        <v/>
      </c>
      <c r="AF15" s="120"/>
      <c r="AG15" s="121">
        <v>0</v>
      </c>
      <c r="AH15" s="121">
        <v>2</v>
      </c>
      <c r="AI15" s="101"/>
      <c r="AJ15" s="102" t="str">
        <f t="shared" si="11"/>
        <v/>
      </c>
      <c r="AK15" s="122"/>
      <c r="AL15" s="104">
        <v>0</v>
      </c>
      <c r="AM15" s="123">
        <v>2</v>
      </c>
      <c r="AN15" s="105"/>
      <c r="AO15" s="105"/>
      <c r="AQ15" s="139"/>
      <c r="AS15" s="144" t="s">
        <v>42</v>
      </c>
      <c r="AT15" s="125">
        <f>COUNTIF($P$7:$P$116,23)+COUNTIF($U$7:$U$116,23)+COUNTIF($Z$7:$Z$116,23)</f>
        <v>0</v>
      </c>
      <c r="AU15" s="109">
        <v>23</v>
      </c>
      <c r="AV15" s="145" t="s">
        <v>33</v>
      </c>
      <c r="AW15" s="275" t="s">
        <v>34</v>
      </c>
      <c r="AX15" s="276"/>
      <c r="AY15" s="146"/>
      <c r="AZ15" s="147"/>
      <c r="BA15" s="10"/>
      <c r="BB15" s="112" t="str">
        <f t="shared" si="2"/>
        <v/>
      </c>
      <c r="BC15" s="112">
        <f t="shared" si="3"/>
        <v>0</v>
      </c>
      <c r="BD15" s="112">
        <f t="shared" si="4"/>
        <v>0</v>
      </c>
      <c r="BE15" s="112">
        <f t="shared" si="5"/>
        <v>0</v>
      </c>
      <c r="BF15" s="112">
        <f t="shared" si="6"/>
        <v>0</v>
      </c>
      <c r="BJ15" s="15">
        <f t="shared" si="12"/>
        <v>0</v>
      </c>
      <c r="BK15" s="15" t="str">
        <f t="shared" si="7"/>
        <v/>
      </c>
      <c r="BL15" s="15" t="str">
        <f t="shared" si="8"/>
        <v/>
      </c>
      <c r="BM15" s="113" t="str">
        <f t="shared" si="13"/>
        <v/>
      </c>
      <c r="BN15" s="112">
        <f t="shared" si="14"/>
        <v>0</v>
      </c>
      <c r="BO15" s="10"/>
    </row>
    <row r="16" spans="1:67" ht="14.25" thickBot="1">
      <c r="A16" s="1" t="b">
        <f t="shared" si="9"/>
        <v>0</v>
      </c>
      <c r="B16" s="88" t="str">
        <f>[2]陸連登録!N11</f>
        <v/>
      </c>
      <c r="C16" s="1" t="b">
        <f t="shared" si="10"/>
        <v>0</v>
      </c>
      <c r="D16" s="89"/>
      <c r="E16" s="226"/>
      <c r="F16" s="227"/>
      <c r="G16" s="228"/>
      <c r="H16" s="229"/>
      <c r="I16" s="230"/>
      <c r="J16" s="231"/>
      <c r="K16" s="232"/>
      <c r="L16" s="233"/>
      <c r="M16" s="228"/>
      <c r="N16" s="234"/>
      <c r="O16" s="90"/>
      <c r="P16" s="91" t="str">
        <f t="shared" si="0"/>
        <v/>
      </c>
      <c r="Q16" s="114"/>
      <c r="R16" s="115">
        <v>0</v>
      </c>
      <c r="S16" s="116">
        <v>2</v>
      </c>
      <c r="T16" s="90"/>
      <c r="U16" s="91" t="str">
        <f t="shared" si="1"/>
        <v/>
      </c>
      <c r="V16" s="114"/>
      <c r="W16" s="115">
        <v>0</v>
      </c>
      <c r="X16" s="116">
        <v>2</v>
      </c>
      <c r="Y16" s="118"/>
      <c r="Z16" s="119" t="str">
        <f>IF(Y16="","",IF(I16=1,VLOOKUP(Y16,[2]男子種目コード!$A$1:$B$33,2,FALSE),IF(I16=2,VLOOKUP(Y16,[2]女子種目コード!$A$36:$B$66,2,FALSE))))</f>
        <v/>
      </c>
      <c r="AA16" s="114" t="str">
        <f>IF(Y16="","",HLOOKUP(Y16,#REF!,11,FALSE))</f>
        <v/>
      </c>
      <c r="AB16" s="115">
        <v>0</v>
      </c>
      <c r="AC16" s="116">
        <v>2</v>
      </c>
      <c r="AD16" s="97"/>
      <c r="AE16" s="98" t="str">
        <f t="shared" si="15"/>
        <v/>
      </c>
      <c r="AF16" s="120"/>
      <c r="AG16" s="121">
        <v>0</v>
      </c>
      <c r="AH16" s="121">
        <v>2</v>
      </c>
      <c r="AI16" s="101"/>
      <c r="AJ16" s="102" t="str">
        <f t="shared" si="11"/>
        <v/>
      </c>
      <c r="AK16" s="122"/>
      <c r="AL16" s="104">
        <v>0</v>
      </c>
      <c r="AM16" s="123">
        <v>2</v>
      </c>
      <c r="AN16" s="105"/>
      <c r="AO16" s="105"/>
      <c r="AQ16" s="139"/>
      <c r="AS16" s="152" t="s">
        <v>44</v>
      </c>
      <c r="AT16" s="153">
        <f>COUNTIF($P$7:$P$116,25)+COUNTIF($U$7:$U$116,25)+COUNTIF($Z$7:$Z$116,25)</f>
        <v>0</v>
      </c>
      <c r="AU16" s="130">
        <v>25</v>
      </c>
      <c r="AV16" s="110" t="s">
        <v>39</v>
      </c>
      <c r="AW16" s="269"/>
      <c r="AX16" s="270"/>
      <c r="AY16" s="148"/>
      <c r="AZ16" s="149"/>
      <c r="BA16" s="10"/>
      <c r="BB16" s="112" t="str">
        <f t="shared" si="2"/>
        <v/>
      </c>
      <c r="BC16" s="112">
        <f t="shared" si="3"/>
        <v>0</v>
      </c>
      <c r="BD16" s="112">
        <f t="shared" si="4"/>
        <v>0</v>
      </c>
      <c r="BE16" s="112">
        <f t="shared" si="5"/>
        <v>0</v>
      </c>
      <c r="BF16" s="112">
        <f t="shared" si="6"/>
        <v>0</v>
      </c>
      <c r="BJ16" s="15">
        <f t="shared" si="12"/>
        <v>0</v>
      </c>
      <c r="BK16" s="15" t="str">
        <f t="shared" si="7"/>
        <v/>
      </c>
      <c r="BL16" s="15" t="str">
        <f t="shared" si="8"/>
        <v/>
      </c>
      <c r="BM16" s="113" t="str">
        <f t="shared" si="13"/>
        <v/>
      </c>
      <c r="BN16" s="112">
        <f t="shared" si="14"/>
        <v>0</v>
      </c>
      <c r="BO16" s="10"/>
    </row>
    <row r="17" spans="1:67" ht="14.25" thickBot="1">
      <c r="A17" s="1" t="b">
        <f t="shared" si="9"/>
        <v>0</v>
      </c>
      <c r="B17" s="88" t="str">
        <f>[2]陸連登録!N12</f>
        <v/>
      </c>
      <c r="C17" s="1" t="b">
        <f t="shared" si="10"/>
        <v>0</v>
      </c>
      <c r="D17" s="89"/>
      <c r="E17" s="226"/>
      <c r="F17" s="227"/>
      <c r="G17" s="228"/>
      <c r="H17" s="229"/>
      <c r="I17" s="230"/>
      <c r="J17" s="231"/>
      <c r="K17" s="232"/>
      <c r="L17" s="233"/>
      <c r="M17" s="228"/>
      <c r="N17" s="234"/>
      <c r="O17" s="90"/>
      <c r="P17" s="91" t="str">
        <f t="shared" si="0"/>
        <v/>
      </c>
      <c r="Q17" s="114"/>
      <c r="R17" s="115">
        <v>0</v>
      </c>
      <c r="S17" s="116">
        <v>2</v>
      </c>
      <c r="T17" s="90"/>
      <c r="U17" s="91" t="str">
        <f t="shared" si="1"/>
        <v/>
      </c>
      <c r="V17" s="114"/>
      <c r="W17" s="115">
        <v>0</v>
      </c>
      <c r="X17" s="116">
        <v>2</v>
      </c>
      <c r="Y17" s="118"/>
      <c r="Z17" s="119" t="str">
        <f>IF(Y17="","",IF(I17=1,VLOOKUP(Y17,[2]男子種目コード!$A$1:$B$33,2,FALSE),IF(I17=2,VLOOKUP(Y17,[2]女子種目コード!$A$36:$B$66,2,FALSE))))</f>
        <v/>
      </c>
      <c r="AA17" s="114" t="str">
        <f>IF(Y17="","",HLOOKUP(Y17,#REF!,12,FALSE))</f>
        <v/>
      </c>
      <c r="AB17" s="115">
        <v>0</v>
      </c>
      <c r="AC17" s="116">
        <v>2</v>
      </c>
      <c r="AD17" s="97"/>
      <c r="AE17" s="98" t="str">
        <f t="shared" si="15"/>
        <v/>
      </c>
      <c r="AF17" s="120"/>
      <c r="AG17" s="121">
        <v>0</v>
      </c>
      <c r="AH17" s="121">
        <v>2</v>
      </c>
      <c r="AI17" s="101"/>
      <c r="AJ17" s="102" t="str">
        <f t="shared" si="11"/>
        <v/>
      </c>
      <c r="AK17" s="122"/>
      <c r="AL17" s="104">
        <v>0</v>
      </c>
      <c r="AM17" s="123">
        <v>2</v>
      </c>
      <c r="AN17" s="105"/>
      <c r="AO17" s="105"/>
      <c r="AQ17" s="139"/>
      <c r="AS17" s="154" t="s">
        <v>46</v>
      </c>
      <c r="AT17" s="155">
        <f>SUM(AT13:AT16)</f>
        <v>0</v>
      </c>
      <c r="AU17" s="156"/>
      <c r="AV17" s="110" t="s">
        <v>41</v>
      </c>
      <c r="AW17" s="271">
        <f>COUNTIF($AE$7:$AE$116,14)</f>
        <v>0</v>
      </c>
      <c r="AX17" s="272"/>
      <c r="AY17" s="150"/>
      <c r="AZ17" s="151"/>
      <c r="BA17" s="10"/>
      <c r="BB17" s="112" t="str">
        <f t="shared" si="2"/>
        <v/>
      </c>
      <c r="BC17" s="112">
        <f t="shared" si="3"/>
        <v>0</v>
      </c>
      <c r="BD17" s="112">
        <f t="shared" si="4"/>
        <v>0</v>
      </c>
      <c r="BE17" s="112">
        <f t="shared" si="5"/>
        <v>0</v>
      </c>
      <c r="BF17" s="112">
        <f t="shared" si="6"/>
        <v>0</v>
      </c>
      <c r="BJ17" s="15">
        <f t="shared" si="12"/>
        <v>0</v>
      </c>
      <c r="BK17" s="15" t="str">
        <f t="shared" si="7"/>
        <v/>
      </c>
      <c r="BL17" s="15" t="str">
        <f t="shared" si="8"/>
        <v/>
      </c>
      <c r="BM17" s="113" t="str">
        <f t="shared" si="13"/>
        <v/>
      </c>
      <c r="BN17" s="112">
        <f t="shared" si="14"/>
        <v>0</v>
      </c>
      <c r="BO17" s="10"/>
    </row>
    <row r="18" spans="1:67" ht="14.25" thickBot="1">
      <c r="A18" s="1" t="b">
        <f t="shared" si="9"/>
        <v>0</v>
      </c>
      <c r="B18" s="88" t="str">
        <f>[2]陸連登録!N13</f>
        <v/>
      </c>
      <c r="C18" s="1" t="b">
        <f t="shared" si="10"/>
        <v>0</v>
      </c>
      <c r="D18" s="89"/>
      <c r="E18" s="226"/>
      <c r="F18" s="227"/>
      <c r="G18" s="228"/>
      <c r="H18" s="229"/>
      <c r="I18" s="230"/>
      <c r="J18" s="231"/>
      <c r="K18" s="232"/>
      <c r="L18" s="233"/>
      <c r="M18" s="228"/>
      <c r="N18" s="234"/>
      <c r="O18" s="90"/>
      <c r="P18" s="91" t="str">
        <f t="shared" si="0"/>
        <v/>
      </c>
      <c r="Q18" s="114"/>
      <c r="R18" s="115">
        <v>0</v>
      </c>
      <c r="S18" s="116">
        <v>2</v>
      </c>
      <c r="T18" s="90"/>
      <c r="U18" s="91" t="str">
        <f t="shared" si="1"/>
        <v/>
      </c>
      <c r="V18" s="114"/>
      <c r="W18" s="115">
        <v>0</v>
      </c>
      <c r="X18" s="116">
        <v>2</v>
      </c>
      <c r="Y18" s="118"/>
      <c r="Z18" s="119" t="str">
        <f>IF(Y18="","",IF(I18=1,VLOOKUP(Y18,[2]男子種目コード!$A$1:$B$33,2,FALSE),IF(I18=2,VLOOKUP(Y18,[2]女子種目コード!$A$36:$B$66,2,FALSE))))</f>
        <v/>
      </c>
      <c r="AA18" s="114" t="str">
        <f>IF(Y18="","",HLOOKUP(Y18,#REF!,13,FALSE))</f>
        <v/>
      </c>
      <c r="AB18" s="115">
        <v>0</v>
      </c>
      <c r="AC18" s="116">
        <v>2</v>
      </c>
      <c r="AD18" s="97"/>
      <c r="AE18" s="98" t="str">
        <f t="shared" si="15"/>
        <v/>
      </c>
      <c r="AF18" s="120"/>
      <c r="AG18" s="121">
        <v>0</v>
      </c>
      <c r="AH18" s="121">
        <v>2</v>
      </c>
      <c r="AI18" s="101"/>
      <c r="AJ18" s="102" t="str">
        <f t="shared" si="11"/>
        <v/>
      </c>
      <c r="AK18" s="122"/>
      <c r="AL18" s="104">
        <v>0</v>
      </c>
      <c r="AM18" s="123">
        <v>2</v>
      </c>
      <c r="AN18" s="105"/>
      <c r="AO18" s="105"/>
      <c r="AQ18" s="139"/>
      <c r="AS18" s="157" t="s">
        <v>47</v>
      </c>
      <c r="AT18" s="158">
        <f>AT11+AT17</f>
        <v>0</v>
      </c>
      <c r="AU18" s="159"/>
      <c r="AV18" s="277" t="s">
        <v>43</v>
      </c>
      <c r="AW18" s="131" t="str">
        <f t="shared" ref="AW18:AX23" ca="1" si="17">IF(ISERROR(AY18),"",AY18)</f>
        <v/>
      </c>
      <c r="AX18" s="132" t="str">
        <f t="shared" ca="1" si="17"/>
        <v/>
      </c>
      <c r="AY18" s="133" t="e">
        <f ca="1">VLookUpX(2,$A$7:$F$116,1,5)</f>
        <v>#NAME?</v>
      </c>
      <c r="AZ18" s="134" t="e">
        <f ca="1">VLookUpX(2,$A$7:$F$116,1,6)</f>
        <v>#NAME?</v>
      </c>
      <c r="BA18" s="10" t="str">
        <f ca="1">IF(AW18="","",1)</f>
        <v/>
      </c>
      <c r="BB18" s="112" t="str">
        <f t="shared" si="2"/>
        <v/>
      </c>
      <c r="BC18" s="112">
        <f t="shared" si="3"/>
        <v>0</v>
      </c>
      <c r="BD18" s="112">
        <f t="shared" si="4"/>
        <v>0</v>
      </c>
      <c r="BE18" s="112">
        <f t="shared" si="5"/>
        <v>0</v>
      </c>
      <c r="BF18" s="112">
        <f t="shared" si="6"/>
        <v>0</v>
      </c>
      <c r="BJ18" s="15">
        <f t="shared" si="12"/>
        <v>0</v>
      </c>
      <c r="BK18" s="15" t="str">
        <f t="shared" si="7"/>
        <v/>
      </c>
      <c r="BL18" s="15" t="str">
        <f t="shared" si="8"/>
        <v/>
      </c>
      <c r="BM18" s="113" t="str">
        <f t="shared" si="13"/>
        <v/>
      </c>
      <c r="BN18" s="112">
        <f t="shared" si="14"/>
        <v>0</v>
      </c>
      <c r="BO18" s="10"/>
    </row>
    <row r="19" spans="1:67">
      <c r="A19" s="1" t="b">
        <f t="shared" si="9"/>
        <v>0</v>
      </c>
      <c r="B19" s="88" t="str">
        <f>[2]陸連登録!N14</f>
        <v/>
      </c>
      <c r="C19" s="1" t="b">
        <f t="shared" si="10"/>
        <v>0</v>
      </c>
      <c r="D19" s="89"/>
      <c r="E19" s="226"/>
      <c r="F19" s="227"/>
      <c r="G19" s="228"/>
      <c r="H19" s="229"/>
      <c r="I19" s="230"/>
      <c r="J19" s="231"/>
      <c r="K19" s="232"/>
      <c r="L19" s="233"/>
      <c r="M19" s="228"/>
      <c r="N19" s="234"/>
      <c r="O19" s="90"/>
      <c r="P19" s="91" t="str">
        <f t="shared" si="0"/>
        <v/>
      </c>
      <c r="Q19" s="114"/>
      <c r="R19" s="115">
        <v>0</v>
      </c>
      <c r="S19" s="116">
        <v>2</v>
      </c>
      <c r="T19" s="90"/>
      <c r="U19" s="91" t="str">
        <f t="shared" si="1"/>
        <v/>
      </c>
      <c r="V19" s="114"/>
      <c r="W19" s="115">
        <v>0</v>
      </c>
      <c r="X19" s="116">
        <v>2</v>
      </c>
      <c r="Y19" s="118"/>
      <c r="Z19" s="119" t="str">
        <f>IF(Y19="","",IF(I19=1,VLOOKUP(Y19,[2]男子種目コード!$A$1:$B$33,2,FALSE),IF(I19=2,VLOOKUP(Y19,[2]女子種目コード!$A$36:$B$66,2,FALSE))))</f>
        <v/>
      </c>
      <c r="AA19" s="114" t="str">
        <f>IF(Y19="","",HLOOKUP(Y19,#REF!,14,FALSE))</f>
        <v/>
      </c>
      <c r="AB19" s="115">
        <v>0</v>
      </c>
      <c r="AC19" s="116">
        <v>2</v>
      </c>
      <c r="AD19" s="97"/>
      <c r="AE19" s="98" t="str">
        <f t="shared" si="15"/>
        <v/>
      </c>
      <c r="AF19" s="120"/>
      <c r="AG19" s="121">
        <v>0</v>
      </c>
      <c r="AH19" s="121">
        <v>2</v>
      </c>
      <c r="AI19" s="101"/>
      <c r="AJ19" s="102" t="str">
        <f t="shared" si="11"/>
        <v/>
      </c>
      <c r="AK19" s="122"/>
      <c r="AL19" s="104">
        <v>0</v>
      </c>
      <c r="AM19" s="123">
        <v>2</v>
      </c>
      <c r="AN19" s="105"/>
      <c r="AO19" s="105"/>
      <c r="AQ19" s="139"/>
      <c r="AS19" s="215"/>
      <c r="AT19" s="216"/>
      <c r="AU19" s="161"/>
      <c r="AV19" s="278"/>
      <c r="AW19" s="131" t="str">
        <f t="shared" ca="1" si="17"/>
        <v/>
      </c>
      <c r="AX19" s="132" t="str">
        <f t="shared" ca="1" si="17"/>
        <v/>
      </c>
      <c r="AY19" s="133" t="e">
        <f ca="1">VLookUpX(2,$A$7:$F$116,2,5)</f>
        <v>#NAME?</v>
      </c>
      <c r="AZ19" s="134" t="e">
        <f ca="1">VLookUpX(2,$A$7:$F$116,2,6)</f>
        <v>#NAME?</v>
      </c>
      <c r="BA19" s="10"/>
      <c r="BB19" s="112" t="str">
        <f t="shared" si="2"/>
        <v/>
      </c>
      <c r="BC19" s="112">
        <f t="shared" si="3"/>
        <v>0</v>
      </c>
      <c r="BD19" s="112">
        <f t="shared" si="4"/>
        <v>0</v>
      </c>
      <c r="BE19" s="112">
        <f t="shared" si="5"/>
        <v>0</v>
      </c>
      <c r="BF19" s="112">
        <f t="shared" si="6"/>
        <v>0</v>
      </c>
      <c r="BJ19" s="15">
        <f t="shared" si="12"/>
        <v>0</v>
      </c>
      <c r="BK19" s="15" t="str">
        <f t="shared" si="7"/>
        <v/>
      </c>
      <c r="BL19" s="15" t="str">
        <f t="shared" si="8"/>
        <v/>
      </c>
      <c r="BM19" s="113" t="str">
        <f t="shared" si="13"/>
        <v/>
      </c>
      <c r="BN19" s="112">
        <f t="shared" si="14"/>
        <v>0</v>
      </c>
      <c r="BO19" s="10"/>
    </row>
    <row r="20" spans="1:67">
      <c r="A20" s="1" t="b">
        <f t="shared" si="9"/>
        <v>0</v>
      </c>
      <c r="B20" s="88" t="str">
        <f>[2]陸連登録!N15</f>
        <v/>
      </c>
      <c r="C20" s="1" t="b">
        <f t="shared" si="10"/>
        <v>0</v>
      </c>
      <c r="D20" s="89"/>
      <c r="E20" s="226"/>
      <c r="F20" s="227"/>
      <c r="G20" s="228"/>
      <c r="H20" s="229"/>
      <c r="I20" s="230"/>
      <c r="J20" s="231"/>
      <c r="K20" s="232"/>
      <c r="L20" s="233"/>
      <c r="M20" s="228"/>
      <c r="N20" s="234"/>
      <c r="O20" s="90"/>
      <c r="P20" s="91" t="str">
        <f t="shared" si="0"/>
        <v/>
      </c>
      <c r="Q20" s="114"/>
      <c r="R20" s="115">
        <v>0</v>
      </c>
      <c r="S20" s="116">
        <v>2</v>
      </c>
      <c r="T20" s="90"/>
      <c r="U20" s="91" t="str">
        <f t="shared" si="1"/>
        <v/>
      </c>
      <c r="V20" s="114"/>
      <c r="W20" s="115">
        <v>0</v>
      </c>
      <c r="X20" s="116">
        <v>2</v>
      </c>
      <c r="Y20" s="118"/>
      <c r="Z20" s="119" t="str">
        <f>IF(Y20="","",IF(I20=1,VLOOKUP(Y20,[2]男子種目コード!$A$1:$B$33,2,FALSE),IF(I20=2,VLOOKUP(Y20,[2]女子種目コード!$A$36:$B$66,2,FALSE))))</f>
        <v/>
      </c>
      <c r="AA20" s="114" t="str">
        <f>IF(Y20="","",HLOOKUP(Y20,#REF!,15,FALSE))</f>
        <v/>
      </c>
      <c r="AB20" s="115">
        <v>0</v>
      </c>
      <c r="AC20" s="116">
        <v>2</v>
      </c>
      <c r="AD20" s="97"/>
      <c r="AE20" s="98" t="str">
        <f t="shared" si="15"/>
        <v/>
      </c>
      <c r="AF20" s="120"/>
      <c r="AG20" s="121">
        <v>0</v>
      </c>
      <c r="AH20" s="121">
        <v>2</v>
      </c>
      <c r="AI20" s="101"/>
      <c r="AJ20" s="102" t="str">
        <f t="shared" si="11"/>
        <v/>
      </c>
      <c r="AK20" s="122"/>
      <c r="AL20" s="104">
        <v>0</v>
      </c>
      <c r="AM20" s="123">
        <v>2</v>
      </c>
      <c r="AN20" s="105"/>
      <c r="AO20" s="105"/>
      <c r="AQ20" s="139"/>
      <c r="AS20" s="160"/>
      <c r="AT20" s="161"/>
      <c r="AU20" s="161"/>
      <c r="AV20" s="278"/>
      <c r="AW20" s="131" t="str">
        <f t="shared" ca="1" si="17"/>
        <v/>
      </c>
      <c r="AX20" s="132" t="str">
        <f t="shared" ca="1" si="17"/>
        <v/>
      </c>
      <c r="AY20" s="133" t="e">
        <f ca="1">VLookUpX(2,$A$7:$F$116,3,5)</f>
        <v>#NAME?</v>
      </c>
      <c r="AZ20" s="134" t="e">
        <f ca="1">VLookUpX(2,$A$7:$F$116,3,6)</f>
        <v>#NAME?</v>
      </c>
      <c r="BA20" s="10"/>
      <c r="BB20" s="112" t="str">
        <f t="shared" si="2"/>
        <v/>
      </c>
      <c r="BC20" s="112">
        <f t="shared" si="3"/>
        <v>0</v>
      </c>
      <c r="BD20" s="112">
        <f t="shared" si="4"/>
        <v>0</v>
      </c>
      <c r="BE20" s="112">
        <f t="shared" si="5"/>
        <v>0</v>
      </c>
      <c r="BF20" s="112">
        <f t="shared" si="6"/>
        <v>0</v>
      </c>
      <c r="BJ20" s="15">
        <f t="shared" si="12"/>
        <v>0</v>
      </c>
      <c r="BK20" s="15" t="str">
        <f t="shared" si="7"/>
        <v/>
      </c>
      <c r="BL20" s="15" t="str">
        <f t="shared" si="8"/>
        <v/>
      </c>
      <c r="BM20" s="113" t="str">
        <f t="shared" si="13"/>
        <v/>
      </c>
      <c r="BN20" s="112">
        <f t="shared" si="14"/>
        <v>0</v>
      </c>
      <c r="BO20" s="10"/>
    </row>
    <row r="21" spans="1:67" ht="14.25" thickBot="1">
      <c r="A21" s="1" t="b">
        <f t="shared" si="9"/>
        <v>0</v>
      </c>
      <c r="B21" s="88" t="str">
        <f>[2]陸連登録!N16</f>
        <v/>
      </c>
      <c r="C21" s="1" t="b">
        <f t="shared" si="10"/>
        <v>0</v>
      </c>
      <c r="D21" s="89"/>
      <c r="E21" s="235"/>
      <c r="F21" s="236"/>
      <c r="G21" s="237"/>
      <c r="H21" s="238"/>
      <c r="I21" s="239"/>
      <c r="J21" s="240"/>
      <c r="K21" s="241"/>
      <c r="L21" s="242"/>
      <c r="M21" s="237"/>
      <c r="N21" s="243"/>
      <c r="O21" s="254"/>
      <c r="P21" s="255" t="str">
        <f t="shared" si="0"/>
        <v/>
      </c>
      <c r="Q21" s="177"/>
      <c r="R21" s="178">
        <v>0</v>
      </c>
      <c r="S21" s="179">
        <v>2</v>
      </c>
      <c r="T21" s="254"/>
      <c r="U21" s="255" t="str">
        <f t="shared" si="1"/>
        <v/>
      </c>
      <c r="V21" s="177"/>
      <c r="W21" s="178">
        <v>0</v>
      </c>
      <c r="X21" s="179">
        <v>2</v>
      </c>
      <c r="Y21" s="181"/>
      <c r="Z21" s="176" t="str">
        <f>IF(Y21="","",IF(I21=1,VLOOKUP(Y21,[2]男子種目コード!$A$1:$B$33,2,FALSE),IF(I21=2,VLOOKUP(Y21,[2]女子種目コード!$A$36:$B$66,2,FALSE))))</f>
        <v/>
      </c>
      <c r="AA21" s="177" t="str">
        <f>IF(Y21="","",HLOOKUP(Y21,#REF!,16,FALSE))</f>
        <v/>
      </c>
      <c r="AB21" s="178">
        <v>0</v>
      </c>
      <c r="AC21" s="179">
        <v>2</v>
      </c>
      <c r="AD21" s="256"/>
      <c r="AE21" s="183" t="str">
        <f t="shared" si="15"/>
        <v/>
      </c>
      <c r="AF21" s="257"/>
      <c r="AG21" s="185">
        <v>0</v>
      </c>
      <c r="AH21" s="185">
        <v>2</v>
      </c>
      <c r="AI21" s="258"/>
      <c r="AJ21" s="102" t="str">
        <f t="shared" si="11"/>
        <v/>
      </c>
      <c r="AK21" s="122"/>
      <c r="AL21" s="104">
        <v>0</v>
      </c>
      <c r="AM21" s="123">
        <v>2</v>
      </c>
      <c r="AN21" s="105"/>
      <c r="AO21" s="105"/>
      <c r="AQ21" s="139"/>
      <c r="AS21" s="160" t="s">
        <v>36</v>
      </c>
      <c r="AT21" s="161">
        <f>COUNTIF($AD$7:$AD$116,AS21)</f>
        <v>0</v>
      </c>
      <c r="AU21" s="163">
        <v>6</v>
      </c>
      <c r="AV21" s="278"/>
      <c r="AW21" s="131" t="str">
        <f t="shared" ca="1" si="17"/>
        <v/>
      </c>
      <c r="AX21" s="132" t="str">
        <f t="shared" ca="1" si="17"/>
        <v/>
      </c>
      <c r="AY21" s="133" t="e">
        <f ca="1">VLookUpX(2,$A$7:$F$116,4,5)</f>
        <v>#NAME?</v>
      </c>
      <c r="AZ21" s="134" t="e">
        <f ca="1">VLookUpX(2,$A$7:$F$116,4,6)</f>
        <v>#NAME?</v>
      </c>
      <c r="BA21" s="10"/>
      <c r="BB21" s="112" t="str">
        <f t="shared" si="2"/>
        <v/>
      </c>
      <c r="BC21" s="112">
        <f t="shared" si="3"/>
        <v>0</v>
      </c>
      <c r="BD21" s="112">
        <f t="shared" si="4"/>
        <v>0</v>
      </c>
      <c r="BE21" s="112">
        <f t="shared" si="5"/>
        <v>0</v>
      </c>
      <c r="BF21" s="112">
        <f t="shared" si="6"/>
        <v>0</v>
      </c>
      <c r="BJ21" s="15">
        <f t="shared" si="12"/>
        <v>0</v>
      </c>
      <c r="BK21" s="15" t="str">
        <f t="shared" si="7"/>
        <v/>
      </c>
      <c r="BL21" s="15" t="str">
        <f t="shared" si="8"/>
        <v/>
      </c>
      <c r="BM21" s="113" t="str">
        <f t="shared" si="13"/>
        <v/>
      </c>
      <c r="BN21" s="112">
        <f t="shared" si="14"/>
        <v>0</v>
      </c>
      <c r="BO21" s="10"/>
    </row>
    <row r="22" spans="1:67" hidden="1">
      <c r="A22" s="1" t="b">
        <f t="shared" si="9"/>
        <v>0</v>
      </c>
      <c r="B22" s="88" t="str">
        <f>[2]陸連登録!N17</f>
        <v/>
      </c>
      <c r="C22" s="1" t="b">
        <f t="shared" si="10"/>
        <v>0</v>
      </c>
      <c r="D22" s="89"/>
      <c r="E22" s="244"/>
      <c r="F22" s="245"/>
      <c r="G22" s="246"/>
      <c r="H22" s="247"/>
      <c r="I22" s="248"/>
      <c r="J22" s="249"/>
      <c r="K22" s="250"/>
      <c r="L22" s="251"/>
      <c r="M22" s="246"/>
      <c r="N22" s="252"/>
      <c r="O22" s="90"/>
      <c r="P22" s="91" t="str">
        <f t="shared" si="0"/>
        <v/>
      </c>
      <c r="Q22" s="92"/>
      <c r="R22" s="93">
        <v>0</v>
      </c>
      <c r="S22" s="94">
        <v>2</v>
      </c>
      <c r="T22" s="90"/>
      <c r="U22" s="91" t="str">
        <f t="shared" si="1"/>
        <v/>
      </c>
      <c r="V22" s="95"/>
      <c r="W22" s="93">
        <v>0</v>
      </c>
      <c r="X22" s="94">
        <v>2</v>
      </c>
      <c r="Y22" s="96"/>
      <c r="Z22" s="91" t="str">
        <f>IF(Y22="","",IF(I22=1,VLOOKUP(Y22,[2]男子種目コード!$A$1:$B$33,2,FALSE),IF(I22=2,VLOOKUP(Y22,[2]女子種目コード!$A$36:$B$66,2,FALSE))))</f>
        <v/>
      </c>
      <c r="AA22" s="92" t="str">
        <f>IF(Y22="","",HLOOKUP(Y22,#REF!,17,FALSE))</f>
        <v/>
      </c>
      <c r="AB22" s="93">
        <v>0</v>
      </c>
      <c r="AC22" s="94">
        <v>2</v>
      </c>
      <c r="AD22" s="97"/>
      <c r="AE22" s="253" t="str">
        <f t="shared" si="15"/>
        <v/>
      </c>
      <c r="AF22" s="99"/>
      <c r="AG22" s="100">
        <v>0</v>
      </c>
      <c r="AH22" s="100">
        <v>2</v>
      </c>
      <c r="AI22" s="101"/>
      <c r="AJ22" s="102" t="str">
        <f t="shared" si="11"/>
        <v/>
      </c>
      <c r="AK22" s="122"/>
      <c r="AL22" s="104">
        <v>0</v>
      </c>
      <c r="AM22" s="123">
        <v>2</v>
      </c>
      <c r="AN22" s="105"/>
      <c r="AO22" s="105"/>
      <c r="AQ22" s="139"/>
      <c r="AS22" s="160" t="s">
        <v>37</v>
      </c>
      <c r="AT22" s="161">
        <f>COUNTIF($AD$7:$AD$116,AS22)</f>
        <v>0</v>
      </c>
      <c r="AU22" s="163">
        <v>14</v>
      </c>
      <c r="AV22" s="278"/>
      <c r="AW22" s="131" t="str">
        <f t="shared" ca="1" si="17"/>
        <v/>
      </c>
      <c r="AX22" s="132" t="str">
        <f t="shared" ca="1" si="17"/>
        <v/>
      </c>
      <c r="AY22" s="133" t="e">
        <f ca="1">VLookUpX(2,$A$7:$F$116,5,5)</f>
        <v>#NAME?</v>
      </c>
      <c r="AZ22" s="134" t="e">
        <f ca="1">VLookUpX(2,$A$7:$F$116,5,6)</f>
        <v>#NAME?</v>
      </c>
      <c r="BA22" s="10"/>
      <c r="BB22" s="112" t="str">
        <f t="shared" si="2"/>
        <v/>
      </c>
      <c r="BC22" s="112">
        <f t="shared" si="3"/>
        <v>0</v>
      </c>
      <c r="BD22" s="112">
        <f t="shared" si="4"/>
        <v>0</v>
      </c>
      <c r="BE22" s="112">
        <f t="shared" si="5"/>
        <v>0</v>
      </c>
      <c r="BF22" s="112">
        <f t="shared" si="6"/>
        <v>0</v>
      </c>
      <c r="BJ22" s="15">
        <f t="shared" si="12"/>
        <v>0</v>
      </c>
      <c r="BK22" s="15" t="str">
        <f t="shared" si="7"/>
        <v/>
      </c>
      <c r="BL22" s="15" t="str">
        <f t="shared" si="8"/>
        <v/>
      </c>
      <c r="BM22" s="113" t="str">
        <f t="shared" si="13"/>
        <v/>
      </c>
      <c r="BN22" s="112">
        <f t="shared" si="14"/>
        <v>0</v>
      </c>
      <c r="BO22" s="10"/>
    </row>
    <row r="23" spans="1:67" ht="14.25" hidden="1" thickBot="1">
      <c r="A23" s="1" t="b">
        <f t="shared" si="9"/>
        <v>0</v>
      </c>
      <c r="B23" s="88" t="str">
        <f>[2]陸連登録!N18</f>
        <v/>
      </c>
      <c r="C23" s="1" t="b">
        <f t="shared" si="10"/>
        <v>0</v>
      </c>
      <c r="D23" s="89"/>
      <c r="E23" s="226"/>
      <c r="F23" s="227"/>
      <c r="G23" s="228"/>
      <c r="H23" s="229"/>
      <c r="I23" s="230"/>
      <c r="J23" s="231"/>
      <c r="K23" s="232"/>
      <c r="L23" s="233"/>
      <c r="M23" s="228"/>
      <c r="N23" s="234"/>
      <c r="O23" s="90"/>
      <c r="P23" s="91" t="str">
        <f t="shared" si="0"/>
        <v/>
      </c>
      <c r="Q23" s="114"/>
      <c r="R23" s="115">
        <v>0</v>
      </c>
      <c r="S23" s="116">
        <v>2</v>
      </c>
      <c r="T23" s="90"/>
      <c r="U23" s="91" t="str">
        <f t="shared" si="1"/>
        <v/>
      </c>
      <c r="V23" s="117"/>
      <c r="W23" s="115">
        <v>0</v>
      </c>
      <c r="X23" s="116">
        <v>2</v>
      </c>
      <c r="Y23" s="118"/>
      <c r="Z23" s="119" t="str">
        <f>IF(Y23="","",IF(I23=1,VLOOKUP(Y23,[2]男子種目コード!$A$1:$B$33,2,FALSE),IF(I23=2,VLOOKUP(Y23,[2]女子種目コード!$A$36:$B$66,2,FALSE))))</f>
        <v/>
      </c>
      <c r="AA23" s="114" t="str">
        <f>IF(Y23="","",HLOOKUP(Y23,#REF!,18,FALSE))</f>
        <v/>
      </c>
      <c r="AB23" s="115">
        <v>0</v>
      </c>
      <c r="AC23" s="116">
        <v>2</v>
      </c>
      <c r="AD23" s="97"/>
      <c r="AE23" s="98" t="str">
        <f t="shared" si="15"/>
        <v/>
      </c>
      <c r="AF23" s="120"/>
      <c r="AG23" s="121">
        <v>0</v>
      </c>
      <c r="AH23" s="121">
        <v>2</v>
      </c>
      <c r="AI23" s="101"/>
      <c r="AJ23" s="102" t="str">
        <f t="shared" si="11"/>
        <v/>
      </c>
      <c r="AK23" s="122"/>
      <c r="AL23" s="104">
        <v>0</v>
      </c>
      <c r="AM23" s="123">
        <v>2</v>
      </c>
      <c r="AN23" s="105"/>
      <c r="AO23" s="105"/>
      <c r="AQ23" s="139"/>
      <c r="AS23" s="160"/>
      <c r="AT23" s="161">
        <f>COUNTIF(AT21:AT22,0)</f>
        <v>2</v>
      </c>
      <c r="AU23" s="163"/>
      <c r="AV23" s="279"/>
      <c r="AW23" s="164" t="str">
        <f t="shared" ca="1" si="17"/>
        <v/>
      </c>
      <c r="AX23" s="165" t="str">
        <f t="shared" ca="1" si="17"/>
        <v/>
      </c>
      <c r="AY23" s="133" t="e">
        <f ca="1">VLookUpX(2,$A$7:$F$116,6,5)</f>
        <v>#NAME?</v>
      </c>
      <c r="AZ23" s="134" t="e">
        <f ca="1">VLookUpX(2,$A$7:$F$116,6,6)</f>
        <v>#NAME?</v>
      </c>
      <c r="BA23" s="10"/>
      <c r="BB23" s="112" t="str">
        <f t="shared" si="2"/>
        <v/>
      </c>
      <c r="BC23" s="112">
        <f t="shared" si="3"/>
        <v>0</v>
      </c>
      <c r="BD23" s="112">
        <f t="shared" si="4"/>
        <v>0</v>
      </c>
      <c r="BE23" s="112">
        <f t="shared" si="5"/>
        <v>0</v>
      </c>
      <c r="BF23" s="112">
        <f t="shared" si="6"/>
        <v>0</v>
      </c>
      <c r="BJ23" s="15">
        <f t="shared" si="12"/>
        <v>0</v>
      </c>
      <c r="BK23" s="15" t="str">
        <f t="shared" si="7"/>
        <v/>
      </c>
      <c r="BL23" s="15" t="str">
        <f t="shared" si="8"/>
        <v/>
      </c>
      <c r="BM23" s="113" t="str">
        <f t="shared" si="13"/>
        <v/>
      </c>
      <c r="BN23" s="112">
        <f t="shared" si="14"/>
        <v>0</v>
      </c>
      <c r="BO23" s="10"/>
    </row>
    <row r="24" spans="1:67" hidden="1">
      <c r="A24" s="1" t="b">
        <f t="shared" si="9"/>
        <v>0</v>
      </c>
      <c r="B24" s="88" t="str">
        <f>[2]陸連登録!N19</f>
        <v/>
      </c>
      <c r="C24" s="1" t="b">
        <f t="shared" si="10"/>
        <v>0</v>
      </c>
      <c r="D24" s="89"/>
      <c r="E24" s="226"/>
      <c r="F24" s="227"/>
      <c r="G24" s="228"/>
      <c r="H24" s="229"/>
      <c r="I24" s="230"/>
      <c r="J24" s="231"/>
      <c r="K24" s="232"/>
      <c r="L24" s="233"/>
      <c r="M24" s="228"/>
      <c r="N24" s="234"/>
      <c r="O24" s="90"/>
      <c r="P24" s="91" t="str">
        <f t="shared" si="0"/>
        <v/>
      </c>
      <c r="Q24" s="114"/>
      <c r="R24" s="115">
        <v>0</v>
      </c>
      <c r="S24" s="116">
        <v>2</v>
      </c>
      <c r="T24" s="90"/>
      <c r="U24" s="91" t="str">
        <f t="shared" si="1"/>
        <v/>
      </c>
      <c r="V24" s="117"/>
      <c r="W24" s="115">
        <v>0</v>
      </c>
      <c r="X24" s="116">
        <v>2</v>
      </c>
      <c r="Y24" s="118"/>
      <c r="Z24" s="119" t="str">
        <f>IF(Y24="","",IF(I24=1,VLOOKUP(Y24,[2]男子種目コード!$A$1:$B$33,2,FALSE),IF(I24=2,VLOOKUP(Y24,[2]女子種目コード!$A$36:$B$66,2,FALSE))))</f>
        <v/>
      </c>
      <c r="AA24" s="114" t="str">
        <f>IF(Y24="","",HLOOKUP(Y24,#REF!,19,FALSE))</f>
        <v/>
      </c>
      <c r="AB24" s="115">
        <v>0</v>
      </c>
      <c r="AC24" s="116">
        <v>2</v>
      </c>
      <c r="AD24" s="97"/>
      <c r="AE24" s="98" t="str">
        <f t="shared" si="15"/>
        <v/>
      </c>
      <c r="AF24" s="120"/>
      <c r="AG24" s="121">
        <v>0</v>
      </c>
      <c r="AH24" s="121">
        <v>2</v>
      </c>
      <c r="AI24" s="101"/>
      <c r="AJ24" s="102" t="str">
        <f t="shared" si="11"/>
        <v/>
      </c>
      <c r="AK24" s="122"/>
      <c r="AL24" s="104">
        <v>0</v>
      </c>
      <c r="AM24" s="123">
        <v>2</v>
      </c>
      <c r="AN24" s="105"/>
      <c r="AO24" s="105"/>
      <c r="AQ24" s="139"/>
      <c r="AS24" s="160"/>
      <c r="AT24" s="161">
        <f>2-AT23</f>
        <v>0</v>
      </c>
      <c r="AU24" s="163"/>
      <c r="AV24" s="166" t="s">
        <v>33</v>
      </c>
      <c r="AW24" s="260" t="s">
        <v>48</v>
      </c>
      <c r="AX24" s="261"/>
      <c r="AY24" s="146"/>
      <c r="AZ24" s="147"/>
      <c r="BA24" s="10"/>
      <c r="BB24" s="112" t="str">
        <f t="shared" si="2"/>
        <v/>
      </c>
      <c r="BC24" s="112">
        <f t="shared" si="3"/>
        <v>0</v>
      </c>
      <c r="BD24" s="112">
        <f t="shared" si="4"/>
        <v>0</v>
      </c>
      <c r="BE24" s="112">
        <f t="shared" si="5"/>
        <v>0</v>
      </c>
      <c r="BF24" s="112">
        <f t="shared" si="6"/>
        <v>0</v>
      </c>
      <c r="BJ24" s="15">
        <f t="shared" si="12"/>
        <v>0</v>
      </c>
      <c r="BK24" s="15" t="str">
        <f t="shared" si="7"/>
        <v/>
      </c>
      <c r="BL24" s="15" t="str">
        <f t="shared" si="8"/>
        <v/>
      </c>
      <c r="BM24" s="113" t="str">
        <f t="shared" si="13"/>
        <v/>
      </c>
      <c r="BN24" s="112">
        <f t="shared" si="14"/>
        <v>0</v>
      </c>
      <c r="BO24" s="10"/>
    </row>
    <row r="25" spans="1:67" hidden="1">
      <c r="A25" s="1" t="b">
        <f t="shared" si="9"/>
        <v>0</v>
      </c>
      <c r="B25" s="88" t="str">
        <f>[2]陸連登録!N20</f>
        <v/>
      </c>
      <c r="C25" s="1" t="b">
        <f t="shared" si="10"/>
        <v>0</v>
      </c>
      <c r="D25" s="89"/>
      <c r="E25" s="226"/>
      <c r="F25" s="227"/>
      <c r="G25" s="228"/>
      <c r="H25" s="229"/>
      <c r="I25" s="230"/>
      <c r="J25" s="231"/>
      <c r="K25" s="232"/>
      <c r="L25" s="233"/>
      <c r="M25" s="228"/>
      <c r="N25" s="234"/>
      <c r="O25" s="90"/>
      <c r="P25" s="91" t="str">
        <f t="shared" si="0"/>
        <v/>
      </c>
      <c r="Q25" s="114"/>
      <c r="R25" s="115">
        <v>0</v>
      </c>
      <c r="S25" s="116">
        <v>2</v>
      </c>
      <c r="T25" s="90"/>
      <c r="U25" s="91" t="str">
        <f t="shared" si="1"/>
        <v/>
      </c>
      <c r="V25" s="117"/>
      <c r="W25" s="115">
        <v>0</v>
      </c>
      <c r="X25" s="116">
        <v>2</v>
      </c>
      <c r="Y25" s="118"/>
      <c r="Z25" s="119" t="str">
        <f>IF(Y25="","",IF(I25=1,VLOOKUP(Y25,[2]男子種目コード!$A$1:$B$33,2,FALSE),IF(I25=2,VLOOKUP(Y25,[2]女子種目コード!$A$36:$B$66,2,FALSE))))</f>
        <v/>
      </c>
      <c r="AA25" s="114" t="str">
        <f>IF(Y25="","",HLOOKUP(Y25,#REF!,20,FALSE))</f>
        <v/>
      </c>
      <c r="AB25" s="115">
        <v>0</v>
      </c>
      <c r="AC25" s="116">
        <v>2</v>
      </c>
      <c r="AD25" s="97"/>
      <c r="AE25" s="98" t="str">
        <f t="shared" si="15"/>
        <v/>
      </c>
      <c r="AF25" s="120"/>
      <c r="AG25" s="121">
        <v>0</v>
      </c>
      <c r="AH25" s="121">
        <v>2</v>
      </c>
      <c r="AI25" s="101"/>
      <c r="AJ25" s="102" t="str">
        <f t="shared" si="11"/>
        <v/>
      </c>
      <c r="AK25" s="122"/>
      <c r="AL25" s="104">
        <v>0</v>
      </c>
      <c r="AM25" s="123">
        <v>2</v>
      </c>
      <c r="AN25" s="105"/>
      <c r="AO25" s="105"/>
      <c r="AQ25" s="139"/>
      <c r="AS25" s="160"/>
      <c r="AT25" s="161"/>
      <c r="AU25" s="163"/>
      <c r="AV25" s="110" t="s">
        <v>39</v>
      </c>
      <c r="AW25" s="269"/>
      <c r="AX25" s="270"/>
      <c r="AY25" s="148"/>
      <c r="AZ25" s="149"/>
      <c r="BA25" s="10"/>
      <c r="BB25" s="112" t="str">
        <f t="shared" si="2"/>
        <v/>
      </c>
      <c r="BC25" s="112">
        <f t="shared" si="3"/>
        <v>0</v>
      </c>
      <c r="BD25" s="112">
        <f t="shared" si="4"/>
        <v>0</v>
      </c>
      <c r="BE25" s="112">
        <f t="shared" si="5"/>
        <v>0</v>
      </c>
      <c r="BF25" s="112">
        <f t="shared" si="6"/>
        <v>0</v>
      </c>
      <c r="BJ25" s="15">
        <f t="shared" si="12"/>
        <v>0</v>
      </c>
      <c r="BK25" s="15" t="str">
        <f t="shared" si="7"/>
        <v/>
      </c>
      <c r="BL25" s="15" t="str">
        <f t="shared" si="8"/>
        <v/>
      </c>
      <c r="BM25" s="113" t="str">
        <f t="shared" si="13"/>
        <v/>
      </c>
      <c r="BN25" s="112">
        <f t="shared" si="14"/>
        <v>0</v>
      </c>
      <c r="BO25" s="10"/>
    </row>
    <row r="26" spans="1:67" hidden="1">
      <c r="A26" s="1" t="b">
        <f t="shared" si="9"/>
        <v>0</v>
      </c>
      <c r="B26" s="88" t="str">
        <f>[2]陸連登録!N21</f>
        <v/>
      </c>
      <c r="C26" s="1" t="b">
        <f t="shared" si="10"/>
        <v>0</v>
      </c>
      <c r="D26" s="89"/>
      <c r="E26" s="226"/>
      <c r="F26" s="227"/>
      <c r="G26" s="228"/>
      <c r="H26" s="229"/>
      <c r="I26" s="230"/>
      <c r="J26" s="231"/>
      <c r="K26" s="232"/>
      <c r="L26" s="233"/>
      <c r="M26" s="228"/>
      <c r="N26" s="234"/>
      <c r="O26" s="90"/>
      <c r="P26" s="91" t="str">
        <f t="shared" si="0"/>
        <v/>
      </c>
      <c r="Q26" s="114"/>
      <c r="R26" s="115">
        <v>0</v>
      </c>
      <c r="S26" s="116">
        <v>2</v>
      </c>
      <c r="T26" s="90"/>
      <c r="U26" s="91" t="str">
        <f t="shared" si="1"/>
        <v/>
      </c>
      <c r="V26" s="117"/>
      <c r="W26" s="115">
        <v>0</v>
      </c>
      <c r="X26" s="116">
        <v>2</v>
      </c>
      <c r="Y26" s="118"/>
      <c r="Z26" s="119" t="str">
        <f>IF(Y26="","",IF(I26=1,VLOOKUP(Y26,[2]男子種目コード!$A$1:$B$33,2,FALSE),IF(I26=2,VLOOKUP(Y26,[2]女子種目コード!$A$36:$B$66,2,FALSE))))</f>
        <v/>
      </c>
      <c r="AA26" s="114" t="str">
        <f>IF(Y26="","",HLOOKUP(Y26,#REF!,21,FALSE))</f>
        <v/>
      </c>
      <c r="AB26" s="115">
        <v>0</v>
      </c>
      <c r="AC26" s="116">
        <v>2</v>
      </c>
      <c r="AD26" s="97"/>
      <c r="AE26" s="98" t="str">
        <f t="shared" si="15"/>
        <v/>
      </c>
      <c r="AF26" s="120"/>
      <c r="AG26" s="121">
        <v>0</v>
      </c>
      <c r="AH26" s="121">
        <v>2</v>
      </c>
      <c r="AI26" s="101"/>
      <c r="AJ26" s="102" t="str">
        <f t="shared" si="11"/>
        <v/>
      </c>
      <c r="AK26" s="122"/>
      <c r="AL26" s="104">
        <v>0</v>
      </c>
      <c r="AM26" s="123">
        <v>2</v>
      </c>
      <c r="AN26" s="105"/>
      <c r="AO26" s="105"/>
      <c r="AQ26" s="139"/>
      <c r="AS26" s="160"/>
      <c r="AT26" s="161"/>
      <c r="AU26" s="163"/>
      <c r="AV26" s="110" t="s">
        <v>41</v>
      </c>
      <c r="AW26" s="271">
        <f>COUNTIF($AE$7:$AE$116,14)</f>
        <v>0</v>
      </c>
      <c r="AX26" s="272"/>
      <c r="AY26" s="150"/>
      <c r="AZ26" s="151"/>
      <c r="BA26" s="10"/>
      <c r="BB26" s="112" t="str">
        <f t="shared" si="2"/>
        <v/>
      </c>
      <c r="BC26" s="112">
        <f t="shared" si="3"/>
        <v>0</v>
      </c>
      <c r="BD26" s="112">
        <f t="shared" si="4"/>
        <v>0</v>
      </c>
      <c r="BE26" s="112">
        <f t="shared" si="5"/>
        <v>0</v>
      </c>
      <c r="BF26" s="112">
        <f t="shared" si="6"/>
        <v>0</v>
      </c>
      <c r="BJ26" s="15">
        <f t="shared" si="12"/>
        <v>0</v>
      </c>
      <c r="BK26" s="15" t="str">
        <f t="shared" si="7"/>
        <v/>
      </c>
      <c r="BL26" s="15" t="str">
        <f t="shared" si="8"/>
        <v/>
      </c>
      <c r="BM26" s="113" t="str">
        <f t="shared" si="13"/>
        <v/>
      </c>
      <c r="BN26" s="112">
        <f t="shared" si="14"/>
        <v>0</v>
      </c>
      <c r="BO26" s="10"/>
    </row>
    <row r="27" spans="1:67" hidden="1">
      <c r="A27" s="1" t="b">
        <f t="shared" si="9"/>
        <v>0</v>
      </c>
      <c r="B27" s="88" t="str">
        <f>[2]陸連登録!N22</f>
        <v/>
      </c>
      <c r="C27" s="1" t="b">
        <f t="shared" si="10"/>
        <v>0</v>
      </c>
      <c r="D27" s="89"/>
      <c r="E27" s="226"/>
      <c r="F27" s="227"/>
      <c r="G27" s="228"/>
      <c r="H27" s="229"/>
      <c r="I27" s="230"/>
      <c r="J27" s="231"/>
      <c r="K27" s="232"/>
      <c r="L27" s="233"/>
      <c r="M27" s="228"/>
      <c r="N27" s="234"/>
      <c r="O27" s="90"/>
      <c r="P27" s="91" t="str">
        <f t="shared" si="0"/>
        <v/>
      </c>
      <c r="Q27" s="114"/>
      <c r="R27" s="115">
        <v>0</v>
      </c>
      <c r="S27" s="116">
        <v>2</v>
      </c>
      <c r="T27" s="90"/>
      <c r="U27" s="91" t="str">
        <f t="shared" si="1"/>
        <v/>
      </c>
      <c r="V27" s="117"/>
      <c r="W27" s="115">
        <v>0</v>
      </c>
      <c r="X27" s="116">
        <v>2</v>
      </c>
      <c r="Y27" s="118"/>
      <c r="Z27" s="119" t="str">
        <f>IF(Y27="","",IF(I27=1,VLOOKUP(Y27,[2]男子種目コード!$A$1:$B$33,2,FALSE),IF(I27=2,VLOOKUP(Y27,[2]女子種目コード!$A$36:$B$66,2,FALSE))))</f>
        <v/>
      </c>
      <c r="AA27" s="114" t="str">
        <f>IF(Y27="","",HLOOKUP(Y27,#REF!,22,FALSE))</f>
        <v/>
      </c>
      <c r="AB27" s="115">
        <v>0</v>
      </c>
      <c r="AC27" s="116">
        <v>2</v>
      </c>
      <c r="AD27" s="97"/>
      <c r="AE27" s="98" t="str">
        <f t="shared" si="15"/>
        <v/>
      </c>
      <c r="AF27" s="120"/>
      <c r="AG27" s="121">
        <v>0</v>
      </c>
      <c r="AH27" s="121">
        <v>2</v>
      </c>
      <c r="AI27" s="101"/>
      <c r="AJ27" s="102" t="str">
        <f t="shared" si="11"/>
        <v/>
      </c>
      <c r="AK27" s="122"/>
      <c r="AL27" s="104">
        <v>0</v>
      </c>
      <c r="AM27" s="123">
        <v>2</v>
      </c>
      <c r="AN27" s="105"/>
      <c r="AO27" s="105"/>
      <c r="AQ27" s="139"/>
      <c r="AS27" s="160"/>
      <c r="AT27" s="161"/>
      <c r="AU27" s="163"/>
      <c r="AV27" s="277" t="s">
        <v>43</v>
      </c>
      <c r="AW27" s="131" t="str">
        <f t="shared" ref="AW27:AX32" ca="1" si="18">IF(ISERROR(AY27),"",AY27)</f>
        <v/>
      </c>
      <c r="AX27" s="132" t="str">
        <f t="shared" ca="1" si="18"/>
        <v/>
      </c>
      <c r="AY27" s="133" t="e">
        <f ca="1">VLookUpX(1,$C$7:$F$116,1,3)</f>
        <v>#NAME?</v>
      </c>
      <c r="AZ27" s="134" t="e">
        <f ca="1">VLookUpX(1,$C$7:$F$116,1,4)</f>
        <v>#NAME?</v>
      </c>
      <c r="BA27" s="10" t="str">
        <f ca="1">IF(AW27="","",1)</f>
        <v/>
      </c>
      <c r="BB27" s="112" t="str">
        <f t="shared" si="2"/>
        <v/>
      </c>
      <c r="BC27" s="112">
        <f t="shared" si="3"/>
        <v>0</v>
      </c>
      <c r="BD27" s="112">
        <f t="shared" si="4"/>
        <v>0</v>
      </c>
      <c r="BE27" s="112">
        <f t="shared" si="5"/>
        <v>0</v>
      </c>
      <c r="BF27" s="112">
        <f t="shared" si="6"/>
        <v>0</v>
      </c>
      <c r="BJ27" s="15">
        <f t="shared" si="12"/>
        <v>0</v>
      </c>
      <c r="BK27" s="15" t="str">
        <f t="shared" si="7"/>
        <v/>
      </c>
      <c r="BL27" s="15" t="str">
        <f t="shared" si="8"/>
        <v/>
      </c>
      <c r="BM27" s="113" t="str">
        <f t="shared" si="13"/>
        <v/>
      </c>
      <c r="BN27" s="112">
        <f t="shared" si="14"/>
        <v>0</v>
      </c>
      <c r="BO27" s="10"/>
    </row>
    <row r="28" spans="1:67" hidden="1">
      <c r="A28" s="1" t="b">
        <f t="shared" si="9"/>
        <v>0</v>
      </c>
      <c r="B28" s="88" t="str">
        <f>[2]陸連登録!N23</f>
        <v/>
      </c>
      <c r="C28" s="1" t="b">
        <f t="shared" si="10"/>
        <v>0</v>
      </c>
      <c r="D28" s="89"/>
      <c r="E28" s="226"/>
      <c r="F28" s="227"/>
      <c r="G28" s="228"/>
      <c r="H28" s="229"/>
      <c r="I28" s="230"/>
      <c r="J28" s="231"/>
      <c r="K28" s="232"/>
      <c r="L28" s="233"/>
      <c r="M28" s="228"/>
      <c r="N28" s="234"/>
      <c r="O28" s="90"/>
      <c r="P28" s="91" t="str">
        <f t="shared" si="0"/>
        <v/>
      </c>
      <c r="Q28" s="114"/>
      <c r="R28" s="115">
        <v>0</v>
      </c>
      <c r="S28" s="116">
        <v>2</v>
      </c>
      <c r="T28" s="90"/>
      <c r="U28" s="91" t="str">
        <f t="shared" si="1"/>
        <v/>
      </c>
      <c r="V28" s="117"/>
      <c r="W28" s="115">
        <v>0</v>
      </c>
      <c r="X28" s="116">
        <v>2</v>
      </c>
      <c r="Y28" s="118"/>
      <c r="Z28" s="119" t="str">
        <f>IF(Y28="","",IF(I28=1,VLOOKUP(Y28,[2]男子種目コード!$A$1:$B$33,2,FALSE),IF(I28=2,VLOOKUP(Y28,[2]女子種目コード!$A$36:$B$66,2,FALSE))))</f>
        <v/>
      </c>
      <c r="AA28" s="114" t="str">
        <f>IF(Y28="","",HLOOKUP(Y28,#REF!,23,FALSE))</f>
        <v/>
      </c>
      <c r="AB28" s="115">
        <v>0</v>
      </c>
      <c r="AC28" s="116">
        <v>2</v>
      </c>
      <c r="AD28" s="97"/>
      <c r="AE28" s="98" t="str">
        <f t="shared" si="15"/>
        <v/>
      </c>
      <c r="AF28" s="120"/>
      <c r="AG28" s="121">
        <v>0</v>
      </c>
      <c r="AH28" s="121">
        <v>2</v>
      </c>
      <c r="AI28" s="101"/>
      <c r="AJ28" s="102" t="str">
        <f t="shared" si="11"/>
        <v/>
      </c>
      <c r="AK28" s="122"/>
      <c r="AL28" s="104">
        <v>0</v>
      </c>
      <c r="AM28" s="123">
        <v>2</v>
      </c>
      <c r="AN28" s="105"/>
      <c r="AO28" s="105"/>
      <c r="AQ28" s="139"/>
      <c r="AS28" s="160"/>
      <c r="AT28" s="161"/>
      <c r="AU28" s="163"/>
      <c r="AV28" s="278"/>
      <c r="AW28" s="131" t="str">
        <f t="shared" ca="1" si="18"/>
        <v/>
      </c>
      <c r="AX28" s="132" t="str">
        <f t="shared" ca="1" si="18"/>
        <v/>
      </c>
      <c r="AY28" s="133" t="e">
        <f ca="1">VLookUpX(1,$C$7:$F$116,2,3)</f>
        <v>#NAME?</v>
      </c>
      <c r="AZ28" s="134" t="e">
        <f ca="1">VLookUpX(1,$C$7:$F$116,2,4)</f>
        <v>#NAME?</v>
      </c>
      <c r="BA28" s="10"/>
      <c r="BB28" s="112" t="str">
        <f t="shared" si="2"/>
        <v/>
      </c>
      <c r="BC28" s="112">
        <f t="shared" si="3"/>
        <v>0</v>
      </c>
      <c r="BD28" s="112">
        <f t="shared" si="4"/>
        <v>0</v>
      </c>
      <c r="BE28" s="112">
        <f t="shared" si="5"/>
        <v>0</v>
      </c>
      <c r="BF28" s="112">
        <f t="shared" si="6"/>
        <v>0</v>
      </c>
      <c r="BJ28" s="15">
        <f t="shared" si="12"/>
        <v>0</v>
      </c>
      <c r="BK28" s="15" t="str">
        <f t="shared" si="7"/>
        <v/>
      </c>
      <c r="BL28" s="15" t="str">
        <f t="shared" si="8"/>
        <v/>
      </c>
      <c r="BM28" s="113" t="str">
        <f t="shared" si="13"/>
        <v/>
      </c>
      <c r="BN28" s="112">
        <f t="shared" si="14"/>
        <v>0</v>
      </c>
      <c r="BO28" s="10"/>
    </row>
    <row r="29" spans="1:67" hidden="1">
      <c r="A29" s="1" t="b">
        <f t="shared" si="9"/>
        <v>0</v>
      </c>
      <c r="B29" s="88" t="str">
        <f>[2]陸連登録!N24</f>
        <v/>
      </c>
      <c r="C29" s="1" t="b">
        <f t="shared" si="10"/>
        <v>0</v>
      </c>
      <c r="D29" s="89"/>
      <c r="E29" s="226"/>
      <c r="F29" s="227"/>
      <c r="G29" s="228"/>
      <c r="H29" s="229"/>
      <c r="I29" s="230"/>
      <c r="J29" s="231"/>
      <c r="K29" s="232"/>
      <c r="L29" s="233"/>
      <c r="M29" s="228"/>
      <c r="N29" s="234"/>
      <c r="O29" s="90"/>
      <c r="P29" s="91" t="str">
        <f t="shared" si="0"/>
        <v/>
      </c>
      <c r="Q29" s="114"/>
      <c r="R29" s="115">
        <v>0</v>
      </c>
      <c r="S29" s="116">
        <v>2</v>
      </c>
      <c r="T29" s="90"/>
      <c r="U29" s="91" t="str">
        <f t="shared" si="1"/>
        <v/>
      </c>
      <c r="V29" s="117"/>
      <c r="W29" s="115">
        <v>0</v>
      </c>
      <c r="X29" s="116">
        <v>2</v>
      </c>
      <c r="Y29" s="118"/>
      <c r="Z29" s="119" t="str">
        <f>IF(Y29="","",IF(I29=1,VLOOKUP(Y29,[2]男子種目コード!$A$1:$B$33,2,FALSE),IF(I29=2,VLOOKUP(Y29,[2]女子種目コード!$A$36:$B$66,2,FALSE))))</f>
        <v/>
      </c>
      <c r="AA29" s="114" t="str">
        <f>IF(Y29="","",HLOOKUP(Y29,#REF!,24,FALSE))</f>
        <v/>
      </c>
      <c r="AB29" s="115">
        <v>0</v>
      </c>
      <c r="AC29" s="116">
        <v>2</v>
      </c>
      <c r="AD29" s="97"/>
      <c r="AE29" s="98" t="str">
        <f t="shared" si="15"/>
        <v/>
      </c>
      <c r="AF29" s="120"/>
      <c r="AG29" s="121">
        <v>0</v>
      </c>
      <c r="AH29" s="121">
        <v>2</v>
      </c>
      <c r="AI29" s="101"/>
      <c r="AJ29" s="102" t="str">
        <f t="shared" si="11"/>
        <v/>
      </c>
      <c r="AK29" s="122"/>
      <c r="AL29" s="104">
        <v>0</v>
      </c>
      <c r="AM29" s="123">
        <v>2</v>
      </c>
      <c r="AN29" s="105"/>
      <c r="AO29" s="105"/>
      <c r="AQ29" s="167"/>
      <c r="AS29" s="160"/>
      <c r="AT29" s="161"/>
      <c r="AU29" s="163"/>
      <c r="AV29" s="278"/>
      <c r="AW29" s="131" t="str">
        <f t="shared" ca="1" si="18"/>
        <v/>
      </c>
      <c r="AX29" s="132" t="str">
        <f t="shared" ca="1" si="18"/>
        <v/>
      </c>
      <c r="AY29" s="133" t="e">
        <f ca="1">VLookUpX(1,$C$7:$F$116,3,3)</f>
        <v>#NAME?</v>
      </c>
      <c r="AZ29" s="134" t="e">
        <f ca="1">VLookUpX(1,$C$7:$F$116,3,4)</f>
        <v>#NAME?</v>
      </c>
      <c r="BA29" s="10"/>
      <c r="BB29" s="112" t="str">
        <f t="shared" si="2"/>
        <v/>
      </c>
      <c r="BC29" s="112">
        <f t="shared" si="3"/>
        <v>0</v>
      </c>
      <c r="BD29" s="112">
        <f t="shared" si="4"/>
        <v>0</v>
      </c>
      <c r="BE29" s="112">
        <f t="shared" si="5"/>
        <v>0</v>
      </c>
      <c r="BF29" s="112">
        <f t="shared" si="6"/>
        <v>0</v>
      </c>
      <c r="BJ29" s="15">
        <f t="shared" si="12"/>
        <v>0</v>
      </c>
      <c r="BK29" s="15" t="str">
        <f t="shared" si="7"/>
        <v/>
      </c>
      <c r="BL29" s="15" t="str">
        <f t="shared" si="8"/>
        <v/>
      </c>
      <c r="BM29" s="113" t="str">
        <f t="shared" si="13"/>
        <v/>
      </c>
      <c r="BN29" s="112">
        <f t="shared" si="14"/>
        <v>0</v>
      </c>
      <c r="BO29" s="10"/>
    </row>
    <row r="30" spans="1:67" hidden="1">
      <c r="A30" s="1" t="b">
        <f t="shared" si="9"/>
        <v>0</v>
      </c>
      <c r="B30" s="88" t="str">
        <f>[2]陸連登録!N25</f>
        <v/>
      </c>
      <c r="C30" s="1" t="b">
        <f t="shared" si="10"/>
        <v>0</v>
      </c>
      <c r="D30" s="89"/>
      <c r="E30" s="226"/>
      <c r="F30" s="227"/>
      <c r="G30" s="228"/>
      <c r="H30" s="229"/>
      <c r="I30" s="230"/>
      <c r="J30" s="231"/>
      <c r="K30" s="232"/>
      <c r="L30" s="233"/>
      <c r="M30" s="228"/>
      <c r="N30" s="234"/>
      <c r="O30" s="90"/>
      <c r="P30" s="91" t="str">
        <f t="shared" si="0"/>
        <v/>
      </c>
      <c r="Q30" s="114"/>
      <c r="R30" s="115">
        <v>0</v>
      </c>
      <c r="S30" s="116">
        <v>2</v>
      </c>
      <c r="T30" s="90"/>
      <c r="U30" s="91" t="str">
        <f t="shared" si="1"/>
        <v/>
      </c>
      <c r="V30" s="117"/>
      <c r="W30" s="115">
        <v>0</v>
      </c>
      <c r="X30" s="116">
        <v>2</v>
      </c>
      <c r="Y30" s="118"/>
      <c r="Z30" s="119" t="str">
        <f>IF(Y30="","",IF(I30=1,VLOOKUP(Y30,[2]男子種目コード!$A$1:$B$33,2,FALSE),IF(I30=2,VLOOKUP(Y30,[2]女子種目コード!$A$36:$B$66,2,FALSE))))</f>
        <v/>
      </c>
      <c r="AA30" s="114" t="str">
        <f>IF(Y30="","",HLOOKUP(Y30,#REF!,25,FALSE))</f>
        <v/>
      </c>
      <c r="AB30" s="115">
        <v>0</v>
      </c>
      <c r="AC30" s="116">
        <v>2</v>
      </c>
      <c r="AD30" s="97"/>
      <c r="AE30" s="98" t="str">
        <f t="shared" si="15"/>
        <v/>
      </c>
      <c r="AF30" s="120"/>
      <c r="AG30" s="121">
        <v>0</v>
      </c>
      <c r="AH30" s="121">
        <v>2</v>
      </c>
      <c r="AI30" s="101"/>
      <c r="AJ30" s="102" t="str">
        <f t="shared" si="11"/>
        <v/>
      </c>
      <c r="AK30" s="122"/>
      <c r="AL30" s="104">
        <v>0</v>
      </c>
      <c r="AM30" s="123">
        <v>2</v>
      </c>
      <c r="AN30" s="105"/>
      <c r="AO30" s="105"/>
      <c r="AQ30" s="167"/>
      <c r="AS30" s="160"/>
      <c r="AT30" s="161"/>
      <c r="AU30" s="163"/>
      <c r="AV30" s="278"/>
      <c r="AW30" s="131" t="str">
        <f t="shared" ca="1" si="18"/>
        <v/>
      </c>
      <c r="AX30" s="132" t="str">
        <f ca="1">IF(ISERROR(AZ30),"",AZ30)</f>
        <v/>
      </c>
      <c r="AY30" s="133" t="e">
        <f ca="1">VLookUpX(1,$C$7:$F$116,4,3)</f>
        <v>#NAME?</v>
      </c>
      <c r="AZ30" s="134" t="e">
        <f ca="1">VLookUpX(1,$C$7:$F$116,4,4)</f>
        <v>#NAME?</v>
      </c>
      <c r="BA30" s="10"/>
      <c r="BB30" s="112" t="str">
        <f t="shared" si="2"/>
        <v/>
      </c>
      <c r="BC30" s="112">
        <f t="shared" si="3"/>
        <v>0</v>
      </c>
      <c r="BD30" s="112">
        <f t="shared" si="4"/>
        <v>0</v>
      </c>
      <c r="BE30" s="112">
        <f t="shared" si="5"/>
        <v>0</v>
      </c>
      <c r="BF30" s="112">
        <f t="shared" si="6"/>
        <v>0</v>
      </c>
      <c r="BJ30" s="15">
        <f t="shared" si="12"/>
        <v>0</v>
      </c>
      <c r="BK30" s="15" t="str">
        <f t="shared" si="7"/>
        <v/>
      </c>
      <c r="BL30" s="15" t="str">
        <f t="shared" si="8"/>
        <v/>
      </c>
      <c r="BM30" s="113" t="str">
        <f t="shared" si="13"/>
        <v/>
      </c>
      <c r="BN30" s="112">
        <f t="shared" si="14"/>
        <v>0</v>
      </c>
      <c r="BO30" s="10"/>
    </row>
    <row r="31" spans="1:67" hidden="1">
      <c r="A31" s="1" t="b">
        <f t="shared" si="9"/>
        <v>0</v>
      </c>
      <c r="B31" s="88" t="str">
        <f>[2]陸連登録!N26</f>
        <v/>
      </c>
      <c r="C31" s="1" t="b">
        <f t="shared" si="10"/>
        <v>0</v>
      </c>
      <c r="D31" s="89"/>
      <c r="E31" s="226"/>
      <c r="F31" s="227"/>
      <c r="G31" s="228"/>
      <c r="H31" s="229"/>
      <c r="I31" s="230"/>
      <c r="J31" s="231"/>
      <c r="K31" s="232"/>
      <c r="L31" s="233"/>
      <c r="M31" s="228"/>
      <c r="N31" s="234"/>
      <c r="O31" s="90"/>
      <c r="P31" s="91" t="str">
        <f t="shared" si="0"/>
        <v/>
      </c>
      <c r="Q31" s="114"/>
      <c r="R31" s="115">
        <v>0</v>
      </c>
      <c r="S31" s="116">
        <v>2</v>
      </c>
      <c r="T31" s="90"/>
      <c r="U31" s="91" t="str">
        <f t="shared" si="1"/>
        <v/>
      </c>
      <c r="V31" s="117"/>
      <c r="W31" s="115">
        <v>0</v>
      </c>
      <c r="X31" s="116">
        <v>2</v>
      </c>
      <c r="Y31" s="118"/>
      <c r="Z31" s="119" t="str">
        <f>IF(Y31="","",IF(I31=1,VLOOKUP(Y31,[2]男子種目コード!$A$1:$B$33,2,FALSE),IF(I31=2,VLOOKUP(Y31,[2]女子種目コード!$A$36:$B$66,2,FALSE))))</f>
        <v/>
      </c>
      <c r="AA31" s="114" t="str">
        <f>IF(Y31="","",HLOOKUP(Y31,#REF!,26,FALSE))</f>
        <v/>
      </c>
      <c r="AB31" s="115">
        <v>0</v>
      </c>
      <c r="AC31" s="116">
        <v>2</v>
      </c>
      <c r="AD31" s="97"/>
      <c r="AE31" s="98" t="str">
        <f t="shared" si="15"/>
        <v/>
      </c>
      <c r="AF31" s="120"/>
      <c r="AG31" s="121">
        <v>0</v>
      </c>
      <c r="AH31" s="121">
        <v>2</v>
      </c>
      <c r="AI31" s="101"/>
      <c r="AJ31" s="102" t="str">
        <f t="shared" si="11"/>
        <v/>
      </c>
      <c r="AK31" s="122"/>
      <c r="AL31" s="104">
        <v>0</v>
      </c>
      <c r="AM31" s="123">
        <v>2</v>
      </c>
      <c r="AN31" s="105"/>
      <c r="AO31" s="105"/>
      <c r="AQ31" s="167"/>
      <c r="AS31" s="162"/>
      <c r="AT31" s="163"/>
      <c r="AU31" s="163"/>
      <c r="AV31" s="278"/>
      <c r="AW31" s="131" t="str">
        <f t="shared" ca="1" si="18"/>
        <v/>
      </c>
      <c r="AX31" s="132" t="str">
        <f t="shared" ca="1" si="18"/>
        <v/>
      </c>
      <c r="AY31" s="133" t="e">
        <f ca="1">VLookUpX(1,$C$7:$F$116,5,3)</f>
        <v>#NAME?</v>
      </c>
      <c r="AZ31" s="134" t="e">
        <f ca="1">VLookUpX(1,$C$7:$F$116,5,4)</f>
        <v>#NAME?</v>
      </c>
      <c r="BA31" s="10"/>
      <c r="BB31" s="112" t="str">
        <f t="shared" si="2"/>
        <v/>
      </c>
      <c r="BC31" s="112">
        <f t="shared" si="3"/>
        <v>0</v>
      </c>
      <c r="BD31" s="112">
        <f t="shared" si="4"/>
        <v>0</v>
      </c>
      <c r="BE31" s="112">
        <f t="shared" si="5"/>
        <v>0</v>
      </c>
      <c r="BF31" s="112">
        <f t="shared" si="6"/>
        <v>0</v>
      </c>
      <c r="BJ31" s="15">
        <f t="shared" si="12"/>
        <v>0</v>
      </c>
      <c r="BK31" s="15" t="str">
        <f t="shared" si="7"/>
        <v/>
      </c>
      <c r="BL31" s="15" t="str">
        <f t="shared" si="8"/>
        <v/>
      </c>
      <c r="BM31" s="113" t="str">
        <f t="shared" si="13"/>
        <v/>
      </c>
      <c r="BN31" s="112">
        <f t="shared" si="14"/>
        <v>0</v>
      </c>
      <c r="BO31" s="10"/>
    </row>
    <row r="32" spans="1:67" ht="13.5" hidden="1" customHeight="1" thickBot="1">
      <c r="A32" s="1" t="b">
        <f t="shared" si="9"/>
        <v>0</v>
      </c>
      <c r="B32" s="88" t="str">
        <f>[2]陸連登録!N27</f>
        <v/>
      </c>
      <c r="C32" s="1" t="b">
        <f t="shared" si="10"/>
        <v>0</v>
      </c>
      <c r="D32" s="89"/>
      <c r="E32" s="226"/>
      <c r="F32" s="227"/>
      <c r="G32" s="228"/>
      <c r="H32" s="229"/>
      <c r="I32" s="230"/>
      <c r="J32" s="231"/>
      <c r="K32" s="232"/>
      <c r="L32" s="233"/>
      <c r="M32" s="228"/>
      <c r="N32" s="234"/>
      <c r="O32" s="90"/>
      <c r="P32" s="91" t="str">
        <f t="shared" si="0"/>
        <v/>
      </c>
      <c r="Q32" s="114"/>
      <c r="R32" s="115">
        <v>0</v>
      </c>
      <c r="S32" s="116">
        <v>2</v>
      </c>
      <c r="T32" s="90"/>
      <c r="U32" s="91" t="str">
        <f t="shared" si="1"/>
        <v/>
      </c>
      <c r="V32" s="117"/>
      <c r="W32" s="115">
        <v>0</v>
      </c>
      <c r="X32" s="116">
        <v>2</v>
      </c>
      <c r="Y32" s="118"/>
      <c r="Z32" s="119" t="str">
        <f>IF(Y32="","",IF(I32=1,VLOOKUP(Y32,[2]男子種目コード!$A$1:$B$33,2,FALSE),IF(I32=2,VLOOKUP(Y32,[2]女子種目コード!$A$36:$B$66,2,FALSE))))</f>
        <v/>
      </c>
      <c r="AA32" s="114" t="str">
        <f>IF(Y32="","",HLOOKUP(Y32,#REF!,27,FALSE))</f>
        <v/>
      </c>
      <c r="AB32" s="115">
        <v>0</v>
      </c>
      <c r="AC32" s="116">
        <v>2</v>
      </c>
      <c r="AD32" s="97"/>
      <c r="AE32" s="98" t="str">
        <f t="shared" si="15"/>
        <v/>
      </c>
      <c r="AF32" s="120"/>
      <c r="AG32" s="121">
        <v>0</v>
      </c>
      <c r="AH32" s="121">
        <v>2</v>
      </c>
      <c r="AI32" s="101"/>
      <c r="AJ32" s="102" t="str">
        <f t="shared" si="11"/>
        <v/>
      </c>
      <c r="AK32" s="122"/>
      <c r="AL32" s="104">
        <v>0</v>
      </c>
      <c r="AM32" s="123">
        <v>2</v>
      </c>
      <c r="AN32" s="105"/>
      <c r="AO32" s="105"/>
      <c r="AQ32" s="167"/>
      <c r="AS32" s="162"/>
      <c r="AT32" s="163"/>
      <c r="AU32" s="163"/>
      <c r="AV32" s="279"/>
      <c r="AW32" s="164" t="str">
        <f t="shared" ca="1" si="18"/>
        <v/>
      </c>
      <c r="AX32" s="165" t="str">
        <f t="shared" ca="1" si="18"/>
        <v/>
      </c>
      <c r="AY32" s="133" t="e">
        <f ca="1">VLookUpX(1,$C$7:$F$116,6,3)</f>
        <v>#NAME?</v>
      </c>
      <c r="AZ32" s="134" t="e">
        <f ca="1">VLookUpX(1,$C$7:$F$116,6,4)</f>
        <v>#NAME?</v>
      </c>
      <c r="BA32" s="10"/>
      <c r="BB32" s="112" t="str">
        <f t="shared" si="2"/>
        <v/>
      </c>
      <c r="BC32" s="112">
        <f t="shared" si="3"/>
        <v>0</v>
      </c>
      <c r="BD32" s="112">
        <f t="shared" si="4"/>
        <v>0</v>
      </c>
      <c r="BE32" s="112">
        <f t="shared" si="5"/>
        <v>0</v>
      </c>
      <c r="BF32" s="112">
        <f t="shared" si="6"/>
        <v>0</v>
      </c>
      <c r="BJ32" s="15">
        <f t="shared" si="12"/>
        <v>0</v>
      </c>
      <c r="BK32" s="15" t="str">
        <f t="shared" si="7"/>
        <v/>
      </c>
      <c r="BL32" s="15" t="str">
        <f t="shared" si="8"/>
        <v/>
      </c>
      <c r="BM32" s="113" t="str">
        <f t="shared" si="13"/>
        <v/>
      </c>
      <c r="BN32" s="112">
        <f t="shared" si="14"/>
        <v>0</v>
      </c>
      <c r="BO32" s="10"/>
    </row>
    <row r="33" spans="1:67" hidden="1">
      <c r="A33" s="1" t="b">
        <f t="shared" si="9"/>
        <v>0</v>
      </c>
      <c r="B33" s="88" t="str">
        <f>[2]陸連登録!N28</f>
        <v/>
      </c>
      <c r="C33" s="1" t="b">
        <f t="shared" si="10"/>
        <v>0</v>
      </c>
      <c r="D33" s="89"/>
      <c r="E33" s="226"/>
      <c r="F33" s="227"/>
      <c r="G33" s="228"/>
      <c r="H33" s="229"/>
      <c r="I33" s="230"/>
      <c r="J33" s="231"/>
      <c r="K33" s="232"/>
      <c r="L33" s="233"/>
      <c r="M33" s="228"/>
      <c r="N33" s="234"/>
      <c r="O33" s="90"/>
      <c r="P33" s="91" t="str">
        <f t="shared" si="0"/>
        <v/>
      </c>
      <c r="Q33" s="114"/>
      <c r="R33" s="115">
        <v>0</v>
      </c>
      <c r="S33" s="116">
        <v>2</v>
      </c>
      <c r="T33" s="90"/>
      <c r="U33" s="91" t="str">
        <f t="shared" si="1"/>
        <v/>
      </c>
      <c r="V33" s="117"/>
      <c r="W33" s="115">
        <v>0</v>
      </c>
      <c r="X33" s="116">
        <v>2</v>
      </c>
      <c r="Y33" s="118"/>
      <c r="Z33" s="119" t="str">
        <f>IF(Y33="","",IF(I33=1,VLOOKUP(Y33,[2]男子種目コード!$A$1:$B$33,2,FALSE),IF(I33=2,VLOOKUP(Y33,[2]女子種目コード!$A$36:$B$66,2,FALSE))))</f>
        <v/>
      </c>
      <c r="AA33" s="114" t="str">
        <f>IF(Y33="","",HLOOKUP(Y33,#REF!,28,FALSE))</f>
        <v/>
      </c>
      <c r="AB33" s="115">
        <v>0</v>
      </c>
      <c r="AC33" s="116">
        <v>2</v>
      </c>
      <c r="AD33" s="97"/>
      <c r="AE33" s="98" t="str">
        <f t="shared" si="15"/>
        <v/>
      </c>
      <c r="AF33" s="120"/>
      <c r="AG33" s="121">
        <v>0</v>
      </c>
      <c r="AH33" s="121">
        <v>2</v>
      </c>
      <c r="AI33" s="101"/>
      <c r="AJ33" s="102" t="str">
        <f t="shared" si="11"/>
        <v/>
      </c>
      <c r="AK33" s="122"/>
      <c r="AL33" s="104">
        <v>0</v>
      </c>
      <c r="AM33" s="123">
        <v>2</v>
      </c>
      <c r="AN33" s="105"/>
      <c r="AO33" s="105"/>
      <c r="AQ33" s="167"/>
      <c r="AS33" s="162"/>
      <c r="AT33" s="163"/>
      <c r="AU33" s="163"/>
      <c r="AV33" s="168"/>
      <c r="AW33" s="18"/>
      <c r="AX33" s="18"/>
      <c r="AY33" s="133"/>
      <c r="AZ33" s="134"/>
      <c r="BA33" s="10"/>
      <c r="BB33" s="112" t="str">
        <f t="shared" si="2"/>
        <v/>
      </c>
      <c r="BC33" s="112">
        <f t="shared" si="3"/>
        <v>0</v>
      </c>
      <c r="BD33" s="112">
        <f t="shared" si="4"/>
        <v>0</v>
      </c>
      <c r="BE33" s="112">
        <f t="shared" si="5"/>
        <v>0</v>
      </c>
      <c r="BF33" s="112">
        <f t="shared" si="6"/>
        <v>0</v>
      </c>
      <c r="BJ33" s="15">
        <f t="shared" si="12"/>
        <v>0</v>
      </c>
      <c r="BK33" s="15" t="str">
        <f t="shared" si="7"/>
        <v/>
      </c>
      <c r="BL33" s="15" t="str">
        <f t="shared" si="8"/>
        <v/>
      </c>
      <c r="BM33" s="113" t="str">
        <f t="shared" si="13"/>
        <v/>
      </c>
      <c r="BN33" s="112">
        <f t="shared" si="14"/>
        <v>0</v>
      </c>
      <c r="BO33" s="10"/>
    </row>
    <row r="34" spans="1:67" hidden="1">
      <c r="A34" s="1" t="b">
        <f t="shared" si="9"/>
        <v>0</v>
      </c>
      <c r="B34" s="88" t="str">
        <f>[2]陸連登録!N29</f>
        <v/>
      </c>
      <c r="C34" s="1" t="b">
        <f t="shared" si="10"/>
        <v>0</v>
      </c>
      <c r="D34" s="89"/>
      <c r="E34" s="226"/>
      <c r="F34" s="227"/>
      <c r="G34" s="228"/>
      <c r="H34" s="229"/>
      <c r="I34" s="230"/>
      <c r="J34" s="231"/>
      <c r="K34" s="232"/>
      <c r="L34" s="233"/>
      <c r="M34" s="228"/>
      <c r="N34" s="234"/>
      <c r="O34" s="90"/>
      <c r="P34" s="91" t="str">
        <f t="shared" si="0"/>
        <v/>
      </c>
      <c r="Q34" s="114"/>
      <c r="R34" s="115">
        <v>0</v>
      </c>
      <c r="S34" s="116">
        <v>2</v>
      </c>
      <c r="T34" s="90"/>
      <c r="U34" s="91" t="str">
        <f t="shared" si="1"/>
        <v/>
      </c>
      <c r="V34" s="117"/>
      <c r="W34" s="115">
        <v>0</v>
      </c>
      <c r="X34" s="116">
        <v>2</v>
      </c>
      <c r="Y34" s="118"/>
      <c r="Z34" s="119" t="str">
        <f>IF(Y34="","",IF(I34=1,VLOOKUP(Y34,[2]男子種目コード!$A$1:$B$33,2,FALSE),IF(I34=2,VLOOKUP(Y34,[2]女子種目コード!$A$36:$B$66,2,FALSE))))</f>
        <v/>
      </c>
      <c r="AA34" s="114" t="str">
        <f>IF(Y34="","",HLOOKUP(Y34,#REF!,29,FALSE))</f>
        <v/>
      </c>
      <c r="AB34" s="115">
        <v>0</v>
      </c>
      <c r="AC34" s="116">
        <v>2</v>
      </c>
      <c r="AD34" s="97"/>
      <c r="AE34" s="98" t="str">
        <f t="shared" si="15"/>
        <v/>
      </c>
      <c r="AF34" s="120"/>
      <c r="AG34" s="121">
        <v>0</v>
      </c>
      <c r="AH34" s="121">
        <v>2</v>
      </c>
      <c r="AI34" s="101"/>
      <c r="AJ34" s="102" t="str">
        <f t="shared" si="11"/>
        <v/>
      </c>
      <c r="AK34" s="122"/>
      <c r="AL34" s="104">
        <v>0</v>
      </c>
      <c r="AM34" s="123">
        <v>2</v>
      </c>
      <c r="AN34" s="105"/>
      <c r="AO34" s="105"/>
      <c r="AQ34" s="167"/>
      <c r="AS34" s="162"/>
      <c r="AT34" s="163"/>
      <c r="AU34" s="163"/>
      <c r="AV34" s="168"/>
      <c r="AW34" s="18"/>
      <c r="AX34" s="18"/>
      <c r="AY34" s="133"/>
      <c r="AZ34" s="134"/>
      <c r="BA34" s="10"/>
      <c r="BB34" s="112" t="str">
        <f t="shared" si="2"/>
        <v/>
      </c>
      <c r="BC34" s="112">
        <f t="shared" si="3"/>
        <v>0</v>
      </c>
      <c r="BD34" s="112">
        <f t="shared" si="4"/>
        <v>0</v>
      </c>
      <c r="BE34" s="112">
        <f t="shared" si="5"/>
        <v>0</v>
      </c>
      <c r="BF34" s="112">
        <f t="shared" si="6"/>
        <v>0</v>
      </c>
      <c r="BJ34" s="15">
        <f t="shared" si="12"/>
        <v>0</v>
      </c>
      <c r="BK34" s="15" t="str">
        <f t="shared" si="7"/>
        <v/>
      </c>
      <c r="BL34" s="15" t="str">
        <f t="shared" si="8"/>
        <v/>
      </c>
      <c r="BM34" s="113" t="str">
        <f t="shared" si="13"/>
        <v/>
      </c>
      <c r="BN34" s="112">
        <f t="shared" si="14"/>
        <v>0</v>
      </c>
      <c r="BO34" s="10"/>
    </row>
    <row r="35" spans="1:67" hidden="1">
      <c r="A35" s="1" t="b">
        <f t="shared" si="9"/>
        <v>0</v>
      </c>
      <c r="B35" s="88" t="str">
        <f>[2]陸連登録!N30</f>
        <v/>
      </c>
      <c r="C35" s="1" t="b">
        <f t="shared" si="10"/>
        <v>0</v>
      </c>
      <c r="D35" s="89"/>
      <c r="E35" s="226"/>
      <c r="F35" s="227"/>
      <c r="G35" s="228"/>
      <c r="H35" s="229"/>
      <c r="I35" s="230"/>
      <c r="J35" s="231"/>
      <c r="K35" s="232"/>
      <c r="L35" s="233"/>
      <c r="M35" s="228"/>
      <c r="N35" s="234"/>
      <c r="O35" s="90"/>
      <c r="P35" s="91" t="str">
        <f t="shared" si="0"/>
        <v/>
      </c>
      <c r="Q35" s="114"/>
      <c r="R35" s="115">
        <v>0</v>
      </c>
      <c r="S35" s="116">
        <v>2</v>
      </c>
      <c r="T35" s="90"/>
      <c r="U35" s="91" t="str">
        <f t="shared" si="1"/>
        <v/>
      </c>
      <c r="V35" s="117"/>
      <c r="W35" s="115">
        <v>0</v>
      </c>
      <c r="X35" s="116">
        <v>2</v>
      </c>
      <c r="Y35" s="118"/>
      <c r="Z35" s="119" t="str">
        <f>IF(Y35="","",IF(I35=1,VLOOKUP(Y35,[2]男子種目コード!$A$1:$B$33,2,FALSE),IF(I35=2,VLOOKUP(Y35,[2]女子種目コード!$A$36:$B$66,2,FALSE))))</f>
        <v/>
      </c>
      <c r="AA35" s="114" t="str">
        <f>IF(Y35="","",HLOOKUP(Y35,#REF!,30,FALSE))</f>
        <v/>
      </c>
      <c r="AB35" s="115">
        <v>0</v>
      </c>
      <c r="AC35" s="116">
        <v>2</v>
      </c>
      <c r="AD35" s="97"/>
      <c r="AE35" s="98" t="str">
        <f t="shared" si="15"/>
        <v/>
      </c>
      <c r="AF35" s="120"/>
      <c r="AG35" s="121">
        <v>0</v>
      </c>
      <c r="AH35" s="121">
        <v>2</v>
      </c>
      <c r="AI35" s="101"/>
      <c r="AJ35" s="102" t="str">
        <f t="shared" si="11"/>
        <v/>
      </c>
      <c r="AK35" s="122"/>
      <c r="AL35" s="104">
        <v>0</v>
      </c>
      <c r="AM35" s="123">
        <v>2</v>
      </c>
      <c r="AN35" s="105"/>
      <c r="AO35" s="105"/>
      <c r="AQ35" s="167"/>
      <c r="AS35" s="162"/>
      <c r="AT35" s="163"/>
      <c r="AU35" s="163"/>
      <c r="AV35" s="169"/>
      <c r="AW35" s="281"/>
      <c r="AX35" s="281"/>
      <c r="AY35" s="170"/>
      <c r="AZ35" s="83"/>
      <c r="BA35" s="10"/>
      <c r="BB35" s="112" t="str">
        <f t="shared" si="2"/>
        <v/>
      </c>
      <c r="BC35" s="112">
        <f t="shared" si="3"/>
        <v>0</v>
      </c>
      <c r="BD35" s="112">
        <f t="shared" si="4"/>
        <v>0</v>
      </c>
      <c r="BE35" s="112">
        <f t="shared" si="5"/>
        <v>0</v>
      </c>
      <c r="BF35" s="112">
        <f t="shared" si="6"/>
        <v>0</v>
      </c>
      <c r="BJ35" s="15">
        <f t="shared" si="12"/>
        <v>0</v>
      </c>
      <c r="BK35" s="15" t="str">
        <f t="shared" si="7"/>
        <v/>
      </c>
      <c r="BL35" s="15" t="str">
        <f t="shared" si="8"/>
        <v/>
      </c>
      <c r="BM35" s="113" t="str">
        <f t="shared" si="13"/>
        <v/>
      </c>
      <c r="BN35" s="112">
        <f t="shared" si="14"/>
        <v>0</v>
      </c>
      <c r="BO35" s="10"/>
    </row>
    <row r="36" spans="1:67" hidden="1">
      <c r="A36" s="1" t="b">
        <f t="shared" si="9"/>
        <v>0</v>
      </c>
      <c r="B36" s="88" t="str">
        <f>[2]陸連登録!N31</f>
        <v/>
      </c>
      <c r="C36" s="1" t="b">
        <f t="shared" si="10"/>
        <v>0</v>
      </c>
      <c r="D36" s="89"/>
      <c r="E36" s="226"/>
      <c r="F36" s="227"/>
      <c r="G36" s="228"/>
      <c r="H36" s="229"/>
      <c r="I36" s="230"/>
      <c r="J36" s="231"/>
      <c r="K36" s="232"/>
      <c r="L36" s="233"/>
      <c r="M36" s="228"/>
      <c r="N36" s="234"/>
      <c r="O36" s="90"/>
      <c r="P36" s="91" t="str">
        <f t="shared" si="0"/>
        <v/>
      </c>
      <c r="Q36" s="114"/>
      <c r="R36" s="115">
        <v>0</v>
      </c>
      <c r="S36" s="116">
        <v>2</v>
      </c>
      <c r="T36" s="90"/>
      <c r="U36" s="91" t="str">
        <f t="shared" si="1"/>
        <v/>
      </c>
      <c r="V36" s="117"/>
      <c r="W36" s="115">
        <v>0</v>
      </c>
      <c r="X36" s="116">
        <v>2</v>
      </c>
      <c r="Y36" s="118"/>
      <c r="Z36" s="119" t="str">
        <f>IF(Y36="","",IF(I36=1,VLOOKUP(Y36,[2]男子種目コード!$A$1:$B$33,2,FALSE),IF(I36=2,VLOOKUP(Y36,[2]女子種目コード!$A$36:$B$66,2,FALSE))))</f>
        <v/>
      </c>
      <c r="AA36" s="114" t="str">
        <f>IF(Y36="","",HLOOKUP(Y36,#REF!,31,FALSE))</f>
        <v/>
      </c>
      <c r="AB36" s="115">
        <v>0</v>
      </c>
      <c r="AC36" s="116">
        <v>2</v>
      </c>
      <c r="AD36" s="97"/>
      <c r="AE36" s="98" t="str">
        <f t="shared" si="15"/>
        <v/>
      </c>
      <c r="AF36" s="120"/>
      <c r="AG36" s="121">
        <v>0</v>
      </c>
      <c r="AH36" s="121">
        <v>2</v>
      </c>
      <c r="AI36" s="101"/>
      <c r="AJ36" s="102" t="str">
        <f t="shared" si="11"/>
        <v/>
      </c>
      <c r="AK36" s="122"/>
      <c r="AL36" s="104">
        <v>0</v>
      </c>
      <c r="AM36" s="123">
        <v>2</v>
      </c>
      <c r="AN36" s="105"/>
      <c r="AO36" s="105"/>
      <c r="AQ36" s="167"/>
      <c r="AS36" s="162"/>
      <c r="AT36" s="163"/>
      <c r="AU36" s="163"/>
      <c r="AV36" s="127"/>
      <c r="AW36" s="282"/>
      <c r="AX36" s="282"/>
      <c r="AY36" s="170"/>
      <c r="AZ36" s="83"/>
      <c r="BA36" s="10"/>
      <c r="BB36" s="112" t="str">
        <f t="shared" si="2"/>
        <v/>
      </c>
      <c r="BC36" s="112">
        <f t="shared" si="3"/>
        <v>0</v>
      </c>
      <c r="BD36" s="112">
        <f t="shared" si="4"/>
        <v>0</v>
      </c>
      <c r="BE36" s="112">
        <f t="shared" si="5"/>
        <v>0</v>
      </c>
      <c r="BF36" s="112">
        <f t="shared" si="6"/>
        <v>0</v>
      </c>
      <c r="BJ36" s="15">
        <f t="shared" si="12"/>
        <v>0</v>
      </c>
      <c r="BK36" s="15" t="str">
        <f t="shared" si="7"/>
        <v/>
      </c>
      <c r="BL36" s="15" t="str">
        <f t="shared" si="8"/>
        <v/>
      </c>
      <c r="BM36" s="113" t="str">
        <f t="shared" si="13"/>
        <v/>
      </c>
      <c r="BN36" s="112">
        <f t="shared" si="14"/>
        <v>0</v>
      </c>
      <c r="BO36" s="10"/>
    </row>
    <row r="37" spans="1:67" hidden="1">
      <c r="A37" s="1" t="b">
        <f t="shared" si="9"/>
        <v>0</v>
      </c>
      <c r="B37" s="88" t="str">
        <f>[2]陸連登録!N32</f>
        <v/>
      </c>
      <c r="C37" s="1" t="b">
        <f t="shared" si="10"/>
        <v>0</v>
      </c>
      <c r="D37" s="89"/>
      <c r="E37" s="226"/>
      <c r="F37" s="227"/>
      <c r="G37" s="228"/>
      <c r="H37" s="229"/>
      <c r="I37" s="230"/>
      <c r="J37" s="231"/>
      <c r="K37" s="232"/>
      <c r="L37" s="233"/>
      <c r="M37" s="228"/>
      <c r="N37" s="234"/>
      <c r="O37" s="90"/>
      <c r="P37" s="91" t="str">
        <f t="shared" si="0"/>
        <v/>
      </c>
      <c r="Q37" s="114"/>
      <c r="R37" s="115">
        <v>0</v>
      </c>
      <c r="S37" s="116">
        <v>2</v>
      </c>
      <c r="T37" s="90"/>
      <c r="U37" s="91" t="str">
        <f t="shared" si="1"/>
        <v/>
      </c>
      <c r="V37" s="117"/>
      <c r="W37" s="115">
        <v>0</v>
      </c>
      <c r="X37" s="116">
        <v>2</v>
      </c>
      <c r="Y37" s="118"/>
      <c r="Z37" s="119" t="str">
        <f>IF(Y37="","",IF(I37=1,VLOOKUP(Y37,[2]男子種目コード!$A$1:$B$33,2,FALSE),IF(I37=2,VLOOKUP(Y37,[2]女子種目コード!$A$36:$B$66,2,FALSE))))</f>
        <v/>
      </c>
      <c r="AA37" s="114" t="str">
        <f>IF(Y37="","",HLOOKUP(Y37,#REF!,32,FALSE))</f>
        <v/>
      </c>
      <c r="AB37" s="115">
        <v>0</v>
      </c>
      <c r="AC37" s="116">
        <v>2</v>
      </c>
      <c r="AD37" s="97"/>
      <c r="AE37" s="98" t="str">
        <f t="shared" si="15"/>
        <v/>
      </c>
      <c r="AF37" s="120"/>
      <c r="AG37" s="121">
        <v>0</v>
      </c>
      <c r="AH37" s="121">
        <v>2</v>
      </c>
      <c r="AI37" s="101"/>
      <c r="AJ37" s="102" t="str">
        <f t="shared" si="11"/>
        <v/>
      </c>
      <c r="AK37" s="122"/>
      <c r="AL37" s="104">
        <v>0</v>
      </c>
      <c r="AM37" s="123">
        <v>2</v>
      </c>
      <c r="AN37" s="105"/>
      <c r="AO37" s="105"/>
      <c r="AQ37" s="167"/>
      <c r="AS37" s="24"/>
      <c r="AT37" s="8"/>
      <c r="AU37" s="8"/>
      <c r="AV37" s="127"/>
      <c r="AW37" s="283"/>
      <c r="AX37" s="283"/>
      <c r="AY37" s="170"/>
      <c r="AZ37" s="83"/>
      <c r="BA37" s="10"/>
      <c r="BB37" s="112" t="str">
        <f t="shared" si="2"/>
        <v/>
      </c>
      <c r="BC37" s="112">
        <f t="shared" si="3"/>
        <v>0</v>
      </c>
      <c r="BD37" s="112">
        <f t="shared" si="4"/>
        <v>0</v>
      </c>
      <c r="BE37" s="112">
        <f t="shared" si="5"/>
        <v>0</v>
      </c>
      <c r="BF37" s="112">
        <f t="shared" si="6"/>
        <v>0</v>
      </c>
      <c r="BJ37" s="15">
        <f t="shared" si="12"/>
        <v>0</v>
      </c>
      <c r="BK37" s="15" t="str">
        <f t="shared" si="7"/>
        <v/>
      </c>
      <c r="BL37" s="15" t="str">
        <f t="shared" si="8"/>
        <v/>
      </c>
      <c r="BM37" s="113" t="str">
        <f t="shared" si="13"/>
        <v/>
      </c>
      <c r="BN37" s="112">
        <f t="shared" si="14"/>
        <v>0</v>
      </c>
      <c r="BO37" s="10"/>
    </row>
    <row r="38" spans="1:67" hidden="1">
      <c r="A38" s="1" t="b">
        <f t="shared" si="9"/>
        <v>0</v>
      </c>
      <c r="B38" s="88" t="str">
        <f>[2]陸連登録!N33</f>
        <v/>
      </c>
      <c r="C38" s="1" t="b">
        <f t="shared" si="10"/>
        <v>0</v>
      </c>
      <c r="D38" s="89"/>
      <c r="E38" s="226"/>
      <c r="F38" s="227"/>
      <c r="G38" s="228"/>
      <c r="H38" s="229"/>
      <c r="I38" s="230"/>
      <c r="J38" s="231"/>
      <c r="K38" s="232"/>
      <c r="L38" s="233"/>
      <c r="M38" s="228"/>
      <c r="N38" s="234"/>
      <c r="O38" s="90"/>
      <c r="P38" s="91" t="str">
        <f t="shared" si="0"/>
        <v/>
      </c>
      <c r="Q38" s="114"/>
      <c r="R38" s="115">
        <v>0</v>
      </c>
      <c r="S38" s="116">
        <v>2</v>
      </c>
      <c r="T38" s="90"/>
      <c r="U38" s="91" t="str">
        <f t="shared" si="1"/>
        <v/>
      </c>
      <c r="V38" s="117"/>
      <c r="W38" s="115">
        <v>0</v>
      </c>
      <c r="X38" s="116">
        <v>2</v>
      </c>
      <c r="Y38" s="118"/>
      <c r="Z38" s="119" t="str">
        <f>IF(Y38="","",IF(I38=1,VLOOKUP(Y38,[2]男子種目コード!$A$1:$B$33,2,FALSE),IF(I38=2,VLOOKUP(Y38,[2]女子種目コード!$A$36:$B$66,2,FALSE))))</f>
        <v/>
      </c>
      <c r="AA38" s="114" t="str">
        <f>IF(Y38="","",HLOOKUP(Y38,#REF!,33,FALSE))</f>
        <v/>
      </c>
      <c r="AB38" s="115">
        <v>0</v>
      </c>
      <c r="AC38" s="116">
        <v>2</v>
      </c>
      <c r="AD38" s="97"/>
      <c r="AE38" s="98" t="str">
        <f t="shared" si="15"/>
        <v/>
      </c>
      <c r="AF38" s="120"/>
      <c r="AG38" s="121">
        <v>0</v>
      </c>
      <c r="AH38" s="121">
        <v>2</v>
      </c>
      <c r="AI38" s="101"/>
      <c r="AJ38" s="102" t="str">
        <f t="shared" si="11"/>
        <v/>
      </c>
      <c r="AK38" s="122"/>
      <c r="AL38" s="104">
        <v>0</v>
      </c>
      <c r="AM38" s="123">
        <v>2</v>
      </c>
      <c r="AN38" s="105"/>
      <c r="AO38" s="105"/>
      <c r="AQ38" s="167"/>
      <c r="AS38" s="24"/>
      <c r="AT38" s="8"/>
      <c r="AU38" s="8"/>
      <c r="AV38" s="280"/>
      <c r="AW38" s="18"/>
      <c r="AX38" s="18"/>
      <c r="AY38" s="170"/>
      <c r="AZ38" s="83"/>
      <c r="BA38" s="10"/>
      <c r="BB38" s="112" t="str">
        <f t="shared" si="2"/>
        <v/>
      </c>
      <c r="BC38" s="112">
        <f t="shared" si="3"/>
        <v>0</v>
      </c>
      <c r="BD38" s="112">
        <f t="shared" si="4"/>
        <v>0</v>
      </c>
      <c r="BE38" s="112">
        <f t="shared" si="5"/>
        <v>0</v>
      </c>
      <c r="BF38" s="112">
        <f t="shared" si="6"/>
        <v>0</v>
      </c>
      <c r="BJ38" s="15">
        <f t="shared" si="12"/>
        <v>0</v>
      </c>
      <c r="BK38" s="15" t="str">
        <f t="shared" si="7"/>
        <v/>
      </c>
      <c r="BL38" s="15" t="str">
        <f t="shared" si="8"/>
        <v/>
      </c>
      <c r="BM38" s="113" t="str">
        <f t="shared" si="13"/>
        <v/>
      </c>
      <c r="BN38" s="112">
        <f t="shared" si="14"/>
        <v>0</v>
      </c>
      <c r="BO38" s="10"/>
    </row>
    <row r="39" spans="1:67" hidden="1">
      <c r="A39" s="1" t="b">
        <f t="shared" si="9"/>
        <v>0</v>
      </c>
      <c r="B39" s="88" t="str">
        <f>[2]陸連登録!N34</f>
        <v/>
      </c>
      <c r="C39" s="1" t="b">
        <f t="shared" si="10"/>
        <v>0</v>
      </c>
      <c r="D39" s="89"/>
      <c r="E39" s="226"/>
      <c r="F39" s="227"/>
      <c r="G39" s="228"/>
      <c r="H39" s="229"/>
      <c r="I39" s="230"/>
      <c r="J39" s="231"/>
      <c r="K39" s="232"/>
      <c r="L39" s="233"/>
      <c r="M39" s="228"/>
      <c r="N39" s="234"/>
      <c r="O39" s="90"/>
      <c r="P39" s="91" t="str">
        <f t="shared" ref="P39:P70" si="19">IF(O39="","",IF(I39=1,VLOOKUP(O39,$AS$7:$AU$10,3,FALSE),IF(I39=2,VLOOKUP(O39,$AS$13:$AU$16,3,FALSE))))</f>
        <v/>
      </c>
      <c r="Q39" s="114"/>
      <c r="R39" s="115">
        <v>0</v>
      </c>
      <c r="S39" s="116">
        <v>2</v>
      </c>
      <c r="T39" s="90"/>
      <c r="U39" s="91" t="str">
        <f t="shared" ref="U39:U70" si="20">IF(T39="","",IF(I39=1,VLOOKUP(T39,$AS$7:$AU$10,3,FALSE),IF(N39=2,VLOOKUP(I39,$AS$13:$AU$16,3,FALSE))))</f>
        <v/>
      </c>
      <c r="V39" s="117"/>
      <c r="W39" s="115">
        <v>0</v>
      </c>
      <c r="X39" s="116">
        <v>2</v>
      </c>
      <c r="Y39" s="118"/>
      <c r="Z39" s="119" t="str">
        <f>IF(Y39="","",IF(I39=1,VLOOKUP(Y39,[2]男子種目コード!$A$1:$B$33,2,FALSE),IF(I39=2,VLOOKUP(Y39,[2]女子種目コード!$A$36:$B$66,2,FALSE))))</f>
        <v/>
      </c>
      <c r="AA39" s="114" t="str">
        <f>IF(Y39="","",HLOOKUP(Y39,#REF!,34,FALSE))</f>
        <v/>
      </c>
      <c r="AB39" s="115">
        <v>0</v>
      </c>
      <c r="AC39" s="116">
        <v>2</v>
      </c>
      <c r="AD39" s="97"/>
      <c r="AE39" s="98" t="str">
        <f t="shared" si="15"/>
        <v/>
      </c>
      <c r="AF39" s="120"/>
      <c r="AG39" s="121">
        <v>0</v>
      </c>
      <c r="AH39" s="121">
        <v>2</v>
      </c>
      <c r="AI39" s="101"/>
      <c r="AJ39" s="102" t="str">
        <f t="shared" si="11"/>
        <v/>
      </c>
      <c r="AK39" s="122"/>
      <c r="AL39" s="104">
        <v>0</v>
      </c>
      <c r="AM39" s="123">
        <v>2</v>
      </c>
      <c r="AN39" s="105"/>
      <c r="AO39" s="105"/>
      <c r="AQ39" s="167"/>
      <c r="AS39" s="24"/>
      <c r="AT39" s="8"/>
      <c r="AU39" s="8"/>
      <c r="AV39" s="280"/>
      <c r="AW39" s="18"/>
      <c r="AX39" s="18"/>
      <c r="AY39" s="170"/>
      <c r="AZ39" s="83"/>
      <c r="BA39" s="10"/>
      <c r="BB39" s="112" t="str">
        <f t="shared" si="2"/>
        <v/>
      </c>
      <c r="BC39" s="112">
        <f t="shared" si="3"/>
        <v>0</v>
      </c>
      <c r="BD39" s="112">
        <f t="shared" si="4"/>
        <v>0</v>
      </c>
      <c r="BE39" s="112">
        <f t="shared" si="5"/>
        <v>0</v>
      </c>
      <c r="BF39" s="112">
        <f t="shared" si="6"/>
        <v>0</v>
      </c>
      <c r="BJ39" s="15">
        <f t="shared" si="12"/>
        <v>0</v>
      </c>
      <c r="BK39" s="15" t="str">
        <f t="shared" si="7"/>
        <v/>
      </c>
      <c r="BL39" s="15" t="str">
        <f t="shared" si="8"/>
        <v/>
      </c>
      <c r="BM39" s="113" t="str">
        <f t="shared" si="13"/>
        <v/>
      </c>
      <c r="BN39" s="112">
        <f t="shared" si="14"/>
        <v>0</v>
      </c>
      <c r="BO39" s="10"/>
    </row>
    <row r="40" spans="1:67" hidden="1">
      <c r="A40" s="1" t="b">
        <f t="shared" si="9"/>
        <v>0</v>
      </c>
      <c r="B40" s="88" t="str">
        <f>[2]陸連登録!N35</f>
        <v/>
      </c>
      <c r="C40" s="1" t="b">
        <f t="shared" si="10"/>
        <v>0</v>
      </c>
      <c r="D40" s="89"/>
      <c r="E40" s="226"/>
      <c r="F40" s="227"/>
      <c r="G40" s="228"/>
      <c r="H40" s="229"/>
      <c r="I40" s="230"/>
      <c r="J40" s="231"/>
      <c r="K40" s="232"/>
      <c r="L40" s="233"/>
      <c r="M40" s="228"/>
      <c r="N40" s="234"/>
      <c r="O40" s="90"/>
      <c r="P40" s="91" t="str">
        <f t="shared" si="19"/>
        <v/>
      </c>
      <c r="Q40" s="114"/>
      <c r="R40" s="115">
        <v>0</v>
      </c>
      <c r="S40" s="116">
        <v>2</v>
      </c>
      <c r="T40" s="90"/>
      <c r="U40" s="91" t="str">
        <f t="shared" si="20"/>
        <v/>
      </c>
      <c r="V40" s="117"/>
      <c r="W40" s="115">
        <v>0</v>
      </c>
      <c r="X40" s="116">
        <v>2</v>
      </c>
      <c r="Y40" s="118"/>
      <c r="Z40" s="119" t="str">
        <f>IF(Y40="","",IF(I40=1,VLOOKUP(Y40,[2]男子種目コード!$A$1:$B$33,2,FALSE),IF(I40=2,VLOOKUP(Y40,[2]女子種目コード!$A$36:$B$66,2,FALSE))))</f>
        <v/>
      </c>
      <c r="AA40" s="114" t="str">
        <f>IF(Y40="","",HLOOKUP(Y40,#REF!,35,FALSE))</f>
        <v/>
      </c>
      <c r="AB40" s="115">
        <v>0</v>
      </c>
      <c r="AC40" s="116">
        <v>2</v>
      </c>
      <c r="AD40" s="97"/>
      <c r="AE40" s="98" t="str">
        <f t="shared" si="15"/>
        <v/>
      </c>
      <c r="AF40" s="120"/>
      <c r="AG40" s="121">
        <v>0</v>
      </c>
      <c r="AH40" s="121">
        <v>2</v>
      </c>
      <c r="AI40" s="101"/>
      <c r="AJ40" s="102" t="str">
        <f t="shared" si="11"/>
        <v/>
      </c>
      <c r="AK40" s="122"/>
      <c r="AL40" s="104">
        <v>0</v>
      </c>
      <c r="AM40" s="123">
        <v>2</v>
      </c>
      <c r="AN40" s="105"/>
      <c r="AO40" s="105"/>
      <c r="AQ40" s="167"/>
      <c r="AS40" s="24"/>
      <c r="AT40" s="8"/>
      <c r="AU40" s="8"/>
      <c r="AV40" s="280"/>
      <c r="AW40" s="18"/>
      <c r="AX40" s="18"/>
      <c r="AY40" s="170"/>
      <c r="AZ40" s="83"/>
      <c r="BA40" s="10"/>
      <c r="BB40" s="112" t="str">
        <f t="shared" si="2"/>
        <v/>
      </c>
      <c r="BC40" s="112">
        <f t="shared" si="3"/>
        <v>0</v>
      </c>
      <c r="BD40" s="112">
        <f t="shared" si="4"/>
        <v>0</v>
      </c>
      <c r="BE40" s="112">
        <f t="shared" si="5"/>
        <v>0</v>
      </c>
      <c r="BF40" s="112">
        <f t="shared" si="6"/>
        <v>0</v>
      </c>
      <c r="BJ40" s="15">
        <f t="shared" si="12"/>
        <v>0</v>
      </c>
      <c r="BK40" s="15" t="str">
        <f t="shared" si="7"/>
        <v/>
      </c>
      <c r="BL40" s="15" t="str">
        <f t="shared" si="8"/>
        <v/>
      </c>
      <c r="BM40" s="113" t="str">
        <f t="shared" si="13"/>
        <v/>
      </c>
      <c r="BN40" s="112">
        <f t="shared" si="14"/>
        <v>0</v>
      </c>
      <c r="BO40" s="10"/>
    </row>
    <row r="41" spans="1:67" hidden="1">
      <c r="A41" s="1" t="b">
        <f t="shared" si="9"/>
        <v>0</v>
      </c>
      <c r="B41" s="88" t="str">
        <f>[2]陸連登録!N36</f>
        <v/>
      </c>
      <c r="C41" s="1" t="b">
        <f t="shared" si="10"/>
        <v>0</v>
      </c>
      <c r="D41" s="89"/>
      <c r="E41" s="226"/>
      <c r="F41" s="227"/>
      <c r="G41" s="228"/>
      <c r="H41" s="229"/>
      <c r="I41" s="230"/>
      <c r="J41" s="231"/>
      <c r="K41" s="232"/>
      <c r="L41" s="233"/>
      <c r="M41" s="228"/>
      <c r="N41" s="234"/>
      <c r="O41" s="90"/>
      <c r="P41" s="91" t="str">
        <f t="shared" si="19"/>
        <v/>
      </c>
      <c r="Q41" s="114"/>
      <c r="R41" s="115">
        <v>0</v>
      </c>
      <c r="S41" s="116">
        <v>2</v>
      </c>
      <c r="T41" s="90"/>
      <c r="U41" s="91" t="str">
        <f t="shared" si="20"/>
        <v/>
      </c>
      <c r="V41" s="117"/>
      <c r="W41" s="115">
        <v>0</v>
      </c>
      <c r="X41" s="116">
        <v>2</v>
      </c>
      <c r="Y41" s="118"/>
      <c r="Z41" s="119" t="str">
        <f>IF(Y41="","",IF(I41=1,VLOOKUP(Y41,[2]男子種目コード!$A$1:$B$33,2,FALSE),IF(I41=2,VLOOKUP(Y41,[2]女子種目コード!$A$36:$B$66,2,FALSE))))</f>
        <v/>
      </c>
      <c r="AA41" s="114" t="str">
        <f>IF(Y41="","",HLOOKUP(Y41,#REF!,36,FALSE))</f>
        <v/>
      </c>
      <c r="AB41" s="115">
        <v>0</v>
      </c>
      <c r="AC41" s="116">
        <v>2</v>
      </c>
      <c r="AD41" s="97"/>
      <c r="AE41" s="98" t="str">
        <f t="shared" si="15"/>
        <v/>
      </c>
      <c r="AF41" s="120"/>
      <c r="AG41" s="121">
        <v>0</v>
      </c>
      <c r="AH41" s="121">
        <v>2</v>
      </c>
      <c r="AI41" s="101"/>
      <c r="AJ41" s="102" t="str">
        <f t="shared" si="11"/>
        <v/>
      </c>
      <c r="AK41" s="122"/>
      <c r="AL41" s="104">
        <v>0</v>
      </c>
      <c r="AM41" s="123">
        <v>2</v>
      </c>
      <c r="AN41" s="105"/>
      <c r="AO41" s="105"/>
      <c r="AQ41" s="167"/>
      <c r="AS41" s="24"/>
      <c r="AT41" s="8"/>
      <c r="AU41" s="8"/>
      <c r="AV41" s="280"/>
      <c r="AW41" s="18"/>
      <c r="AX41" s="18"/>
      <c r="AY41" s="170"/>
      <c r="AZ41" s="83"/>
      <c r="BA41" s="10"/>
      <c r="BB41" s="112" t="str">
        <f t="shared" si="2"/>
        <v/>
      </c>
      <c r="BC41" s="112">
        <f t="shared" si="3"/>
        <v>0</v>
      </c>
      <c r="BD41" s="112">
        <f t="shared" si="4"/>
        <v>0</v>
      </c>
      <c r="BE41" s="112">
        <f t="shared" si="5"/>
        <v>0</v>
      </c>
      <c r="BF41" s="112">
        <f t="shared" si="6"/>
        <v>0</v>
      </c>
      <c r="BJ41" s="15">
        <f t="shared" si="12"/>
        <v>0</v>
      </c>
      <c r="BK41" s="15" t="str">
        <f t="shared" si="7"/>
        <v/>
      </c>
      <c r="BL41" s="15" t="str">
        <f t="shared" si="8"/>
        <v/>
      </c>
      <c r="BM41" s="113" t="str">
        <f t="shared" si="13"/>
        <v/>
      </c>
      <c r="BN41" s="112">
        <f t="shared" si="14"/>
        <v>0</v>
      </c>
      <c r="BO41" s="10"/>
    </row>
    <row r="42" spans="1:67" hidden="1">
      <c r="A42" s="1" t="b">
        <f t="shared" si="9"/>
        <v>0</v>
      </c>
      <c r="B42" s="88" t="str">
        <f>[2]陸連登録!N37</f>
        <v/>
      </c>
      <c r="C42" s="1" t="b">
        <f t="shared" si="10"/>
        <v>0</v>
      </c>
      <c r="D42" s="89"/>
      <c r="E42" s="226"/>
      <c r="F42" s="227"/>
      <c r="G42" s="228"/>
      <c r="H42" s="229"/>
      <c r="I42" s="230"/>
      <c r="J42" s="231"/>
      <c r="K42" s="232"/>
      <c r="L42" s="233"/>
      <c r="M42" s="228"/>
      <c r="N42" s="234"/>
      <c r="O42" s="90"/>
      <c r="P42" s="91" t="str">
        <f t="shared" si="19"/>
        <v/>
      </c>
      <c r="Q42" s="114"/>
      <c r="R42" s="115">
        <v>0</v>
      </c>
      <c r="S42" s="116">
        <v>2</v>
      </c>
      <c r="T42" s="90"/>
      <c r="U42" s="91" t="str">
        <f t="shared" si="20"/>
        <v/>
      </c>
      <c r="V42" s="117"/>
      <c r="W42" s="115">
        <v>0</v>
      </c>
      <c r="X42" s="116">
        <v>2</v>
      </c>
      <c r="Y42" s="118"/>
      <c r="Z42" s="119" t="str">
        <f>IF(Y42="","",IF(I42=1,VLOOKUP(Y42,[2]男子種目コード!$A$1:$B$33,2,FALSE),IF(I42=2,VLOOKUP(Y42,[2]女子種目コード!$A$36:$B$66,2,FALSE))))</f>
        <v/>
      </c>
      <c r="AA42" s="114" t="str">
        <f>IF(Y42="","",HLOOKUP(Y42,#REF!,37,FALSE))</f>
        <v/>
      </c>
      <c r="AB42" s="115">
        <v>0</v>
      </c>
      <c r="AC42" s="116">
        <v>2</v>
      </c>
      <c r="AD42" s="97"/>
      <c r="AE42" s="98" t="str">
        <f t="shared" si="15"/>
        <v/>
      </c>
      <c r="AF42" s="120"/>
      <c r="AG42" s="121">
        <v>0</v>
      </c>
      <c r="AH42" s="121">
        <v>2</v>
      </c>
      <c r="AI42" s="101"/>
      <c r="AJ42" s="102" t="str">
        <f t="shared" si="11"/>
        <v/>
      </c>
      <c r="AK42" s="122"/>
      <c r="AL42" s="104">
        <v>0</v>
      </c>
      <c r="AM42" s="123">
        <v>2</v>
      </c>
      <c r="AN42" s="105"/>
      <c r="AO42" s="105"/>
      <c r="AQ42" s="167"/>
      <c r="AS42" s="24"/>
      <c r="AT42" s="8"/>
      <c r="AU42" s="8"/>
      <c r="AV42" s="280"/>
      <c r="AW42" s="18"/>
      <c r="AX42" s="18"/>
      <c r="AY42" s="170"/>
      <c r="AZ42" s="83"/>
      <c r="BA42" s="10"/>
      <c r="BB42" s="112" t="str">
        <f t="shared" si="2"/>
        <v/>
      </c>
      <c r="BC42" s="112">
        <f t="shared" si="3"/>
        <v>0</v>
      </c>
      <c r="BD42" s="112">
        <f t="shared" si="4"/>
        <v>0</v>
      </c>
      <c r="BE42" s="112">
        <f t="shared" si="5"/>
        <v>0</v>
      </c>
      <c r="BF42" s="112">
        <f t="shared" si="6"/>
        <v>0</v>
      </c>
      <c r="BJ42" s="15">
        <f t="shared" si="12"/>
        <v>0</v>
      </c>
      <c r="BK42" s="15" t="str">
        <f t="shared" si="7"/>
        <v/>
      </c>
      <c r="BL42" s="15" t="str">
        <f t="shared" si="8"/>
        <v/>
      </c>
      <c r="BM42" s="113" t="str">
        <f t="shared" si="13"/>
        <v/>
      </c>
      <c r="BN42" s="112">
        <f t="shared" si="14"/>
        <v>0</v>
      </c>
      <c r="BO42" s="10"/>
    </row>
    <row r="43" spans="1:67" hidden="1">
      <c r="A43" s="1" t="b">
        <f t="shared" si="9"/>
        <v>0</v>
      </c>
      <c r="B43" s="88" t="str">
        <f>[2]陸連登録!N38</f>
        <v/>
      </c>
      <c r="C43" s="1" t="b">
        <f t="shared" si="10"/>
        <v>0</v>
      </c>
      <c r="D43" s="89"/>
      <c r="E43" s="226"/>
      <c r="F43" s="227"/>
      <c r="G43" s="228"/>
      <c r="H43" s="229"/>
      <c r="I43" s="230"/>
      <c r="J43" s="231"/>
      <c r="K43" s="232"/>
      <c r="L43" s="233"/>
      <c r="M43" s="228"/>
      <c r="N43" s="234"/>
      <c r="O43" s="90"/>
      <c r="P43" s="91" t="str">
        <f t="shared" si="19"/>
        <v/>
      </c>
      <c r="Q43" s="114"/>
      <c r="R43" s="115">
        <v>0</v>
      </c>
      <c r="S43" s="116">
        <v>2</v>
      </c>
      <c r="T43" s="90"/>
      <c r="U43" s="91" t="str">
        <f t="shared" si="20"/>
        <v/>
      </c>
      <c r="V43" s="117"/>
      <c r="W43" s="115">
        <v>0</v>
      </c>
      <c r="X43" s="116">
        <v>2</v>
      </c>
      <c r="Y43" s="118"/>
      <c r="Z43" s="119" t="str">
        <f>IF(Y43="","",IF(I43=1,VLOOKUP(Y43,[2]男子種目コード!$A$1:$B$33,2,FALSE),IF(I43=2,VLOOKUP(Y43,[2]女子種目コード!$A$36:$B$66,2,FALSE))))</f>
        <v/>
      </c>
      <c r="AA43" s="114" t="str">
        <f>IF(Y43="","",HLOOKUP(Y43,#REF!,38,FALSE))</f>
        <v/>
      </c>
      <c r="AB43" s="115">
        <v>0</v>
      </c>
      <c r="AC43" s="116">
        <v>2</v>
      </c>
      <c r="AD43" s="97"/>
      <c r="AE43" s="98" t="str">
        <f t="shared" si="15"/>
        <v/>
      </c>
      <c r="AF43" s="120"/>
      <c r="AG43" s="121">
        <v>0</v>
      </c>
      <c r="AH43" s="121">
        <v>2</v>
      </c>
      <c r="AI43" s="101"/>
      <c r="AJ43" s="102" t="str">
        <f t="shared" si="11"/>
        <v/>
      </c>
      <c r="AK43" s="122"/>
      <c r="AL43" s="104">
        <v>0</v>
      </c>
      <c r="AM43" s="123">
        <v>2</v>
      </c>
      <c r="AN43" s="105"/>
      <c r="AO43" s="105"/>
      <c r="AQ43" s="167"/>
      <c r="AS43" s="24"/>
      <c r="AT43" s="8"/>
      <c r="AU43" s="8"/>
      <c r="AV43" s="280"/>
      <c r="AW43" s="18"/>
      <c r="AX43" s="18"/>
      <c r="AY43" s="170"/>
      <c r="AZ43" s="83"/>
      <c r="BA43" s="10"/>
      <c r="BB43" s="112" t="str">
        <f t="shared" si="2"/>
        <v/>
      </c>
      <c r="BC43" s="112">
        <f t="shared" si="3"/>
        <v>0</v>
      </c>
      <c r="BD43" s="112">
        <f t="shared" si="4"/>
        <v>0</v>
      </c>
      <c r="BE43" s="112">
        <f t="shared" si="5"/>
        <v>0</v>
      </c>
      <c r="BF43" s="112">
        <f t="shared" si="6"/>
        <v>0</v>
      </c>
      <c r="BJ43" s="15">
        <f t="shared" si="12"/>
        <v>0</v>
      </c>
      <c r="BK43" s="15" t="str">
        <f t="shared" si="7"/>
        <v/>
      </c>
      <c r="BL43" s="15" t="str">
        <f t="shared" si="8"/>
        <v/>
      </c>
      <c r="BM43" s="113" t="str">
        <f t="shared" si="13"/>
        <v/>
      </c>
      <c r="BN43" s="112">
        <f t="shared" si="14"/>
        <v>0</v>
      </c>
      <c r="BO43" s="10"/>
    </row>
    <row r="44" spans="1:67" hidden="1">
      <c r="A44" s="1" t="b">
        <f t="shared" si="9"/>
        <v>0</v>
      </c>
      <c r="B44" s="88" t="str">
        <f>[2]陸連登録!N39</f>
        <v/>
      </c>
      <c r="C44" s="1" t="b">
        <f t="shared" si="10"/>
        <v>0</v>
      </c>
      <c r="D44" s="89"/>
      <c r="E44" s="226"/>
      <c r="F44" s="227"/>
      <c r="G44" s="228"/>
      <c r="H44" s="229"/>
      <c r="I44" s="230"/>
      <c r="J44" s="231"/>
      <c r="K44" s="232"/>
      <c r="L44" s="233"/>
      <c r="M44" s="228"/>
      <c r="N44" s="234"/>
      <c r="O44" s="90"/>
      <c r="P44" s="91" t="str">
        <f t="shared" si="19"/>
        <v/>
      </c>
      <c r="Q44" s="114"/>
      <c r="R44" s="115">
        <v>0</v>
      </c>
      <c r="S44" s="116">
        <v>2</v>
      </c>
      <c r="T44" s="90"/>
      <c r="U44" s="91" t="str">
        <f t="shared" si="20"/>
        <v/>
      </c>
      <c r="V44" s="117"/>
      <c r="W44" s="115">
        <v>0</v>
      </c>
      <c r="X44" s="116">
        <v>2</v>
      </c>
      <c r="Y44" s="118"/>
      <c r="Z44" s="119" t="str">
        <f>IF(Y44="","",IF(I44=1,VLOOKUP(Y44,[2]男子種目コード!$A$1:$B$33,2,FALSE),IF(I44=2,VLOOKUP(Y44,[2]女子種目コード!$A$36:$B$66,2,FALSE))))</f>
        <v/>
      </c>
      <c r="AA44" s="114" t="str">
        <f>IF(Y44="","",HLOOKUP(Y44,#REF!,39,FALSE))</f>
        <v/>
      </c>
      <c r="AB44" s="115">
        <v>0</v>
      </c>
      <c r="AC44" s="116">
        <v>2</v>
      </c>
      <c r="AD44" s="97"/>
      <c r="AE44" s="98" t="str">
        <f t="shared" si="15"/>
        <v/>
      </c>
      <c r="AF44" s="120"/>
      <c r="AG44" s="121">
        <v>0</v>
      </c>
      <c r="AH44" s="121">
        <v>2</v>
      </c>
      <c r="AI44" s="101"/>
      <c r="AJ44" s="102" t="str">
        <f t="shared" si="11"/>
        <v/>
      </c>
      <c r="AK44" s="122"/>
      <c r="AL44" s="104">
        <v>0</v>
      </c>
      <c r="AM44" s="123">
        <v>2</v>
      </c>
      <c r="AN44" s="105"/>
      <c r="AO44" s="105"/>
      <c r="AQ44" s="167"/>
      <c r="AS44" s="24"/>
      <c r="AT44" s="8"/>
      <c r="AU44" s="8"/>
      <c r="AV44" s="171"/>
      <c r="AW44" s="172"/>
      <c r="AX44" s="26"/>
      <c r="AY44" s="26"/>
      <c r="AZ44" s="83"/>
      <c r="BA44" s="170"/>
      <c r="BB44" s="10"/>
      <c r="BC44" s="112" t="str">
        <f t="shared" ref="BC44:BC107" si="21">IF(O44="","",1)</f>
        <v/>
      </c>
      <c r="BD44" s="112">
        <f t="shared" ref="BD44:BD107" si="22">IF(OR(BC44=1,T44=""),0,1)</f>
        <v>0</v>
      </c>
      <c r="BE44" s="112">
        <f t="shared" ref="BE44:BE107" si="23">IF(OR(BC44=1,BD44=1,Y44=""),0,1)</f>
        <v>0</v>
      </c>
      <c r="BF44" s="112">
        <f t="shared" ref="BF44:BF107" si="24">IF(OR(BC44=1,BD44=1,BE44=1,AD44=""),0,1)</f>
        <v>0</v>
      </c>
      <c r="BG44" s="112">
        <f t="shared" ref="BG44:BG107" si="25">IF(OR(BC44=1,BD44=1,BE44=1,BF44=1,AI44=""),0,1)</f>
        <v>0</v>
      </c>
      <c r="BI44" s="173"/>
      <c r="BJ44" s="15">
        <f t="shared" si="12"/>
        <v>0</v>
      </c>
      <c r="BK44" s="15" t="str">
        <f t="shared" si="7"/>
        <v/>
      </c>
      <c r="BL44" s="15" t="str">
        <f t="shared" si="8"/>
        <v/>
      </c>
      <c r="BM44" s="113" t="str">
        <f t="shared" si="13"/>
        <v/>
      </c>
      <c r="BN44" s="112">
        <f t="shared" si="14"/>
        <v>0</v>
      </c>
      <c r="BO44" s="10"/>
    </row>
    <row r="45" spans="1:67" hidden="1">
      <c r="A45" s="1" t="b">
        <f t="shared" si="9"/>
        <v>0</v>
      </c>
      <c r="B45" s="88" t="str">
        <f>[2]陸連登録!N40</f>
        <v/>
      </c>
      <c r="C45" s="1" t="b">
        <f t="shared" si="10"/>
        <v>0</v>
      </c>
      <c r="D45" s="89"/>
      <c r="E45" s="226"/>
      <c r="F45" s="227"/>
      <c r="G45" s="228"/>
      <c r="H45" s="229"/>
      <c r="I45" s="230"/>
      <c r="J45" s="231"/>
      <c r="K45" s="232"/>
      <c r="L45" s="233"/>
      <c r="M45" s="228"/>
      <c r="N45" s="234"/>
      <c r="O45" s="90"/>
      <c r="P45" s="91" t="str">
        <f t="shared" si="19"/>
        <v/>
      </c>
      <c r="Q45" s="114"/>
      <c r="R45" s="115">
        <v>0</v>
      </c>
      <c r="S45" s="116">
        <v>2</v>
      </c>
      <c r="T45" s="90"/>
      <c r="U45" s="91" t="str">
        <f t="shared" si="20"/>
        <v/>
      </c>
      <c r="V45" s="117"/>
      <c r="W45" s="115">
        <v>0</v>
      </c>
      <c r="X45" s="116">
        <v>2</v>
      </c>
      <c r="Y45" s="118"/>
      <c r="Z45" s="119" t="str">
        <f>IF(Y45="","",IF(I45=1,VLOOKUP(Y45,[2]男子種目コード!$A$1:$B$33,2,FALSE),IF(I45=2,VLOOKUP(Y45,[2]女子種目コード!$A$36:$B$66,2,FALSE))))</f>
        <v/>
      </c>
      <c r="AA45" s="114" t="str">
        <f>IF(Y45="","",HLOOKUP(Y45,#REF!,40,FALSE))</f>
        <v/>
      </c>
      <c r="AB45" s="115">
        <v>0</v>
      </c>
      <c r="AC45" s="116">
        <v>2</v>
      </c>
      <c r="AD45" s="97"/>
      <c r="AE45" s="98" t="str">
        <f t="shared" si="15"/>
        <v/>
      </c>
      <c r="AF45" s="120"/>
      <c r="AG45" s="121">
        <v>0</v>
      </c>
      <c r="AH45" s="121">
        <v>2</v>
      </c>
      <c r="AI45" s="101"/>
      <c r="AJ45" s="102" t="str">
        <f t="shared" si="11"/>
        <v/>
      </c>
      <c r="AK45" s="122"/>
      <c r="AL45" s="104">
        <v>0</v>
      </c>
      <c r="AM45" s="123">
        <v>2</v>
      </c>
      <c r="AN45" s="105"/>
      <c r="AO45" s="105"/>
      <c r="AQ45" s="167"/>
      <c r="AS45" s="24"/>
      <c r="AT45" s="8"/>
      <c r="AU45" s="8"/>
      <c r="AV45" s="171"/>
      <c r="AW45" s="172"/>
      <c r="AX45" s="26"/>
      <c r="AY45" s="26"/>
      <c r="AZ45" s="83"/>
      <c r="BA45" s="170"/>
      <c r="BB45" s="10"/>
      <c r="BC45" s="112" t="str">
        <f t="shared" si="21"/>
        <v/>
      </c>
      <c r="BD45" s="112">
        <f t="shared" si="22"/>
        <v>0</v>
      </c>
      <c r="BE45" s="112">
        <f t="shared" si="23"/>
        <v>0</v>
      </c>
      <c r="BF45" s="112">
        <f t="shared" si="24"/>
        <v>0</v>
      </c>
      <c r="BG45" s="112">
        <f t="shared" si="25"/>
        <v>0</v>
      </c>
      <c r="BI45" s="173"/>
      <c r="BJ45" s="15">
        <f t="shared" si="12"/>
        <v>0</v>
      </c>
      <c r="BK45" s="15" t="str">
        <f t="shared" si="7"/>
        <v/>
      </c>
      <c r="BL45" s="15" t="str">
        <f t="shared" si="8"/>
        <v/>
      </c>
      <c r="BM45" s="113" t="str">
        <f t="shared" si="13"/>
        <v/>
      </c>
      <c r="BN45" s="112">
        <f t="shared" si="14"/>
        <v>0</v>
      </c>
      <c r="BO45" s="10"/>
    </row>
    <row r="46" spans="1:67" hidden="1">
      <c r="A46" s="1" t="b">
        <f t="shared" si="9"/>
        <v>0</v>
      </c>
      <c r="B46" s="88" t="str">
        <f>[2]陸連登録!N41</f>
        <v/>
      </c>
      <c r="C46" s="1" t="b">
        <f t="shared" si="10"/>
        <v>0</v>
      </c>
      <c r="D46" s="89"/>
      <c r="E46" s="226"/>
      <c r="F46" s="227"/>
      <c r="G46" s="228"/>
      <c r="H46" s="229"/>
      <c r="I46" s="230"/>
      <c r="J46" s="231"/>
      <c r="K46" s="232"/>
      <c r="L46" s="233"/>
      <c r="M46" s="228"/>
      <c r="N46" s="234"/>
      <c r="O46" s="90"/>
      <c r="P46" s="91" t="str">
        <f t="shared" si="19"/>
        <v/>
      </c>
      <c r="Q46" s="114"/>
      <c r="R46" s="115">
        <v>0</v>
      </c>
      <c r="S46" s="116">
        <v>2</v>
      </c>
      <c r="T46" s="90"/>
      <c r="U46" s="91" t="str">
        <f t="shared" si="20"/>
        <v/>
      </c>
      <c r="V46" s="117"/>
      <c r="W46" s="115">
        <v>0</v>
      </c>
      <c r="X46" s="116">
        <v>2</v>
      </c>
      <c r="Y46" s="118"/>
      <c r="Z46" s="119" t="str">
        <f>IF(Y46="","",IF(I46=1,VLOOKUP(Y46,[2]男子種目コード!$A$1:$B$33,2,FALSE),IF(I46=2,VLOOKUP(Y46,[2]女子種目コード!$A$36:$B$66,2,FALSE))))</f>
        <v/>
      </c>
      <c r="AA46" s="114" t="str">
        <f>IF(Y46="","",HLOOKUP(Y46,#REF!,41,FALSE))</f>
        <v/>
      </c>
      <c r="AB46" s="115">
        <v>0</v>
      </c>
      <c r="AC46" s="116">
        <v>2</v>
      </c>
      <c r="AD46" s="97"/>
      <c r="AE46" s="98" t="str">
        <f t="shared" si="15"/>
        <v/>
      </c>
      <c r="AF46" s="120"/>
      <c r="AG46" s="121">
        <v>0</v>
      </c>
      <c r="AH46" s="121">
        <v>2</v>
      </c>
      <c r="AI46" s="101"/>
      <c r="AJ46" s="102" t="str">
        <f t="shared" si="11"/>
        <v/>
      </c>
      <c r="AK46" s="122"/>
      <c r="AL46" s="104">
        <v>0</v>
      </c>
      <c r="AM46" s="123">
        <v>2</v>
      </c>
      <c r="AN46" s="105"/>
      <c r="AO46" s="105"/>
      <c r="AQ46" s="167"/>
      <c r="AS46" s="24"/>
      <c r="AT46" s="8"/>
      <c r="AU46" s="8"/>
      <c r="AV46" s="171"/>
      <c r="AW46" s="172"/>
      <c r="AX46" s="26"/>
      <c r="AY46" s="26"/>
      <c r="AZ46" s="83"/>
      <c r="BA46" s="170"/>
      <c r="BB46" s="10"/>
      <c r="BC46" s="112" t="str">
        <f t="shared" si="21"/>
        <v/>
      </c>
      <c r="BD46" s="112">
        <f t="shared" si="22"/>
        <v>0</v>
      </c>
      <c r="BE46" s="112">
        <f t="shared" si="23"/>
        <v>0</v>
      </c>
      <c r="BF46" s="112">
        <f t="shared" si="24"/>
        <v>0</v>
      </c>
      <c r="BG46" s="112">
        <f t="shared" si="25"/>
        <v>0</v>
      </c>
      <c r="BI46" s="173"/>
      <c r="BJ46" s="15">
        <f t="shared" si="12"/>
        <v>0</v>
      </c>
      <c r="BK46" s="15" t="str">
        <f t="shared" si="7"/>
        <v/>
      </c>
      <c r="BL46" s="15" t="str">
        <f t="shared" si="8"/>
        <v/>
      </c>
      <c r="BM46" s="113" t="str">
        <f t="shared" si="13"/>
        <v/>
      </c>
      <c r="BN46" s="112">
        <f t="shared" si="14"/>
        <v>0</v>
      </c>
      <c r="BO46" s="10"/>
    </row>
    <row r="47" spans="1:67" hidden="1">
      <c r="A47" s="1" t="b">
        <f t="shared" si="9"/>
        <v>0</v>
      </c>
      <c r="B47" s="88" t="str">
        <f>[2]陸連登録!N42</f>
        <v/>
      </c>
      <c r="C47" s="1" t="b">
        <f t="shared" si="10"/>
        <v>0</v>
      </c>
      <c r="D47" s="89"/>
      <c r="E47" s="226"/>
      <c r="F47" s="227"/>
      <c r="G47" s="228"/>
      <c r="H47" s="229"/>
      <c r="I47" s="230"/>
      <c r="J47" s="231"/>
      <c r="K47" s="232"/>
      <c r="L47" s="233"/>
      <c r="M47" s="228"/>
      <c r="N47" s="234"/>
      <c r="O47" s="90"/>
      <c r="P47" s="91" t="str">
        <f t="shared" si="19"/>
        <v/>
      </c>
      <c r="Q47" s="114"/>
      <c r="R47" s="115">
        <v>0</v>
      </c>
      <c r="S47" s="116">
        <v>2</v>
      </c>
      <c r="T47" s="90"/>
      <c r="U47" s="91" t="str">
        <f t="shared" si="20"/>
        <v/>
      </c>
      <c r="V47" s="117"/>
      <c r="W47" s="115">
        <v>0</v>
      </c>
      <c r="X47" s="116">
        <v>2</v>
      </c>
      <c r="Y47" s="118"/>
      <c r="Z47" s="119" t="str">
        <f>IF(Y47="","",IF(I47=1,VLOOKUP(Y47,[2]男子種目コード!$A$1:$B$33,2,FALSE),IF(I47=2,VLOOKUP(Y47,[2]女子種目コード!$A$36:$B$66,2,FALSE))))</f>
        <v/>
      </c>
      <c r="AA47" s="114" t="str">
        <f>IF(Y47="","",HLOOKUP(Y47,#REF!,42,FALSE))</f>
        <v/>
      </c>
      <c r="AB47" s="115">
        <v>0</v>
      </c>
      <c r="AC47" s="116">
        <v>2</v>
      </c>
      <c r="AD47" s="97"/>
      <c r="AE47" s="98" t="str">
        <f t="shared" si="15"/>
        <v/>
      </c>
      <c r="AF47" s="120"/>
      <c r="AG47" s="121">
        <v>0</v>
      </c>
      <c r="AH47" s="121">
        <v>2</v>
      </c>
      <c r="AI47" s="101"/>
      <c r="AJ47" s="102" t="str">
        <f t="shared" si="11"/>
        <v/>
      </c>
      <c r="AK47" s="122"/>
      <c r="AL47" s="104">
        <v>0</v>
      </c>
      <c r="AM47" s="123">
        <v>2</v>
      </c>
      <c r="AN47" s="105"/>
      <c r="AO47" s="105"/>
      <c r="AQ47" s="167"/>
      <c r="AS47" s="24"/>
      <c r="AT47" s="8"/>
      <c r="AU47" s="8"/>
      <c r="AV47" s="171"/>
      <c r="AW47" s="172"/>
      <c r="AX47" s="26"/>
      <c r="AY47" s="26"/>
      <c r="AZ47" s="83"/>
      <c r="BA47" s="170"/>
      <c r="BB47" s="10"/>
      <c r="BC47" s="112" t="str">
        <f t="shared" si="21"/>
        <v/>
      </c>
      <c r="BD47" s="112">
        <f t="shared" si="22"/>
        <v>0</v>
      </c>
      <c r="BE47" s="112">
        <f t="shared" si="23"/>
        <v>0</v>
      </c>
      <c r="BF47" s="112">
        <f t="shared" si="24"/>
        <v>0</v>
      </c>
      <c r="BG47" s="112">
        <f t="shared" si="25"/>
        <v>0</v>
      </c>
      <c r="BI47" s="173"/>
      <c r="BJ47" s="15">
        <f t="shared" si="12"/>
        <v>0</v>
      </c>
      <c r="BK47" s="15" t="str">
        <f t="shared" si="7"/>
        <v/>
      </c>
      <c r="BL47" s="15" t="str">
        <f t="shared" si="8"/>
        <v/>
      </c>
      <c r="BM47" s="113" t="str">
        <f t="shared" si="13"/>
        <v/>
      </c>
      <c r="BN47" s="112">
        <f t="shared" si="14"/>
        <v>0</v>
      </c>
      <c r="BO47" s="10"/>
    </row>
    <row r="48" spans="1:67" hidden="1">
      <c r="A48" s="1" t="b">
        <f t="shared" si="9"/>
        <v>0</v>
      </c>
      <c r="B48" s="88" t="str">
        <f>[2]陸連登録!N43</f>
        <v/>
      </c>
      <c r="C48" s="1" t="b">
        <f t="shared" si="10"/>
        <v>0</v>
      </c>
      <c r="D48" s="89"/>
      <c r="E48" s="226"/>
      <c r="F48" s="227"/>
      <c r="G48" s="228"/>
      <c r="H48" s="229"/>
      <c r="I48" s="230"/>
      <c r="J48" s="231"/>
      <c r="K48" s="232"/>
      <c r="L48" s="233"/>
      <c r="M48" s="228"/>
      <c r="N48" s="234"/>
      <c r="O48" s="90"/>
      <c r="P48" s="91" t="str">
        <f t="shared" si="19"/>
        <v/>
      </c>
      <c r="Q48" s="114"/>
      <c r="R48" s="115">
        <v>0</v>
      </c>
      <c r="S48" s="116">
        <v>2</v>
      </c>
      <c r="T48" s="90"/>
      <c r="U48" s="91" t="str">
        <f t="shared" si="20"/>
        <v/>
      </c>
      <c r="V48" s="117"/>
      <c r="W48" s="115">
        <v>0</v>
      </c>
      <c r="X48" s="116">
        <v>2</v>
      </c>
      <c r="Y48" s="118"/>
      <c r="Z48" s="119" t="str">
        <f>IF(Y48="","",IF(I48=1,VLOOKUP(Y48,[2]男子種目コード!$A$1:$B$33,2,FALSE),IF(I48=2,VLOOKUP(Y48,[2]女子種目コード!$A$36:$B$66,2,FALSE))))</f>
        <v/>
      </c>
      <c r="AA48" s="114" t="str">
        <f>IF(Y48="","",HLOOKUP(Y48,#REF!,43,FALSE))</f>
        <v/>
      </c>
      <c r="AB48" s="115">
        <v>0</v>
      </c>
      <c r="AC48" s="116">
        <v>2</v>
      </c>
      <c r="AD48" s="97"/>
      <c r="AE48" s="98" t="str">
        <f t="shared" si="15"/>
        <v/>
      </c>
      <c r="AF48" s="120"/>
      <c r="AG48" s="121">
        <v>0</v>
      </c>
      <c r="AH48" s="121">
        <v>2</v>
      </c>
      <c r="AI48" s="101"/>
      <c r="AJ48" s="102" t="str">
        <f t="shared" si="11"/>
        <v/>
      </c>
      <c r="AK48" s="122"/>
      <c r="AL48" s="104">
        <v>0</v>
      </c>
      <c r="AM48" s="123">
        <v>2</v>
      </c>
      <c r="AN48" s="105"/>
      <c r="AO48" s="105"/>
      <c r="AQ48" s="167"/>
      <c r="AS48" s="24"/>
      <c r="AT48" s="8"/>
      <c r="AU48" s="8"/>
      <c r="AV48" s="171"/>
      <c r="AW48" s="172"/>
      <c r="AX48" s="26"/>
      <c r="AY48" s="26"/>
      <c r="AZ48" s="83"/>
      <c r="BA48" s="170"/>
      <c r="BB48" s="10"/>
      <c r="BC48" s="112" t="str">
        <f t="shared" si="21"/>
        <v/>
      </c>
      <c r="BD48" s="112">
        <f t="shared" si="22"/>
        <v>0</v>
      </c>
      <c r="BE48" s="112">
        <f t="shared" si="23"/>
        <v>0</v>
      </c>
      <c r="BF48" s="112">
        <f t="shared" si="24"/>
        <v>0</v>
      </c>
      <c r="BG48" s="112">
        <f t="shared" si="25"/>
        <v>0</v>
      </c>
      <c r="BI48" s="173"/>
      <c r="BJ48" s="15">
        <f t="shared" si="12"/>
        <v>0</v>
      </c>
      <c r="BK48" s="15" t="str">
        <f t="shared" si="7"/>
        <v/>
      </c>
      <c r="BL48" s="15" t="str">
        <f t="shared" si="8"/>
        <v/>
      </c>
      <c r="BM48" s="113" t="str">
        <f t="shared" si="13"/>
        <v/>
      </c>
      <c r="BN48" s="112">
        <f t="shared" si="14"/>
        <v>0</v>
      </c>
      <c r="BO48" s="10"/>
    </row>
    <row r="49" spans="1:67" hidden="1">
      <c r="A49" s="1" t="b">
        <f t="shared" si="9"/>
        <v>0</v>
      </c>
      <c r="B49" s="88" t="str">
        <f>[2]陸連登録!N44</f>
        <v/>
      </c>
      <c r="C49" s="1" t="b">
        <f t="shared" si="10"/>
        <v>0</v>
      </c>
      <c r="D49" s="89"/>
      <c r="E49" s="226"/>
      <c r="F49" s="227"/>
      <c r="G49" s="228"/>
      <c r="H49" s="229"/>
      <c r="I49" s="230"/>
      <c r="J49" s="231"/>
      <c r="K49" s="232"/>
      <c r="L49" s="233"/>
      <c r="M49" s="228"/>
      <c r="N49" s="234"/>
      <c r="O49" s="90"/>
      <c r="P49" s="91" t="str">
        <f t="shared" si="19"/>
        <v/>
      </c>
      <c r="Q49" s="114"/>
      <c r="R49" s="115">
        <v>0</v>
      </c>
      <c r="S49" s="116">
        <v>2</v>
      </c>
      <c r="T49" s="90"/>
      <c r="U49" s="91" t="str">
        <f t="shared" si="20"/>
        <v/>
      </c>
      <c r="V49" s="117"/>
      <c r="W49" s="115">
        <v>0</v>
      </c>
      <c r="X49" s="116">
        <v>2</v>
      </c>
      <c r="Y49" s="118"/>
      <c r="Z49" s="119" t="str">
        <f>IF(Y49="","",IF(I49=1,VLOOKUP(Y49,[2]男子種目コード!$A$1:$B$33,2,FALSE),IF(I49=2,VLOOKUP(Y49,[2]女子種目コード!$A$36:$B$66,2,FALSE))))</f>
        <v/>
      </c>
      <c r="AA49" s="114" t="str">
        <f>IF(Y49="","",HLOOKUP(Y49,#REF!,44,FALSE))</f>
        <v/>
      </c>
      <c r="AB49" s="115">
        <v>0</v>
      </c>
      <c r="AC49" s="116">
        <v>2</v>
      </c>
      <c r="AD49" s="97"/>
      <c r="AE49" s="98" t="str">
        <f t="shared" si="15"/>
        <v/>
      </c>
      <c r="AF49" s="120"/>
      <c r="AG49" s="121">
        <v>0</v>
      </c>
      <c r="AH49" s="121">
        <v>2</v>
      </c>
      <c r="AI49" s="101"/>
      <c r="AJ49" s="102" t="str">
        <f t="shared" si="11"/>
        <v/>
      </c>
      <c r="AK49" s="122"/>
      <c r="AL49" s="104">
        <v>0</v>
      </c>
      <c r="AM49" s="123">
        <v>2</v>
      </c>
      <c r="AN49" s="105"/>
      <c r="AO49" s="105"/>
      <c r="AQ49" s="167"/>
      <c r="AS49" s="24"/>
      <c r="AT49" s="8"/>
      <c r="AU49" s="8"/>
      <c r="AV49" s="171"/>
      <c r="AW49" s="25"/>
      <c r="AX49" s="26"/>
      <c r="AY49" s="26"/>
      <c r="AZ49" s="83"/>
      <c r="BA49" s="170"/>
      <c r="BB49" s="10"/>
      <c r="BC49" s="112" t="str">
        <f t="shared" si="21"/>
        <v/>
      </c>
      <c r="BD49" s="112">
        <f t="shared" si="22"/>
        <v>0</v>
      </c>
      <c r="BE49" s="112">
        <f t="shared" si="23"/>
        <v>0</v>
      </c>
      <c r="BF49" s="112">
        <f t="shared" si="24"/>
        <v>0</v>
      </c>
      <c r="BG49" s="112">
        <f t="shared" si="25"/>
        <v>0</v>
      </c>
      <c r="BI49" s="173"/>
      <c r="BJ49" s="15">
        <f t="shared" si="12"/>
        <v>0</v>
      </c>
      <c r="BK49" s="15" t="str">
        <f t="shared" si="7"/>
        <v/>
      </c>
      <c r="BL49" s="15" t="str">
        <f t="shared" si="8"/>
        <v/>
      </c>
      <c r="BM49" s="113" t="str">
        <f t="shared" si="13"/>
        <v/>
      </c>
      <c r="BN49" s="112">
        <f t="shared" si="14"/>
        <v>0</v>
      </c>
      <c r="BO49" s="10"/>
    </row>
    <row r="50" spans="1:67" hidden="1">
      <c r="A50" s="1" t="b">
        <f t="shared" si="9"/>
        <v>0</v>
      </c>
      <c r="B50" s="88" t="str">
        <f>[2]陸連登録!N45</f>
        <v/>
      </c>
      <c r="C50" s="1" t="b">
        <f t="shared" si="10"/>
        <v>0</v>
      </c>
      <c r="D50" s="89"/>
      <c r="E50" s="226"/>
      <c r="F50" s="227"/>
      <c r="G50" s="228"/>
      <c r="H50" s="229"/>
      <c r="I50" s="230"/>
      <c r="J50" s="231"/>
      <c r="K50" s="232"/>
      <c r="L50" s="233"/>
      <c r="M50" s="228"/>
      <c r="N50" s="234"/>
      <c r="O50" s="90"/>
      <c r="P50" s="91" t="str">
        <f t="shared" si="19"/>
        <v/>
      </c>
      <c r="Q50" s="114"/>
      <c r="R50" s="115">
        <v>0</v>
      </c>
      <c r="S50" s="116">
        <v>2</v>
      </c>
      <c r="T50" s="90"/>
      <c r="U50" s="91" t="str">
        <f t="shared" si="20"/>
        <v/>
      </c>
      <c r="V50" s="117"/>
      <c r="W50" s="115">
        <v>0</v>
      </c>
      <c r="X50" s="116">
        <v>2</v>
      </c>
      <c r="Y50" s="118"/>
      <c r="Z50" s="119" t="str">
        <f>IF(Y50="","",IF(I50=1,VLOOKUP(Y50,[2]男子種目コード!$A$1:$B$33,2,FALSE),IF(I50=2,VLOOKUP(Y50,[2]女子種目コード!$A$36:$B$66,2,FALSE))))</f>
        <v/>
      </c>
      <c r="AA50" s="114" t="str">
        <f>IF(Y50="","",HLOOKUP(Y50,#REF!,45,FALSE))</f>
        <v/>
      </c>
      <c r="AB50" s="115">
        <v>0</v>
      </c>
      <c r="AC50" s="116">
        <v>2</v>
      </c>
      <c r="AD50" s="97"/>
      <c r="AE50" s="98" t="str">
        <f t="shared" si="15"/>
        <v/>
      </c>
      <c r="AF50" s="120"/>
      <c r="AG50" s="121">
        <v>0</v>
      </c>
      <c r="AH50" s="121">
        <v>2</v>
      </c>
      <c r="AI50" s="101"/>
      <c r="AJ50" s="102" t="str">
        <f t="shared" si="11"/>
        <v/>
      </c>
      <c r="AK50" s="122"/>
      <c r="AL50" s="104">
        <v>0</v>
      </c>
      <c r="AM50" s="123">
        <v>2</v>
      </c>
      <c r="AN50" s="105"/>
      <c r="AO50" s="105"/>
      <c r="AQ50" s="167"/>
      <c r="AS50" s="24"/>
      <c r="AT50" s="8"/>
      <c r="AU50" s="8"/>
      <c r="AV50" s="171"/>
      <c r="AW50" s="25"/>
      <c r="AX50" s="26"/>
      <c r="AY50" s="26"/>
      <c r="AZ50" s="83"/>
      <c r="BA50" s="170"/>
      <c r="BB50" s="10"/>
      <c r="BC50" s="112" t="str">
        <f t="shared" si="21"/>
        <v/>
      </c>
      <c r="BD50" s="112">
        <f t="shared" si="22"/>
        <v>0</v>
      </c>
      <c r="BE50" s="112">
        <f t="shared" si="23"/>
        <v>0</v>
      </c>
      <c r="BF50" s="112">
        <f t="shared" si="24"/>
        <v>0</v>
      </c>
      <c r="BG50" s="112">
        <f t="shared" si="25"/>
        <v>0</v>
      </c>
      <c r="BI50" s="173"/>
      <c r="BJ50" s="15">
        <f t="shared" si="12"/>
        <v>0</v>
      </c>
      <c r="BK50" s="15" t="str">
        <f t="shared" si="7"/>
        <v/>
      </c>
      <c r="BL50" s="15" t="str">
        <f t="shared" si="8"/>
        <v/>
      </c>
      <c r="BM50" s="113" t="str">
        <f t="shared" si="13"/>
        <v/>
      </c>
      <c r="BN50" s="112">
        <f t="shared" si="14"/>
        <v>0</v>
      </c>
      <c r="BO50" s="10"/>
    </row>
    <row r="51" spans="1:67" hidden="1">
      <c r="A51" s="1" t="b">
        <f t="shared" si="9"/>
        <v>0</v>
      </c>
      <c r="B51" s="88" t="str">
        <f>[2]陸連登録!N46</f>
        <v/>
      </c>
      <c r="C51" s="1" t="b">
        <f t="shared" si="10"/>
        <v>0</v>
      </c>
      <c r="D51" s="89"/>
      <c r="E51" s="226"/>
      <c r="F51" s="227"/>
      <c r="G51" s="228"/>
      <c r="H51" s="229"/>
      <c r="I51" s="230"/>
      <c r="J51" s="231"/>
      <c r="K51" s="232"/>
      <c r="L51" s="233"/>
      <c r="M51" s="228"/>
      <c r="N51" s="234"/>
      <c r="O51" s="90"/>
      <c r="P51" s="91" t="str">
        <f t="shared" si="19"/>
        <v/>
      </c>
      <c r="Q51" s="114"/>
      <c r="R51" s="115">
        <v>0</v>
      </c>
      <c r="S51" s="116">
        <v>2</v>
      </c>
      <c r="T51" s="90"/>
      <c r="U51" s="91" t="str">
        <f t="shared" si="20"/>
        <v/>
      </c>
      <c r="V51" s="117"/>
      <c r="W51" s="115">
        <v>0</v>
      </c>
      <c r="X51" s="116">
        <v>2</v>
      </c>
      <c r="Y51" s="118"/>
      <c r="Z51" s="119" t="str">
        <f>IF(Y51="","",IF(I51=1,VLOOKUP(Y51,[2]男子種目コード!$A$1:$B$33,2,FALSE),IF(I51=2,VLOOKUP(Y51,[2]女子種目コード!$A$36:$B$66,2,FALSE))))</f>
        <v/>
      </c>
      <c r="AA51" s="114" t="str">
        <f>IF(Y51="","",HLOOKUP(Y51,#REF!,46,FALSE))</f>
        <v/>
      </c>
      <c r="AB51" s="115">
        <v>0</v>
      </c>
      <c r="AC51" s="116">
        <v>2</v>
      </c>
      <c r="AD51" s="97"/>
      <c r="AE51" s="98" t="str">
        <f t="shared" si="15"/>
        <v/>
      </c>
      <c r="AF51" s="120"/>
      <c r="AG51" s="121">
        <v>0</v>
      </c>
      <c r="AH51" s="121">
        <v>2</v>
      </c>
      <c r="AI51" s="101"/>
      <c r="AJ51" s="102" t="str">
        <f t="shared" si="11"/>
        <v/>
      </c>
      <c r="AK51" s="122"/>
      <c r="AL51" s="104">
        <v>0</v>
      </c>
      <c r="AM51" s="123">
        <v>2</v>
      </c>
      <c r="AN51" s="105"/>
      <c r="AO51" s="105"/>
      <c r="AQ51" s="167"/>
      <c r="AS51" s="24"/>
      <c r="AT51" s="8"/>
      <c r="AU51" s="8"/>
      <c r="AV51" s="171"/>
      <c r="AW51" s="174"/>
      <c r="AX51" s="26"/>
      <c r="AY51" s="26"/>
      <c r="AZ51" s="83"/>
      <c r="BA51" s="170"/>
      <c r="BB51" s="10"/>
      <c r="BC51" s="112" t="str">
        <f t="shared" si="21"/>
        <v/>
      </c>
      <c r="BD51" s="112">
        <f t="shared" si="22"/>
        <v>0</v>
      </c>
      <c r="BE51" s="112">
        <f t="shared" si="23"/>
        <v>0</v>
      </c>
      <c r="BF51" s="112">
        <f t="shared" si="24"/>
        <v>0</v>
      </c>
      <c r="BG51" s="112">
        <f t="shared" si="25"/>
        <v>0</v>
      </c>
      <c r="BI51" s="173"/>
      <c r="BJ51" s="15">
        <f t="shared" si="12"/>
        <v>0</v>
      </c>
      <c r="BK51" s="15" t="str">
        <f t="shared" si="7"/>
        <v/>
      </c>
      <c r="BL51" s="15" t="str">
        <f t="shared" si="8"/>
        <v/>
      </c>
      <c r="BM51" s="113" t="str">
        <f t="shared" si="13"/>
        <v/>
      </c>
      <c r="BN51" s="112">
        <f t="shared" si="14"/>
        <v>0</v>
      </c>
      <c r="BO51" s="10"/>
    </row>
    <row r="52" spans="1:67" hidden="1">
      <c r="A52" s="1" t="b">
        <f t="shared" si="9"/>
        <v>0</v>
      </c>
      <c r="B52" s="88" t="str">
        <f>[2]陸連登録!N47</f>
        <v/>
      </c>
      <c r="C52" s="1" t="b">
        <f t="shared" si="10"/>
        <v>0</v>
      </c>
      <c r="D52" s="89"/>
      <c r="E52" s="226"/>
      <c r="F52" s="227"/>
      <c r="G52" s="228"/>
      <c r="H52" s="229"/>
      <c r="I52" s="230"/>
      <c r="J52" s="231"/>
      <c r="K52" s="232"/>
      <c r="L52" s="233"/>
      <c r="M52" s="228"/>
      <c r="N52" s="234"/>
      <c r="O52" s="90"/>
      <c r="P52" s="91" t="str">
        <f t="shared" si="19"/>
        <v/>
      </c>
      <c r="Q52" s="114"/>
      <c r="R52" s="115">
        <v>0</v>
      </c>
      <c r="S52" s="116">
        <v>2</v>
      </c>
      <c r="T52" s="90"/>
      <c r="U52" s="91" t="str">
        <f t="shared" si="20"/>
        <v/>
      </c>
      <c r="V52" s="117"/>
      <c r="W52" s="115">
        <v>0</v>
      </c>
      <c r="X52" s="116">
        <v>2</v>
      </c>
      <c r="Y52" s="118"/>
      <c r="Z52" s="119" t="str">
        <f>IF(Y52="","",IF(I52=1,VLOOKUP(Y52,[2]男子種目コード!$A$1:$B$33,2,FALSE),IF(I52=2,VLOOKUP(Y52,[2]女子種目コード!$A$36:$B$66,2,FALSE))))</f>
        <v/>
      </c>
      <c r="AA52" s="114" t="str">
        <f>IF(Y52="","",HLOOKUP(Y52,#REF!,47,FALSE))</f>
        <v/>
      </c>
      <c r="AB52" s="115">
        <v>0</v>
      </c>
      <c r="AC52" s="116">
        <v>2</v>
      </c>
      <c r="AD52" s="97"/>
      <c r="AE52" s="98" t="str">
        <f t="shared" si="15"/>
        <v/>
      </c>
      <c r="AF52" s="120"/>
      <c r="AG52" s="121">
        <v>0</v>
      </c>
      <c r="AH52" s="121">
        <v>2</v>
      </c>
      <c r="AI52" s="101"/>
      <c r="AJ52" s="102" t="str">
        <f t="shared" si="11"/>
        <v/>
      </c>
      <c r="AK52" s="122"/>
      <c r="AL52" s="104">
        <v>0</v>
      </c>
      <c r="AM52" s="123">
        <v>2</v>
      </c>
      <c r="AN52" s="105"/>
      <c r="AO52" s="105"/>
      <c r="AQ52" s="167"/>
      <c r="AS52" s="24"/>
      <c r="AT52" s="8"/>
      <c r="AU52" s="8"/>
      <c r="AV52" s="171"/>
      <c r="AW52" s="174"/>
      <c r="AX52" s="26"/>
      <c r="AY52" s="26"/>
      <c r="AZ52" s="83"/>
      <c r="BA52" s="170"/>
      <c r="BB52" s="10"/>
      <c r="BC52" s="112" t="str">
        <f t="shared" si="21"/>
        <v/>
      </c>
      <c r="BD52" s="112">
        <f t="shared" si="22"/>
        <v>0</v>
      </c>
      <c r="BE52" s="112">
        <f t="shared" si="23"/>
        <v>0</v>
      </c>
      <c r="BF52" s="112">
        <f t="shared" si="24"/>
        <v>0</v>
      </c>
      <c r="BG52" s="112">
        <f t="shared" si="25"/>
        <v>0</v>
      </c>
      <c r="BI52" s="173"/>
      <c r="BJ52" s="15">
        <f t="shared" si="12"/>
        <v>0</v>
      </c>
      <c r="BK52" s="15" t="str">
        <f t="shared" si="7"/>
        <v/>
      </c>
      <c r="BL52" s="15" t="str">
        <f t="shared" si="8"/>
        <v/>
      </c>
      <c r="BM52" s="113" t="str">
        <f t="shared" si="13"/>
        <v/>
      </c>
      <c r="BN52" s="112">
        <f t="shared" si="14"/>
        <v>0</v>
      </c>
      <c r="BO52" s="10"/>
    </row>
    <row r="53" spans="1:67" hidden="1">
      <c r="A53" s="1" t="b">
        <f t="shared" si="9"/>
        <v>0</v>
      </c>
      <c r="B53" s="88" t="str">
        <f>[2]陸連登録!N48</f>
        <v/>
      </c>
      <c r="C53" s="1" t="b">
        <f t="shared" si="10"/>
        <v>0</v>
      </c>
      <c r="D53" s="89"/>
      <c r="E53" s="226"/>
      <c r="F53" s="227"/>
      <c r="G53" s="228"/>
      <c r="H53" s="229"/>
      <c r="I53" s="230"/>
      <c r="J53" s="231"/>
      <c r="K53" s="232"/>
      <c r="L53" s="233"/>
      <c r="M53" s="228"/>
      <c r="N53" s="234"/>
      <c r="O53" s="90"/>
      <c r="P53" s="91" t="str">
        <f t="shared" si="19"/>
        <v/>
      </c>
      <c r="Q53" s="114"/>
      <c r="R53" s="115">
        <v>0</v>
      </c>
      <c r="S53" s="116">
        <v>2</v>
      </c>
      <c r="T53" s="90"/>
      <c r="U53" s="91" t="str">
        <f t="shared" si="20"/>
        <v/>
      </c>
      <c r="V53" s="117"/>
      <c r="W53" s="115">
        <v>0</v>
      </c>
      <c r="X53" s="116">
        <v>2</v>
      </c>
      <c r="Y53" s="118"/>
      <c r="Z53" s="119" t="str">
        <f>IF(Y53="","",IF(I53=1,VLOOKUP(Y53,[2]男子種目コード!$A$1:$B$33,2,FALSE),IF(I53=2,VLOOKUP(Y53,[2]女子種目コード!$A$36:$B$66,2,FALSE))))</f>
        <v/>
      </c>
      <c r="AA53" s="114" t="str">
        <f>IF(Y53="","",HLOOKUP(Y53,#REF!,48,FALSE))</f>
        <v/>
      </c>
      <c r="AB53" s="115">
        <v>0</v>
      </c>
      <c r="AC53" s="116">
        <v>2</v>
      </c>
      <c r="AD53" s="97"/>
      <c r="AE53" s="98" t="str">
        <f t="shared" si="15"/>
        <v/>
      </c>
      <c r="AF53" s="120"/>
      <c r="AG53" s="121">
        <v>0</v>
      </c>
      <c r="AH53" s="121">
        <v>2</v>
      </c>
      <c r="AI53" s="101"/>
      <c r="AJ53" s="102" t="str">
        <f t="shared" si="11"/>
        <v/>
      </c>
      <c r="AK53" s="122"/>
      <c r="AL53" s="104">
        <v>0</v>
      </c>
      <c r="AM53" s="123">
        <v>2</v>
      </c>
      <c r="AN53" s="105"/>
      <c r="AO53" s="105"/>
      <c r="AQ53" s="167"/>
      <c r="AS53" s="24"/>
      <c r="AT53" s="8"/>
      <c r="AU53" s="8"/>
      <c r="AV53" s="171"/>
      <c r="AW53" s="25"/>
      <c r="AX53" s="26"/>
      <c r="AY53" s="26"/>
      <c r="AZ53" s="83"/>
      <c r="BA53" s="170"/>
      <c r="BB53" s="10"/>
      <c r="BC53" s="112" t="str">
        <f t="shared" si="21"/>
        <v/>
      </c>
      <c r="BD53" s="112">
        <f t="shared" si="22"/>
        <v>0</v>
      </c>
      <c r="BE53" s="112">
        <f t="shared" si="23"/>
        <v>0</v>
      </c>
      <c r="BF53" s="112">
        <f t="shared" si="24"/>
        <v>0</v>
      </c>
      <c r="BG53" s="112">
        <f t="shared" si="25"/>
        <v>0</v>
      </c>
      <c r="BI53" s="173"/>
      <c r="BJ53" s="15">
        <f t="shared" si="12"/>
        <v>0</v>
      </c>
      <c r="BK53" s="15" t="str">
        <f t="shared" si="7"/>
        <v/>
      </c>
      <c r="BL53" s="15" t="str">
        <f t="shared" si="8"/>
        <v/>
      </c>
      <c r="BM53" s="113" t="str">
        <f t="shared" si="13"/>
        <v/>
      </c>
      <c r="BN53" s="112">
        <f t="shared" si="14"/>
        <v>0</v>
      </c>
      <c r="BO53" s="10"/>
    </row>
    <row r="54" spans="1:67" hidden="1">
      <c r="A54" s="1" t="b">
        <f t="shared" si="9"/>
        <v>0</v>
      </c>
      <c r="B54" s="88" t="str">
        <f>[2]陸連登録!N49</f>
        <v/>
      </c>
      <c r="C54" s="1" t="b">
        <f t="shared" si="10"/>
        <v>0</v>
      </c>
      <c r="D54" s="89"/>
      <c r="E54" s="226"/>
      <c r="F54" s="227"/>
      <c r="G54" s="228"/>
      <c r="H54" s="229"/>
      <c r="I54" s="230"/>
      <c r="J54" s="231"/>
      <c r="K54" s="232"/>
      <c r="L54" s="233"/>
      <c r="M54" s="228"/>
      <c r="N54" s="234"/>
      <c r="O54" s="90"/>
      <c r="P54" s="91" t="str">
        <f t="shared" si="19"/>
        <v/>
      </c>
      <c r="Q54" s="114"/>
      <c r="R54" s="115">
        <v>0</v>
      </c>
      <c r="S54" s="116">
        <v>2</v>
      </c>
      <c r="T54" s="90"/>
      <c r="U54" s="91" t="str">
        <f t="shared" si="20"/>
        <v/>
      </c>
      <c r="V54" s="117"/>
      <c r="W54" s="115">
        <v>0</v>
      </c>
      <c r="X54" s="116">
        <v>2</v>
      </c>
      <c r="Y54" s="118"/>
      <c r="Z54" s="119" t="str">
        <f>IF(Y54="","",IF(I54=1,VLOOKUP(Y54,[2]男子種目コード!$A$1:$B$33,2,FALSE),IF(I54=2,VLOOKUP(Y54,[2]女子種目コード!$A$36:$B$66,2,FALSE))))</f>
        <v/>
      </c>
      <c r="AA54" s="114" t="str">
        <f>IF(Y54="","",HLOOKUP(Y54,#REF!,49,FALSE))</f>
        <v/>
      </c>
      <c r="AB54" s="115">
        <v>0</v>
      </c>
      <c r="AC54" s="116">
        <v>2</v>
      </c>
      <c r="AD54" s="97"/>
      <c r="AE54" s="98" t="str">
        <f t="shared" si="15"/>
        <v/>
      </c>
      <c r="AF54" s="120"/>
      <c r="AG54" s="121">
        <v>0</v>
      </c>
      <c r="AH54" s="121">
        <v>2</v>
      </c>
      <c r="AI54" s="101"/>
      <c r="AJ54" s="102" t="str">
        <f t="shared" si="11"/>
        <v/>
      </c>
      <c r="AK54" s="122"/>
      <c r="AL54" s="104">
        <v>0</v>
      </c>
      <c r="AM54" s="123">
        <v>2</v>
      </c>
      <c r="AN54" s="105"/>
      <c r="AO54" s="105"/>
      <c r="AQ54" s="167"/>
      <c r="AS54" s="24"/>
      <c r="AT54" s="8"/>
      <c r="AU54" s="8"/>
      <c r="AV54" s="171"/>
      <c r="AW54" s="25"/>
      <c r="AX54" s="26"/>
      <c r="AY54" s="26"/>
      <c r="AZ54" s="83"/>
      <c r="BA54" s="170"/>
      <c r="BB54" s="10"/>
      <c r="BC54" s="112" t="str">
        <f t="shared" si="21"/>
        <v/>
      </c>
      <c r="BD54" s="112">
        <f t="shared" si="22"/>
        <v>0</v>
      </c>
      <c r="BE54" s="112">
        <f t="shared" si="23"/>
        <v>0</v>
      </c>
      <c r="BF54" s="112">
        <f t="shared" si="24"/>
        <v>0</v>
      </c>
      <c r="BG54" s="112">
        <f t="shared" si="25"/>
        <v>0</v>
      </c>
      <c r="BI54" s="173"/>
      <c r="BJ54" s="15">
        <f t="shared" si="12"/>
        <v>0</v>
      </c>
      <c r="BK54" s="15" t="str">
        <f t="shared" si="7"/>
        <v/>
      </c>
      <c r="BL54" s="15" t="str">
        <f t="shared" si="8"/>
        <v/>
      </c>
      <c r="BM54" s="113" t="str">
        <f t="shared" si="13"/>
        <v/>
      </c>
      <c r="BN54" s="112">
        <f t="shared" si="14"/>
        <v>0</v>
      </c>
      <c r="BO54" s="10"/>
    </row>
    <row r="55" spans="1:67" hidden="1">
      <c r="A55" s="1" t="b">
        <f t="shared" si="9"/>
        <v>0</v>
      </c>
      <c r="B55" s="88" t="str">
        <f>[2]陸連登録!N50</f>
        <v/>
      </c>
      <c r="C55" s="1" t="b">
        <f t="shared" si="10"/>
        <v>0</v>
      </c>
      <c r="D55" s="89"/>
      <c r="E55" s="226"/>
      <c r="F55" s="227"/>
      <c r="G55" s="228"/>
      <c r="H55" s="229"/>
      <c r="I55" s="230"/>
      <c r="J55" s="231"/>
      <c r="K55" s="232"/>
      <c r="L55" s="233"/>
      <c r="M55" s="228"/>
      <c r="N55" s="234"/>
      <c r="O55" s="90"/>
      <c r="P55" s="91" t="str">
        <f t="shared" si="19"/>
        <v/>
      </c>
      <c r="Q55" s="114"/>
      <c r="R55" s="115">
        <v>0</v>
      </c>
      <c r="S55" s="116">
        <v>2</v>
      </c>
      <c r="T55" s="90"/>
      <c r="U55" s="91" t="str">
        <f t="shared" si="20"/>
        <v/>
      </c>
      <c r="V55" s="117"/>
      <c r="W55" s="115">
        <v>0</v>
      </c>
      <c r="X55" s="116">
        <v>2</v>
      </c>
      <c r="Y55" s="118"/>
      <c r="Z55" s="119" t="str">
        <f>IF(Y55="","",IF(I55=1,VLOOKUP(Y55,[2]男子種目コード!$A$1:$B$33,2,FALSE),IF(I55=2,VLOOKUP(Y55,[2]女子種目コード!$A$36:$B$66,2,FALSE))))</f>
        <v/>
      </c>
      <c r="AA55" s="114" t="str">
        <f>IF(Y55="","",HLOOKUP(Y55,#REF!,50,FALSE))</f>
        <v/>
      </c>
      <c r="AB55" s="115">
        <v>0</v>
      </c>
      <c r="AC55" s="116">
        <v>2</v>
      </c>
      <c r="AD55" s="97"/>
      <c r="AE55" s="98" t="str">
        <f t="shared" si="15"/>
        <v/>
      </c>
      <c r="AF55" s="120"/>
      <c r="AG55" s="121">
        <v>0</v>
      </c>
      <c r="AH55" s="121">
        <v>2</v>
      </c>
      <c r="AI55" s="101"/>
      <c r="AJ55" s="102" t="str">
        <f t="shared" si="11"/>
        <v/>
      </c>
      <c r="AK55" s="122"/>
      <c r="AL55" s="104">
        <v>0</v>
      </c>
      <c r="AM55" s="123">
        <v>2</v>
      </c>
      <c r="AN55" s="105"/>
      <c r="AO55" s="105"/>
      <c r="AQ55" s="167"/>
      <c r="AS55" s="24"/>
      <c r="AT55" s="8"/>
      <c r="AU55" s="8"/>
      <c r="AV55" s="171"/>
      <c r="AW55" s="25"/>
      <c r="AX55" s="26"/>
      <c r="AY55" s="26"/>
      <c r="AZ55" s="83"/>
      <c r="BA55" s="170"/>
      <c r="BB55" s="10"/>
      <c r="BC55" s="112" t="str">
        <f t="shared" si="21"/>
        <v/>
      </c>
      <c r="BD55" s="112">
        <f t="shared" si="22"/>
        <v>0</v>
      </c>
      <c r="BE55" s="112">
        <f t="shared" si="23"/>
        <v>0</v>
      </c>
      <c r="BF55" s="112">
        <f t="shared" si="24"/>
        <v>0</v>
      </c>
      <c r="BG55" s="112">
        <f t="shared" si="25"/>
        <v>0</v>
      </c>
      <c r="BI55" s="173"/>
      <c r="BJ55" s="15">
        <f t="shared" si="12"/>
        <v>0</v>
      </c>
      <c r="BK55" s="15" t="str">
        <f t="shared" si="7"/>
        <v/>
      </c>
      <c r="BL55" s="15" t="str">
        <f t="shared" si="8"/>
        <v/>
      </c>
      <c r="BM55" s="113" t="str">
        <f t="shared" si="13"/>
        <v/>
      </c>
      <c r="BN55" s="112">
        <f t="shared" si="14"/>
        <v>0</v>
      </c>
      <c r="BO55" s="10"/>
    </row>
    <row r="56" spans="1:67" hidden="1">
      <c r="A56" s="1" t="b">
        <f t="shared" si="9"/>
        <v>0</v>
      </c>
      <c r="B56" s="88" t="str">
        <f>[2]陸連登録!N51</f>
        <v/>
      </c>
      <c r="C56" s="1" t="b">
        <f t="shared" si="10"/>
        <v>0</v>
      </c>
      <c r="D56" s="89"/>
      <c r="E56" s="226"/>
      <c r="F56" s="227"/>
      <c r="G56" s="228"/>
      <c r="H56" s="229"/>
      <c r="I56" s="230"/>
      <c r="J56" s="231"/>
      <c r="K56" s="232"/>
      <c r="L56" s="233"/>
      <c r="M56" s="228"/>
      <c r="N56" s="234"/>
      <c r="O56" s="90"/>
      <c r="P56" s="91" t="str">
        <f t="shared" si="19"/>
        <v/>
      </c>
      <c r="Q56" s="114"/>
      <c r="R56" s="115">
        <v>0</v>
      </c>
      <c r="S56" s="116">
        <v>2</v>
      </c>
      <c r="T56" s="90"/>
      <c r="U56" s="91" t="str">
        <f t="shared" si="20"/>
        <v/>
      </c>
      <c r="V56" s="117"/>
      <c r="W56" s="115">
        <v>0</v>
      </c>
      <c r="X56" s="116">
        <v>2</v>
      </c>
      <c r="Y56" s="118"/>
      <c r="Z56" s="119" t="str">
        <f>IF(Y56="","",IF(I56=1,VLOOKUP(Y56,[2]男子種目コード!$A$1:$B$33,2,FALSE),IF(I56=2,VLOOKUP(Y56,[2]女子種目コード!$A$36:$B$66,2,FALSE))))</f>
        <v/>
      </c>
      <c r="AA56" s="114" t="str">
        <f>IF(Y56="","",HLOOKUP(Y56,#REF!,51,FALSE))</f>
        <v/>
      </c>
      <c r="AB56" s="115">
        <v>0</v>
      </c>
      <c r="AC56" s="116">
        <v>2</v>
      </c>
      <c r="AD56" s="97"/>
      <c r="AE56" s="98" t="str">
        <f t="shared" si="15"/>
        <v/>
      </c>
      <c r="AF56" s="120"/>
      <c r="AG56" s="121">
        <v>0</v>
      </c>
      <c r="AH56" s="121">
        <v>2</v>
      </c>
      <c r="AI56" s="101"/>
      <c r="AJ56" s="102" t="str">
        <f t="shared" si="11"/>
        <v/>
      </c>
      <c r="AK56" s="122"/>
      <c r="AL56" s="104">
        <v>0</v>
      </c>
      <c r="AM56" s="123">
        <v>2</v>
      </c>
      <c r="AN56" s="105"/>
      <c r="AO56" s="105"/>
      <c r="AQ56" s="167"/>
      <c r="AS56" s="24"/>
      <c r="AT56" s="8"/>
      <c r="AU56" s="8"/>
      <c r="AV56" s="171"/>
      <c r="AW56" s="25"/>
      <c r="AX56" s="26"/>
      <c r="AY56" s="26"/>
      <c r="AZ56" s="83"/>
      <c r="BA56" s="170"/>
      <c r="BB56" s="10"/>
      <c r="BC56" s="112" t="str">
        <f t="shared" si="21"/>
        <v/>
      </c>
      <c r="BD56" s="112">
        <f t="shared" si="22"/>
        <v>0</v>
      </c>
      <c r="BE56" s="112">
        <f t="shared" si="23"/>
        <v>0</v>
      </c>
      <c r="BF56" s="112">
        <f t="shared" si="24"/>
        <v>0</v>
      </c>
      <c r="BG56" s="112">
        <f t="shared" si="25"/>
        <v>0</v>
      </c>
      <c r="BI56" s="173"/>
      <c r="BJ56" s="15">
        <f t="shared" si="12"/>
        <v>0</v>
      </c>
      <c r="BK56" s="15" t="str">
        <f t="shared" si="7"/>
        <v/>
      </c>
      <c r="BL56" s="15" t="str">
        <f t="shared" si="8"/>
        <v/>
      </c>
      <c r="BM56" s="113" t="str">
        <f t="shared" si="13"/>
        <v/>
      </c>
      <c r="BN56" s="112">
        <f t="shared" si="14"/>
        <v>0</v>
      </c>
      <c r="BO56" s="10"/>
    </row>
    <row r="57" spans="1:67" hidden="1">
      <c r="A57" s="1" t="b">
        <f t="shared" si="9"/>
        <v>0</v>
      </c>
      <c r="B57" s="88" t="str">
        <f>[2]陸連登録!N52</f>
        <v/>
      </c>
      <c r="C57" s="1" t="b">
        <f t="shared" si="10"/>
        <v>0</v>
      </c>
      <c r="D57" s="89"/>
      <c r="E57" s="226"/>
      <c r="F57" s="227"/>
      <c r="G57" s="228"/>
      <c r="H57" s="229"/>
      <c r="I57" s="230"/>
      <c r="J57" s="231"/>
      <c r="K57" s="232"/>
      <c r="L57" s="233"/>
      <c r="M57" s="228"/>
      <c r="N57" s="234"/>
      <c r="O57" s="90"/>
      <c r="P57" s="91" t="str">
        <f t="shared" si="19"/>
        <v/>
      </c>
      <c r="Q57" s="114"/>
      <c r="R57" s="115">
        <v>0</v>
      </c>
      <c r="S57" s="116">
        <v>2</v>
      </c>
      <c r="T57" s="90"/>
      <c r="U57" s="91" t="str">
        <f t="shared" si="20"/>
        <v/>
      </c>
      <c r="V57" s="117"/>
      <c r="W57" s="115">
        <v>0</v>
      </c>
      <c r="X57" s="116">
        <v>2</v>
      </c>
      <c r="Y57" s="118"/>
      <c r="Z57" s="119" t="str">
        <f>IF(Y57="","",IF(I57=1,VLOOKUP(Y57,[2]男子種目コード!$A$1:$B$33,2,FALSE),IF(I57=2,VLOOKUP(Y57,[2]女子種目コード!$A$36:$B$66,2,FALSE))))</f>
        <v/>
      </c>
      <c r="AA57" s="114" t="str">
        <f>IF(Y57="","",HLOOKUP(Y57,#REF!,52,FALSE))</f>
        <v/>
      </c>
      <c r="AB57" s="115">
        <v>0</v>
      </c>
      <c r="AC57" s="116">
        <v>2</v>
      </c>
      <c r="AD57" s="97"/>
      <c r="AE57" s="98" t="str">
        <f t="shared" si="15"/>
        <v/>
      </c>
      <c r="AF57" s="120"/>
      <c r="AG57" s="121">
        <v>0</v>
      </c>
      <c r="AH57" s="121">
        <v>2</v>
      </c>
      <c r="AI57" s="101"/>
      <c r="AJ57" s="102" t="str">
        <f t="shared" si="11"/>
        <v/>
      </c>
      <c r="AK57" s="122"/>
      <c r="AL57" s="104">
        <v>0</v>
      </c>
      <c r="AM57" s="123">
        <v>2</v>
      </c>
      <c r="AN57" s="105"/>
      <c r="AO57" s="105"/>
      <c r="AQ57" s="167"/>
      <c r="AS57" s="24"/>
      <c r="AT57" s="8"/>
      <c r="AU57" s="8"/>
      <c r="AV57" s="171"/>
      <c r="AW57" s="25"/>
      <c r="AX57" s="26"/>
      <c r="AY57" s="26"/>
      <c r="AZ57" s="83"/>
      <c r="BA57" s="170"/>
      <c r="BB57" s="10"/>
      <c r="BC57" s="112" t="str">
        <f t="shared" si="21"/>
        <v/>
      </c>
      <c r="BD57" s="112">
        <f t="shared" si="22"/>
        <v>0</v>
      </c>
      <c r="BE57" s="112">
        <f t="shared" si="23"/>
        <v>0</v>
      </c>
      <c r="BF57" s="112">
        <f t="shared" si="24"/>
        <v>0</v>
      </c>
      <c r="BG57" s="112">
        <f t="shared" si="25"/>
        <v>0</v>
      </c>
      <c r="BI57" s="173"/>
      <c r="BJ57" s="15">
        <f t="shared" si="12"/>
        <v>0</v>
      </c>
      <c r="BK57" s="15" t="str">
        <f t="shared" si="7"/>
        <v/>
      </c>
      <c r="BL57" s="15" t="str">
        <f t="shared" si="8"/>
        <v/>
      </c>
      <c r="BM57" s="113" t="str">
        <f t="shared" si="13"/>
        <v/>
      </c>
      <c r="BN57" s="112">
        <f t="shared" si="14"/>
        <v>0</v>
      </c>
      <c r="BO57" s="10"/>
    </row>
    <row r="58" spans="1:67" hidden="1">
      <c r="A58" s="1" t="b">
        <f t="shared" si="9"/>
        <v>0</v>
      </c>
      <c r="B58" s="88" t="str">
        <f>[2]陸連登録!N53</f>
        <v/>
      </c>
      <c r="C58" s="1" t="b">
        <f t="shared" si="10"/>
        <v>0</v>
      </c>
      <c r="D58" s="89"/>
      <c r="E58" s="226"/>
      <c r="F58" s="227"/>
      <c r="G58" s="228"/>
      <c r="H58" s="229"/>
      <c r="I58" s="230"/>
      <c r="J58" s="231"/>
      <c r="K58" s="232"/>
      <c r="L58" s="233"/>
      <c r="M58" s="228"/>
      <c r="N58" s="234"/>
      <c r="O58" s="90"/>
      <c r="P58" s="91" t="str">
        <f t="shared" si="19"/>
        <v/>
      </c>
      <c r="Q58" s="114"/>
      <c r="R58" s="115">
        <v>0</v>
      </c>
      <c r="S58" s="116">
        <v>2</v>
      </c>
      <c r="T58" s="90"/>
      <c r="U58" s="91" t="str">
        <f t="shared" si="20"/>
        <v/>
      </c>
      <c r="V58" s="117"/>
      <c r="W58" s="115">
        <v>0</v>
      </c>
      <c r="X58" s="116">
        <v>2</v>
      </c>
      <c r="Y58" s="118"/>
      <c r="Z58" s="119" t="str">
        <f>IF(Y58="","",IF(I58=1,VLOOKUP(Y58,[2]男子種目コード!$A$1:$B$33,2,FALSE),IF(I58=2,VLOOKUP(Y58,[2]女子種目コード!$A$36:$B$66,2,FALSE))))</f>
        <v/>
      </c>
      <c r="AA58" s="114" t="str">
        <f>IF(Y58="","",HLOOKUP(Y58,#REF!,53,FALSE))</f>
        <v/>
      </c>
      <c r="AB58" s="115">
        <v>0</v>
      </c>
      <c r="AC58" s="116">
        <v>2</v>
      </c>
      <c r="AD58" s="97"/>
      <c r="AE58" s="98" t="str">
        <f t="shared" si="15"/>
        <v/>
      </c>
      <c r="AF58" s="120"/>
      <c r="AG58" s="121">
        <v>0</v>
      </c>
      <c r="AH58" s="121">
        <v>2</v>
      </c>
      <c r="AI58" s="101"/>
      <c r="AJ58" s="102" t="str">
        <f t="shared" si="11"/>
        <v/>
      </c>
      <c r="AK58" s="122"/>
      <c r="AL58" s="104">
        <v>0</v>
      </c>
      <c r="AM58" s="123">
        <v>2</v>
      </c>
      <c r="AN58" s="105"/>
      <c r="AO58" s="105"/>
      <c r="AQ58" s="167"/>
      <c r="AS58" s="24"/>
      <c r="AT58" s="8"/>
      <c r="AU58" s="8"/>
      <c r="AV58" s="171"/>
      <c r="AW58" s="25"/>
      <c r="AX58" s="26"/>
      <c r="AY58" s="26"/>
      <c r="AZ58" s="83"/>
      <c r="BA58" s="170"/>
      <c r="BB58" s="10"/>
      <c r="BC58" s="112" t="str">
        <f t="shared" si="21"/>
        <v/>
      </c>
      <c r="BD58" s="112">
        <f t="shared" si="22"/>
        <v>0</v>
      </c>
      <c r="BE58" s="112">
        <f t="shared" si="23"/>
        <v>0</v>
      </c>
      <c r="BF58" s="112">
        <f t="shared" si="24"/>
        <v>0</v>
      </c>
      <c r="BG58" s="112">
        <f t="shared" si="25"/>
        <v>0</v>
      </c>
      <c r="BI58" s="173"/>
      <c r="BJ58" s="15">
        <f t="shared" si="12"/>
        <v>0</v>
      </c>
      <c r="BK58" s="15" t="str">
        <f t="shared" si="7"/>
        <v/>
      </c>
      <c r="BL58" s="15" t="str">
        <f t="shared" si="8"/>
        <v/>
      </c>
      <c r="BM58" s="113" t="str">
        <f t="shared" si="13"/>
        <v/>
      </c>
      <c r="BN58" s="112">
        <f t="shared" si="14"/>
        <v>0</v>
      </c>
      <c r="BO58" s="10"/>
    </row>
    <row r="59" spans="1:67" hidden="1">
      <c r="A59" s="1" t="b">
        <f t="shared" si="9"/>
        <v>0</v>
      </c>
      <c r="B59" s="88" t="str">
        <f>[2]陸連登録!N54</f>
        <v/>
      </c>
      <c r="C59" s="1" t="b">
        <f t="shared" si="10"/>
        <v>0</v>
      </c>
      <c r="D59" s="89"/>
      <c r="E59" s="226"/>
      <c r="F59" s="227"/>
      <c r="G59" s="228"/>
      <c r="H59" s="229"/>
      <c r="I59" s="230"/>
      <c r="J59" s="231"/>
      <c r="K59" s="232"/>
      <c r="L59" s="233"/>
      <c r="M59" s="228"/>
      <c r="N59" s="234"/>
      <c r="O59" s="90"/>
      <c r="P59" s="91" t="str">
        <f t="shared" si="19"/>
        <v/>
      </c>
      <c r="Q59" s="114"/>
      <c r="R59" s="115">
        <v>0</v>
      </c>
      <c r="S59" s="116">
        <v>2</v>
      </c>
      <c r="T59" s="90"/>
      <c r="U59" s="91" t="str">
        <f t="shared" si="20"/>
        <v/>
      </c>
      <c r="V59" s="117"/>
      <c r="W59" s="115">
        <v>0</v>
      </c>
      <c r="X59" s="116">
        <v>2</v>
      </c>
      <c r="Y59" s="118"/>
      <c r="Z59" s="119" t="str">
        <f>IF(Y59="","",IF(I59=1,VLOOKUP(Y59,[2]男子種目コード!$A$1:$B$33,2,FALSE),IF(I59=2,VLOOKUP(Y59,[2]女子種目コード!$A$36:$B$66,2,FALSE))))</f>
        <v/>
      </c>
      <c r="AA59" s="114" t="str">
        <f>IF(Y59="","",HLOOKUP(Y59,#REF!,54,FALSE))</f>
        <v/>
      </c>
      <c r="AB59" s="115">
        <v>0</v>
      </c>
      <c r="AC59" s="116">
        <v>2</v>
      </c>
      <c r="AD59" s="97"/>
      <c r="AE59" s="98" t="str">
        <f t="shared" si="15"/>
        <v/>
      </c>
      <c r="AF59" s="120"/>
      <c r="AG59" s="121">
        <v>0</v>
      </c>
      <c r="AH59" s="121">
        <v>2</v>
      </c>
      <c r="AI59" s="101"/>
      <c r="AJ59" s="102" t="str">
        <f t="shared" si="11"/>
        <v/>
      </c>
      <c r="AK59" s="122"/>
      <c r="AL59" s="104">
        <v>0</v>
      </c>
      <c r="AM59" s="123">
        <v>2</v>
      </c>
      <c r="AN59" s="105"/>
      <c r="AO59" s="105"/>
      <c r="AQ59" s="167"/>
      <c r="AS59" s="24"/>
      <c r="AT59" s="8"/>
      <c r="AU59" s="8"/>
      <c r="AV59" s="171"/>
      <c r="AW59" s="25"/>
      <c r="AX59" s="26"/>
      <c r="AY59" s="26"/>
      <c r="AZ59" s="83"/>
      <c r="BA59" s="170"/>
      <c r="BB59" s="10"/>
      <c r="BC59" s="112" t="str">
        <f t="shared" si="21"/>
        <v/>
      </c>
      <c r="BD59" s="112">
        <f t="shared" si="22"/>
        <v>0</v>
      </c>
      <c r="BE59" s="112">
        <f t="shared" si="23"/>
        <v>0</v>
      </c>
      <c r="BF59" s="112">
        <f t="shared" si="24"/>
        <v>0</v>
      </c>
      <c r="BG59" s="112">
        <f t="shared" si="25"/>
        <v>0</v>
      </c>
      <c r="BI59" s="173"/>
      <c r="BJ59" s="15">
        <f t="shared" si="12"/>
        <v>0</v>
      </c>
      <c r="BK59" s="15" t="str">
        <f t="shared" si="7"/>
        <v/>
      </c>
      <c r="BL59" s="15" t="str">
        <f t="shared" si="8"/>
        <v/>
      </c>
      <c r="BM59" s="113" t="str">
        <f t="shared" si="13"/>
        <v/>
      </c>
      <c r="BN59" s="112">
        <f t="shared" si="14"/>
        <v>0</v>
      </c>
      <c r="BO59" s="10"/>
    </row>
    <row r="60" spans="1:67" hidden="1">
      <c r="A60" s="1" t="b">
        <f t="shared" si="9"/>
        <v>0</v>
      </c>
      <c r="B60" s="88" t="str">
        <f>[2]陸連登録!N55</f>
        <v/>
      </c>
      <c r="C60" s="1" t="b">
        <f t="shared" si="10"/>
        <v>0</v>
      </c>
      <c r="D60" s="89"/>
      <c r="E60" s="226"/>
      <c r="F60" s="227"/>
      <c r="G60" s="228"/>
      <c r="H60" s="229"/>
      <c r="I60" s="230"/>
      <c r="J60" s="231"/>
      <c r="K60" s="232"/>
      <c r="L60" s="233"/>
      <c r="M60" s="228"/>
      <c r="N60" s="234"/>
      <c r="O60" s="90"/>
      <c r="P60" s="91" t="str">
        <f t="shared" si="19"/>
        <v/>
      </c>
      <c r="Q60" s="114"/>
      <c r="R60" s="115">
        <v>0</v>
      </c>
      <c r="S60" s="116">
        <v>2</v>
      </c>
      <c r="T60" s="90"/>
      <c r="U60" s="91" t="str">
        <f t="shared" si="20"/>
        <v/>
      </c>
      <c r="V60" s="117"/>
      <c r="W60" s="115">
        <v>0</v>
      </c>
      <c r="X60" s="116">
        <v>2</v>
      </c>
      <c r="Y60" s="118"/>
      <c r="Z60" s="119" t="str">
        <f>IF(Y60="","",IF(I60=1,VLOOKUP(Y60,[2]男子種目コード!$A$1:$B$33,2,FALSE),IF(I60=2,VLOOKUP(Y60,[2]女子種目コード!$A$36:$B$66,2,FALSE))))</f>
        <v/>
      </c>
      <c r="AA60" s="114" t="str">
        <f>IF(Y60="","",HLOOKUP(Y60,#REF!,55,FALSE))</f>
        <v/>
      </c>
      <c r="AB60" s="115">
        <v>0</v>
      </c>
      <c r="AC60" s="116">
        <v>2</v>
      </c>
      <c r="AD60" s="97"/>
      <c r="AE60" s="98" t="str">
        <f t="shared" si="15"/>
        <v/>
      </c>
      <c r="AF60" s="120"/>
      <c r="AG60" s="121">
        <v>0</v>
      </c>
      <c r="AH60" s="121">
        <v>2</v>
      </c>
      <c r="AI60" s="101"/>
      <c r="AJ60" s="102" t="str">
        <f t="shared" si="11"/>
        <v/>
      </c>
      <c r="AK60" s="122"/>
      <c r="AL60" s="104">
        <v>0</v>
      </c>
      <c r="AM60" s="123">
        <v>2</v>
      </c>
      <c r="AN60" s="105"/>
      <c r="AO60" s="105"/>
      <c r="AQ60" s="167"/>
      <c r="AS60" s="24"/>
      <c r="AT60" s="8"/>
      <c r="AU60" s="8"/>
      <c r="AV60" s="171"/>
      <c r="AW60" s="25"/>
      <c r="AX60" s="26"/>
      <c r="AY60" s="26"/>
      <c r="AZ60" s="83"/>
      <c r="BA60" s="170"/>
      <c r="BB60" s="10"/>
      <c r="BC60" s="112" t="str">
        <f t="shared" si="21"/>
        <v/>
      </c>
      <c r="BD60" s="112">
        <f t="shared" si="22"/>
        <v>0</v>
      </c>
      <c r="BE60" s="112">
        <f t="shared" si="23"/>
        <v>0</v>
      </c>
      <c r="BF60" s="112">
        <f t="shared" si="24"/>
        <v>0</v>
      </c>
      <c r="BG60" s="112">
        <f t="shared" si="25"/>
        <v>0</v>
      </c>
      <c r="BI60" s="173"/>
      <c r="BJ60" s="15">
        <f t="shared" si="12"/>
        <v>0</v>
      </c>
      <c r="BK60" s="15" t="str">
        <f t="shared" si="7"/>
        <v/>
      </c>
      <c r="BL60" s="15" t="str">
        <f t="shared" si="8"/>
        <v/>
      </c>
      <c r="BM60" s="113" t="str">
        <f t="shared" si="13"/>
        <v/>
      </c>
      <c r="BN60" s="112">
        <f t="shared" si="14"/>
        <v>0</v>
      </c>
      <c r="BO60" s="10"/>
    </row>
    <row r="61" spans="1:67" hidden="1">
      <c r="A61" s="1" t="b">
        <f t="shared" si="9"/>
        <v>0</v>
      </c>
      <c r="B61" s="88" t="str">
        <f>[2]陸連登録!N56</f>
        <v/>
      </c>
      <c r="C61" s="1" t="b">
        <f t="shared" si="10"/>
        <v>0</v>
      </c>
      <c r="D61" s="89"/>
      <c r="E61" s="226"/>
      <c r="F61" s="227"/>
      <c r="G61" s="228"/>
      <c r="H61" s="229"/>
      <c r="I61" s="230"/>
      <c r="J61" s="231"/>
      <c r="K61" s="232"/>
      <c r="L61" s="233"/>
      <c r="M61" s="228"/>
      <c r="N61" s="234"/>
      <c r="O61" s="90"/>
      <c r="P61" s="91" t="str">
        <f t="shared" si="19"/>
        <v/>
      </c>
      <c r="Q61" s="114"/>
      <c r="R61" s="115">
        <v>0</v>
      </c>
      <c r="S61" s="116">
        <v>2</v>
      </c>
      <c r="T61" s="90"/>
      <c r="U61" s="91" t="str">
        <f t="shared" si="20"/>
        <v/>
      </c>
      <c r="V61" s="117"/>
      <c r="W61" s="115">
        <v>0</v>
      </c>
      <c r="X61" s="116">
        <v>2</v>
      </c>
      <c r="Y61" s="118"/>
      <c r="Z61" s="119" t="str">
        <f>IF(Y61="","",IF(I61=1,VLOOKUP(Y61,[2]男子種目コード!$A$1:$B$33,2,FALSE),IF(I61=2,VLOOKUP(Y61,[2]女子種目コード!$A$36:$B$66,2,FALSE))))</f>
        <v/>
      </c>
      <c r="AA61" s="114" t="str">
        <f>IF(Y61="","",HLOOKUP(Y61,#REF!,56,FALSE))</f>
        <v/>
      </c>
      <c r="AB61" s="115">
        <v>0</v>
      </c>
      <c r="AC61" s="116">
        <v>2</v>
      </c>
      <c r="AD61" s="97"/>
      <c r="AE61" s="98" t="str">
        <f t="shared" si="15"/>
        <v/>
      </c>
      <c r="AF61" s="120"/>
      <c r="AG61" s="121">
        <v>0</v>
      </c>
      <c r="AH61" s="121">
        <v>2</v>
      </c>
      <c r="AI61" s="101"/>
      <c r="AJ61" s="102" t="str">
        <f t="shared" si="11"/>
        <v/>
      </c>
      <c r="AK61" s="122"/>
      <c r="AL61" s="104">
        <v>0</v>
      </c>
      <c r="AM61" s="123">
        <v>2</v>
      </c>
      <c r="AN61" s="105"/>
      <c r="AO61" s="105"/>
      <c r="AQ61" s="167"/>
      <c r="AS61" s="24"/>
      <c r="AT61" s="8"/>
      <c r="AU61" s="8"/>
      <c r="AV61" s="171"/>
      <c r="AW61" s="25"/>
      <c r="AX61" s="26"/>
      <c r="AY61" s="26"/>
      <c r="AZ61" s="83"/>
      <c r="BA61" s="170"/>
      <c r="BB61" s="10"/>
      <c r="BC61" s="112" t="str">
        <f t="shared" si="21"/>
        <v/>
      </c>
      <c r="BD61" s="112">
        <f t="shared" si="22"/>
        <v>0</v>
      </c>
      <c r="BE61" s="112">
        <f t="shared" si="23"/>
        <v>0</v>
      </c>
      <c r="BF61" s="112">
        <f t="shared" si="24"/>
        <v>0</v>
      </c>
      <c r="BG61" s="112">
        <f t="shared" si="25"/>
        <v>0</v>
      </c>
      <c r="BI61" s="173"/>
      <c r="BJ61" s="15">
        <f t="shared" si="12"/>
        <v>0</v>
      </c>
      <c r="BK61" s="15" t="str">
        <f t="shared" si="7"/>
        <v/>
      </c>
      <c r="BL61" s="15" t="str">
        <f t="shared" si="8"/>
        <v/>
      </c>
      <c r="BM61" s="113" t="str">
        <f t="shared" si="13"/>
        <v/>
      </c>
      <c r="BN61" s="112">
        <f t="shared" si="14"/>
        <v>0</v>
      </c>
      <c r="BO61" s="10"/>
    </row>
    <row r="62" spans="1:67" hidden="1">
      <c r="A62" s="1" t="b">
        <f t="shared" si="9"/>
        <v>0</v>
      </c>
      <c r="B62" s="88" t="str">
        <f>[2]陸連登録!N57</f>
        <v/>
      </c>
      <c r="C62" s="1" t="b">
        <f t="shared" si="10"/>
        <v>0</v>
      </c>
      <c r="D62" s="89"/>
      <c r="E62" s="226"/>
      <c r="F62" s="227"/>
      <c r="G62" s="228"/>
      <c r="H62" s="229"/>
      <c r="I62" s="230"/>
      <c r="J62" s="231"/>
      <c r="K62" s="232"/>
      <c r="L62" s="233"/>
      <c r="M62" s="228"/>
      <c r="N62" s="234"/>
      <c r="O62" s="90"/>
      <c r="P62" s="91" t="str">
        <f t="shared" si="19"/>
        <v/>
      </c>
      <c r="Q62" s="114"/>
      <c r="R62" s="115">
        <v>0</v>
      </c>
      <c r="S62" s="116">
        <v>2</v>
      </c>
      <c r="T62" s="90"/>
      <c r="U62" s="91" t="str">
        <f t="shared" si="20"/>
        <v/>
      </c>
      <c r="V62" s="117"/>
      <c r="W62" s="115">
        <v>0</v>
      </c>
      <c r="X62" s="116">
        <v>2</v>
      </c>
      <c r="Y62" s="118"/>
      <c r="Z62" s="119" t="str">
        <f>IF(Y62="","",IF(I62=1,VLOOKUP(Y62,[2]男子種目コード!$A$1:$B$33,2,FALSE),IF(I62=2,VLOOKUP(Y62,[2]女子種目コード!$A$36:$B$66,2,FALSE))))</f>
        <v/>
      </c>
      <c r="AA62" s="114" t="str">
        <f>IF(Y62="","",HLOOKUP(Y62,#REF!,57,FALSE))</f>
        <v/>
      </c>
      <c r="AB62" s="115">
        <v>0</v>
      </c>
      <c r="AC62" s="116">
        <v>2</v>
      </c>
      <c r="AD62" s="97"/>
      <c r="AE62" s="98" t="str">
        <f t="shared" si="15"/>
        <v/>
      </c>
      <c r="AF62" s="120"/>
      <c r="AG62" s="121">
        <v>0</v>
      </c>
      <c r="AH62" s="121">
        <v>2</v>
      </c>
      <c r="AI62" s="101"/>
      <c r="AJ62" s="102" t="str">
        <f t="shared" si="11"/>
        <v/>
      </c>
      <c r="AK62" s="122"/>
      <c r="AL62" s="104">
        <v>0</v>
      </c>
      <c r="AM62" s="123">
        <v>2</v>
      </c>
      <c r="AN62" s="105"/>
      <c r="AO62" s="105"/>
      <c r="AQ62" s="167"/>
      <c r="AS62" s="24"/>
      <c r="AT62" s="8"/>
      <c r="AU62" s="8"/>
      <c r="AV62" s="171"/>
      <c r="AW62" s="25"/>
      <c r="AX62" s="26"/>
      <c r="AY62" s="26"/>
      <c r="AZ62" s="83"/>
      <c r="BA62" s="170"/>
      <c r="BB62" s="10"/>
      <c r="BC62" s="112" t="str">
        <f t="shared" si="21"/>
        <v/>
      </c>
      <c r="BD62" s="112">
        <f t="shared" si="22"/>
        <v>0</v>
      </c>
      <c r="BE62" s="112">
        <f t="shared" si="23"/>
        <v>0</v>
      </c>
      <c r="BF62" s="112">
        <f t="shared" si="24"/>
        <v>0</v>
      </c>
      <c r="BG62" s="112">
        <f t="shared" si="25"/>
        <v>0</v>
      </c>
      <c r="BI62" s="173"/>
      <c r="BJ62" s="15">
        <f t="shared" si="12"/>
        <v>0</v>
      </c>
      <c r="BK62" s="15" t="str">
        <f t="shared" si="7"/>
        <v/>
      </c>
      <c r="BL62" s="15" t="str">
        <f t="shared" si="8"/>
        <v/>
      </c>
      <c r="BM62" s="113" t="str">
        <f t="shared" si="13"/>
        <v/>
      </c>
      <c r="BN62" s="112">
        <f t="shared" si="14"/>
        <v>0</v>
      </c>
      <c r="BO62" s="10"/>
    </row>
    <row r="63" spans="1:67" hidden="1">
      <c r="A63" s="1" t="b">
        <f t="shared" si="9"/>
        <v>0</v>
      </c>
      <c r="B63" s="88" t="str">
        <f>[2]陸連登録!N58</f>
        <v/>
      </c>
      <c r="C63" s="1" t="b">
        <f t="shared" si="10"/>
        <v>0</v>
      </c>
      <c r="D63" s="89"/>
      <c r="E63" s="226"/>
      <c r="F63" s="227"/>
      <c r="G63" s="228"/>
      <c r="H63" s="229"/>
      <c r="I63" s="230"/>
      <c r="J63" s="231"/>
      <c r="K63" s="232"/>
      <c r="L63" s="233"/>
      <c r="M63" s="228"/>
      <c r="N63" s="234"/>
      <c r="O63" s="90"/>
      <c r="P63" s="91" t="str">
        <f t="shared" si="19"/>
        <v/>
      </c>
      <c r="Q63" s="114"/>
      <c r="R63" s="115">
        <v>0</v>
      </c>
      <c r="S63" s="116">
        <v>2</v>
      </c>
      <c r="T63" s="90"/>
      <c r="U63" s="91" t="str">
        <f t="shared" si="20"/>
        <v/>
      </c>
      <c r="V63" s="117"/>
      <c r="W63" s="115">
        <v>0</v>
      </c>
      <c r="X63" s="116">
        <v>2</v>
      </c>
      <c r="Y63" s="118"/>
      <c r="Z63" s="119" t="str">
        <f>IF(Y63="","",IF(I63=1,VLOOKUP(Y63,[2]男子種目コード!$A$1:$B$33,2,FALSE),IF(I63=2,VLOOKUP(Y63,[2]女子種目コード!$A$36:$B$66,2,FALSE))))</f>
        <v/>
      </c>
      <c r="AA63" s="114" t="str">
        <f>IF(Y63="","",HLOOKUP(Y63,#REF!,58,FALSE))</f>
        <v/>
      </c>
      <c r="AB63" s="115">
        <v>0</v>
      </c>
      <c r="AC63" s="116">
        <v>2</v>
      </c>
      <c r="AD63" s="97"/>
      <c r="AE63" s="98" t="str">
        <f t="shared" si="15"/>
        <v/>
      </c>
      <c r="AF63" s="120"/>
      <c r="AG63" s="121">
        <v>0</v>
      </c>
      <c r="AH63" s="121">
        <v>2</v>
      </c>
      <c r="AI63" s="101"/>
      <c r="AJ63" s="102" t="str">
        <f t="shared" si="11"/>
        <v/>
      </c>
      <c r="AK63" s="122"/>
      <c r="AL63" s="104">
        <v>0</v>
      </c>
      <c r="AM63" s="123">
        <v>2</v>
      </c>
      <c r="AN63" s="105"/>
      <c r="AO63" s="105"/>
      <c r="AQ63" s="167"/>
      <c r="AS63" s="24"/>
      <c r="AT63" s="8"/>
      <c r="AU63" s="8"/>
      <c r="AV63" s="171"/>
      <c r="AW63" s="25"/>
      <c r="AX63" s="26"/>
      <c r="AY63" s="26"/>
      <c r="AZ63" s="83"/>
      <c r="BA63" s="170"/>
      <c r="BB63" s="10"/>
      <c r="BC63" s="112" t="str">
        <f t="shared" si="21"/>
        <v/>
      </c>
      <c r="BD63" s="112">
        <f t="shared" si="22"/>
        <v>0</v>
      </c>
      <c r="BE63" s="112">
        <f t="shared" si="23"/>
        <v>0</v>
      </c>
      <c r="BF63" s="112">
        <f t="shared" si="24"/>
        <v>0</v>
      </c>
      <c r="BG63" s="112">
        <f t="shared" si="25"/>
        <v>0</v>
      </c>
      <c r="BI63" s="173"/>
      <c r="BJ63" s="15">
        <f t="shared" si="12"/>
        <v>0</v>
      </c>
      <c r="BK63" s="15" t="str">
        <f t="shared" si="7"/>
        <v/>
      </c>
      <c r="BL63" s="15" t="str">
        <f t="shared" si="8"/>
        <v/>
      </c>
      <c r="BM63" s="113" t="str">
        <f t="shared" si="13"/>
        <v/>
      </c>
      <c r="BN63" s="112">
        <f t="shared" si="14"/>
        <v>0</v>
      </c>
      <c r="BO63" s="10"/>
    </row>
    <row r="64" spans="1:67" hidden="1">
      <c r="A64" s="1" t="b">
        <f t="shared" si="9"/>
        <v>0</v>
      </c>
      <c r="B64" s="88" t="str">
        <f>[2]陸連登録!N59</f>
        <v/>
      </c>
      <c r="C64" s="1" t="b">
        <f t="shared" si="10"/>
        <v>0</v>
      </c>
      <c r="D64" s="89"/>
      <c r="E64" s="226"/>
      <c r="F64" s="227"/>
      <c r="G64" s="228"/>
      <c r="H64" s="229"/>
      <c r="I64" s="230"/>
      <c r="J64" s="231"/>
      <c r="K64" s="232"/>
      <c r="L64" s="233"/>
      <c r="M64" s="228"/>
      <c r="N64" s="234"/>
      <c r="O64" s="90"/>
      <c r="P64" s="91" t="str">
        <f t="shared" si="19"/>
        <v/>
      </c>
      <c r="Q64" s="114"/>
      <c r="R64" s="115">
        <v>0</v>
      </c>
      <c r="S64" s="116">
        <v>2</v>
      </c>
      <c r="T64" s="90"/>
      <c r="U64" s="91" t="str">
        <f t="shared" si="20"/>
        <v/>
      </c>
      <c r="V64" s="117"/>
      <c r="W64" s="115">
        <v>0</v>
      </c>
      <c r="X64" s="116">
        <v>2</v>
      </c>
      <c r="Y64" s="118"/>
      <c r="Z64" s="119" t="str">
        <f>IF(Y64="","",IF(I64=1,VLOOKUP(Y64,[2]男子種目コード!$A$1:$B$33,2,FALSE),IF(I64=2,VLOOKUP(Y64,[2]女子種目コード!$A$36:$B$66,2,FALSE))))</f>
        <v/>
      </c>
      <c r="AA64" s="114" t="str">
        <f>IF(Y64="","",HLOOKUP(Y64,#REF!,59,FALSE))</f>
        <v/>
      </c>
      <c r="AB64" s="115">
        <v>0</v>
      </c>
      <c r="AC64" s="116">
        <v>2</v>
      </c>
      <c r="AD64" s="97"/>
      <c r="AE64" s="98" t="str">
        <f t="shared" si="15"/>
        <v/>
      </c>
      <c r="AF64" s="120"/>
      <c r="AG64" s="121">
        <v>0</v>
      </c>
      <c r="AH64" s="121">
        <v>2</v>
      </c>
      <c r="AI64" s="101"/>
      <c r="AJ64" s="102" t="str">
        <f t="shared" si="11"/>
        <v/>
      </c>
      <c r="AK64" s="122"/>
      <c r="AL64" s="104">
        <v>0</v>
      </c>
      <c r="AM64" s="123">
        <v>2</v>
      </c>
      <c r="AN64" s="105"/>
      <c r="AO64" s="105"/>
      <c r="AQ64" s="167"/>
      <c r="AS64" s="24"/>
      <c r="AT64" s="8"/>
      <c r="AU64" s="8"/>
      <c r="AV64" s="25"/>
      <c r="AW64" s="25"/>
      <c r="AX64" s="26"/>
      <c r="AY64" s="26"/>
      <c r="AZ64" s="83"/>
      <c r="BA64" s="170"/>
      <c r="BB64" s="10"/>
      <c r="BC64" s="112" t="str">
        <f t="shared" si="21"/>
        <v/>
      </c>
      <c r="BD64" s="112">
        <f t="shared" si="22"/>
        <v>0</v>
      </c>
      <c r="BE64" s="112">
        <f t="shared" si="23"/>
        <v>0</v>
      </c>
      <c r="BF64" s="112">
        <f t="shared" si="24"/>
        <v>0</v>
      </c>
      <c r="BG64" s="112">
        <f t="shared" si="25"/>
        <v>0</v>
      </c>
      <c r="BI64" s="173"/>
      <c r="BJ64" s="15">
        <f t="shared" si="12"/>
        <v>0</v>
      </c>
      <c r="BK64" s="15" t="str">
        <f t="shared" si="7"/>
        <v/>
      </c>
      <c r="BL64" s="15" t="str">
        <f t="shared" si="8"/>
        <v/>
      </c>
      <c r="BM64" s="113" t="str">
        <f t="shared" si="13"/>
        <v/>
      </c>
      <c r="BN64" s="112">
        <f t="shared" si="14"/>
        <v>0</v>
      </c>
      <c r="BO64" s="10"/>
    </row>
    <row r="65" spans="1:67" hidden="1">
      <c r="A65" s="1" t="b">
        <f t="shared" si="9"/>
        <v>0</v>
      </c>
      <c r="B65" s="88" t="str">
        <f>[2]陸連登録!N60</f>
        <v/>
      </c>
      <c r="C65" s="1" t="b">
        <f t="shared" si="10"/>
        <v>0</v>
      </c>
      <c r="D65" s="89"/>
      <c r="E65" s="226"/>
      <c r="F65" s="227"/>
      <c r="G65" s="228"/>
      <c r="H65" s="229"/>
      <c r="I65" s="230"/>
      <c r="J65" s="231"/>
      <c r="K65" s="232"/>
      <c r="L65" s="233"/>
      <c r="M65" s="228"/>
      <c r="N65" s="234"/>
      <c r="O65" s="90"/>
      <c r="P65" s="91" t="str">
        <f t="shared" si="19"/>
        <v/>
      </c>
      <c r="Q65" s="114"/>
      <c r="R65" s="115">
        <v>0</v>
      </c>
      <c r="S65" s="116">
        <v>2</v>
      </c>
      <c r="T65" s="90"/>
      <c r="U65" s="91" t="str">
        <f t="shared" si="20"/>
        <v/>
      </c>
      <c r="V65" s="117"/>
      <c r="W65" s="115">
        <v>0</v>
      </c>
      <c r="X65" s="116">
        <v>2</v>
      </c>
      <c r="Y65" s="118"/>
      <c r="Z65" s="119" t="str">
        <f>IF(Y65="","",IF(I65=1,VLOOKUP(Y65,[2]男子種目コード!$A$1:$B$33,2,FALSE),IF(I65=2,VLOOKUP(Y65,[2]女子種目コード!$A$36:$B$66,2,FALSE))))</f>
        <v/>
      </c>
      <c r="AA65" s="114" t="str">
        <f>IF(Y65="","",HLOOKUP(Y65,#REF!,60,FALSE))</f>
        <v/>
      </c>
      <c r="AB65" s="115">
        <v>0</v>
      </c>
      <c r="AC65" s="116">
        <v>2</v>
      </c>
      <c r="AD65" s="97"/>
      <c r="AE65" s="98" t="str">
        <f t="shared" si="15"/>
        <v/>
      </c>
      <c r="AF65" s="120"/>
      <c r="AG65" s="121">
        <v>0</v>
      </c>
      <c r="AH65" s="121">
        <v>2</v>
      </c>
      <c r="AI65" s="101"/>
      <c r="AJ65" s="102" t="str">
        <f t="shared" si="11"/>
        <v/>
      </c>
      <c r="AK65" s="122"/>
      <c r="AL65" s="104">
        <v>0</v>
      </c>
      <c r="AM65" s="123">
        <v>2</v>
      </c>
      <c r="AN65" s="105"/>
      <c r="AO65" s="105"/>
      <c r="AQ65" s="167"/>
      <c r="AS65" s="24"/>
      <c r="AT65" s="8"/>
      <c r="AU65" s="8"/>
      <c r="AV65" s="25"/>
      <c r="AW65" s="25"/>
      <c r="AX65" s="26"/>
      <c r="AY65" s="26"/>
      <c r="AZ65" s="83"/>
      <c r="BA65" s="170"/>
      <c r="BB65" s="10"/>
      <c r="BC65" s="112" t="str">
        <f t="shared" si="21"/>
        <v/>
      </c>
      <c r="BD65" s="112">
        <f t="shared" si="22"/>
        <v>0</v>
      </c>
      <c r="BE65" s="112">
        <f t="shared" si="23"/>
        <v>0</v>
      </c>
      <c r="BF65" s="112">
        <f t="shared" si="24"/>
        <v>0</v>
      </c>
      <c r="BG65" s="112">
        <f t="shared" si="25"/>
        <v>0</v>
      </c>
      <c r="BI65" s="173"/>
      <c r="BJ65" s="15">
        <f t="shared" si="12"/>
        <v>0</v>
      </c>
      <c r="BK65" s="15" t="str">
        <f t="shared" si="7"/>
        <v/>
      </c>
      <c r="BL65" s="15" t="str">
        <f t="shared" si="8"/>
        <v/>
      </c>
      <c r="BM65" s="113" t="str">
        <f t="shared" si="13"/>
        <v/>
      </c>
      <c r="BN65" s="112">
        <f t="shared" si="14"/>
        <v>0</v>
      </c>
      <c r="BO65" s="10"/>
    </row>
    <row r="66" spans="1:67" hidden="1">
      <c r="A66" s="1" t="b">
        <f t="shared" si="9"/>
        <v>0</v>
      </c>
      <c r="B66" s="88" t="str">
        <f>[2]陸連登録!N61</f>
        <v/>
      </c>
      <c r="C66" s="1" t="b">
        <f t="shared" si="10"/>
        <v>0</v>
      </c>
      <c r="D66" s="89"/>
      <c r="E66" s="226"/>
      <c r="F66" s="227"/>
      <c r="G66" s="228"/>
      <c r="H66" s="229"/>
      <c r="I66" s="230"/>
      <c r="J66" s="231"/>
      <c r="K66" s="232"/>
      <c r="L66" s="233"/>
      <c r="M66" s="228"/>
      <c r="N66" s="234"/>
      <c r="O66" s="90"/>
      <c r="P66" s="91" t="str">
        <f t="shared" si="19"/>
        <v/>
      </c>
      <c r="Q66" s="114"/>
      <c r="R66" s="115">
        <v>0</v>
      </c>
      <c r="S66" s="116">
        <v>2</v>
      </c>
      <c r="T66" s="90"/>
      <c r="U66" s="91" t="str">
        <f t="shared" si="20"/>
        <v/>
      </c>
      <c r="V66" s="117"/>
      <c r="W66" s="115">
        <v>0</v>
      </c>
      <c r="X66" s="116">
        <v>2</v>
      </c>
      <c r="Y66" s="118"/>
      <c r="Z66" s="119" t="str">
        <f>IF(Y66="","",IF(I66=1,VLOOKUP(Y66,[2]男子種目コード!$A$1:$B$33,2,FALSE),IF(I66=2,VLOOKUP(Y66,[2]女子種目コード!$A$36:$B$66,2,FALSE))))</f>
        <v/>
      </c>
      <c r="AA66" s="114" t="str">
        <f>IF(Y66="","",HLOOKUP(Y66,#REF!,61,FALSE))</f>
        <v/>
      </c>
      <c r="AB66" s="115">
        <v>0</v>
      </c>
      <c r="AC66" s="116">
        <v>2</v>
      </c>
      <c r="AD66" s="97"/>
      <c r="AE66" s="98" t="str">
        <f t="shared" si="15"/>
        <v/>
      </c>
      <c r="AF66" s="120"/>
      <c r="AG66" s="121">
        <v>0</v>
      </c>
      <c r="AH66" s="121">
        <v>2</v>
      </c>
      <c r="AI66" s="101"/>
      <c r="AJ66" s="102" t="str">
        <f t="shared" si="11"/>
        <v/>
      </c>
      <c r="AK66" s="122"/>
      <c r="AL66" s="104">
        <v>0</v>
      </c>
      <c r="AM66" s="123">
        <v>2</v>
      </c>
      <c r="AN66" s="105"/>
      <c r="AO66" s="105"/>
      <c r="AQ66" s="167"/>
      <c r="AS66" s="24"/>
      <c r="AT66" s="8"/>
      <c r="AU66" s="8"/>
      <c r="AV66" s="25"/>
      <c r="AW66" s="25"/>
      <c r="AX66" s="26"/>
      <c r="AY66" s="26"/>
      <c r="AZ66" s="83"/>
      <c r="BA66" s="170"/>
      <c r="BB66" s="10"/>
      <c r="BC66" s="112" t="str">
        <f t="shared" si="21"/>
        <v/>
      </c>
      <c r="BD66" s="112">
        <f t="shared" si="22"/>
        <v>0</v>
      </c>
      <c r="BE66" s="112">
        <f t="shared" si="23"/>
        <v>0</v>
      </c>
      <c r="BF66" s="112">
        <f t="shared" si="24"/>
        <v>0</v>
      </c>
      <c r="BG66" s="112">
        <f t="shared" si="25"/>
        <v>0</v>
      </c>
      <c r="BI66" s="173"/>
      <c r="BJ66" s="15">
        <f t="shared" si="12"/>
        <v>0</v>
      </c>
      <c r="BK66" s="15" t="str">
        <f t="shared" si="7"/>
        <v/>
      </c>
      <c r="BL66" s="15" t="str">
        <f t="shared" si="8"/>
        <v/>
      </c>
      <c r="BM66" s="113" t="str">
        <f t="shared" si="13"/>
        <v/>
      </c>
      <c r="BN66" s="112">
        <f t="shared" si="14"/>
        <v>0</v>
      </c>
      <c r="BO66" s="10"/>
    </row>
    <row r="67" spans="1:67" hidden="1">
      <c r="A67" s="1" t="b">
        <f t="shared" si="9"/>
        <v>0</v>
      </c>
      <c r="B67" s="88" t="str">
        <f>[2]陸連登録!N62</f>
        <v/>
      </c>
      <c r="C67" s="1" t="b">
        <f t="shared" si="10"/>
        <v>0</v>
      </c>
      <c r="D67" s="89"/>
      <c r="E67" s="226"/>
      <c r="F67" s="227"/>
      <c r="G67" s="228"/>
      <c r="H67" s="229"/>
      <c r="I67" s="230"/>
      <c r="J67" s="231"/>
      <c r="K67" s="232"/>
      <c r="L67" s="233"/>
      <c r="M67" s="228"/>
      <c r="N67" s="234"/>
      <c r="O67" s="90"/>
      <c r="P67" s="91" t="str">
        <f t="shared" si="19"/>
        <v/>
      </c>
      <c r="Q67" s="114"/>
      <c r="R67" s="115">
        <v>0</v>
      </c>
      <c r="S67" s="116">
        <v>2</v>
      </c>
      <c r="T67" s="90"/>
      <c r="U67" s="91" t="str">
        <f t="shared" si="20"/>
        <v/>
      </c>
      <c r="V67" s="117"/>
      <c r="W67" s="115">
        <v>0</v>
      </c>
      <c r="X67" s="116">
        <v>2</v>
      </c>
      <c r="Y67" s="118"/>
      <c r="Z67" s="119" t="str">
        <f>IF(Y67="","",IF(I67=1,VLOOKUP(Y67,[2]男子種目コード!$A$1:$B$33,2,FALSE),IF(I67=2,VLOOKUP(Y67,[2]女子種目コード!$A$36:$B$66,2,FALSE))))</f>
        <v/>
      </c>
      <c r="AA67" s="114" t="str">
        <f>IF(Y67="","",HLOOKUP(Y67,#REF!,62,FALSE))</f>
        <v/>
      </c>
      <c r="AB67" s="115">
        <v>0</v>
      </c>
      <c r="AC67" s="116">
        <v>2</v>
      </c>
      <c r="AD67" s="97"/>
      <c r="AE67" s="98" t="str">
        <f t="shared" si="15"/>
        <v/>
      </c>
      <c r="AF67" s="120"/>
      <c r="AG67" s="121">
        <v>0</v>
      </c>
      <c r="AH67" s="121">
        <v>2</v>
      </c>
      <c r="AI67" s="101"/>
      <c r="AJ67" s="102" t="str">
        <f t="shared" si="11"/>
        <v/>
      </c>
      <c r="AK67" s="122"/>
      <c r="AL67" s="104">
        <v>0</v>
      </c>
      <c r="AM67" s="123">
        <v>2</v>
      </c>
      <c r="AN67" s="105"/>
      <c r="AO67" s="105"/>
      <c r="AQ67" s="167"/>
      <c r="AS67" s="24"/>
      <c r="AT67" s="8"/>
      <c r="AU67" s="8"/>
      <c r="AV67" s="25"/>
      <c r="AW67" s="25"/>
      <c r="AX67" s="26"/>
      <c r="AY67" s="26"/>
      <c r="AZ67" s="83"/>
      <c r="BA67" s="170"/>
      <c r="BB67" s="10"/>
      <c r="BC67" s="112" t="str">
        <f t="shared" si="21"/>
        <v/>
      </c>
      <c r="BD67" s="112">
        <f t="shared" si="22"/>
        <v>0</v>
      </c>
      <c r="BE67" s="112">
        <f t="shared" si="23"/>
        <v>0</v>
      </c>
      <c r="BF67" s="112">
        <f t="shared" si="24"/>
        <v>0</v>
      </c>
      <c r="BG67" s="112">
        <f t="shared" si="25"/>
        <v>0</v>
      </c>
      <c r="BI67" s="173"/>
      <c r="BJ67" s="15">
        <f t="shared" si="12"/>
        <v>0</v>
      </c>
      <c r="BK67" s="15" t="str">
        <f t="shared" si="7"/>
        <v/>
      </c>
      <c r="BL67" s="15" t="str">
        <f t="shared" si="8"/>
        <v/>
      </c>
      <c r="BM67" s="113" t="str">
        <f t="shared" si="13"/>
        <v/>
      </c>
      <c r="BN67" s="112">
        <f t="shared" si="14"/>
        <v>0</v>
      </c>
      <c r="BO67" s="10"/>
    </row>
    <row r="68" spans="1:67" hidden="1">
      <c r="A68" s="1" t="b">
        <f t="shared" si="9"/>
        <v>0</v>
      </c>
      <c r="B68" s="88" t="str">
        <f>[2]陸連登録!N63</f>
        <v/>
      </c>
      <c r="C68" s="1" t="b">
        <f t="shared" si="10"/>
        <v>0</v>
      </c>
      <c r="D68" s="89"/>
      <c r="E68" s="226"/>
      <c r="F68" s="227"/>
      <c r="G68" s="228"/>
      <c r="H68" s="229"/>
      <c r="I68" s="230"/>
      <c r="J68" s="231"/>
      <c r="K68" s="232"/>
      <c r="L68" s="233"/>
      <c r="M68" s="228"/>
      <c r="N68" s="234"/>
      <c r="O68" s="90"/>
      <c r="P68" s="91" t="str">
        <f t="shared" si="19"/>
        <v/>
      </c>
      <c r="Q68" s="114"/>
      <c r="R68" s="115">
        <v>0</v>
      </c>
      <c r="S68" s="116">
        <v>2</v>
      </c>
      <c r="T68" s="90"/>
      <c r="U68" s="91" t="str">
        <f t="shared" si="20"/>
        <v/>
      </c>
      <c r="V68" s="117"/>
      <c r="W68" s="115">
        <v>0</v>
      </c>
      <c r="X68" s="116">
        <v>2</v>
      </c>
      <c r="Y68" s="118"/>
      <c r="Z68" s="119" t="str">
        <f>IF(Y68="","",IF(I68=1,VLOOKUP(Y68,[2]男子種目コード!$A$1:$B$33,2,FALSE),IF(I68=2,VLOOKUP(Y68,[2]女子種目コード!$A$36:$B$66,2,FALSE))))</f>
        <v/>
      </c>
      <c r="AA68" s="114" t="str">
        <f>IF(Y68="","",HLOOKUP(Y68,#REF!,63,FALSE))</f>
        <v/>
      </c>
      <c r="AB68" s="115">
        <v>0</v>
      </c>
      <c r="AC68" s="116">
        <v>2</v>
      </c>
      <c r="AD68" s="97"/>
      <c r="AE68" s="98" t="str">
        <f t="shared" si="15"/>
        <v/>
      </c>
      <c r="AF68" s="120"/>
      <c r="AG68" s="121">
        <v>0</v>
      </c>
      <c r="AH68" s="121">
        <v>2</v>
      </c>
      <c r="AI68" s="101"/>
      <c r="AJ68" s="102" t="str">
        <f t="shared" si="11"/>
        <v/>
      </c>
      <c r="AK68" s="122"/>
      <c r="AL68" s="104">
        <v>0</v>
      </c>
      <c r="AM68" s="123">
        <v>2</v>
      </c>
      <c r="AN68" s="105"/>
      <c r="AO68" s="105"/>
      <c r="AQ68" s="167"/>
      <c r="AS68" s="24"/>
      <c r="AT68" s="8"/>
      <c r="AU68" s="8"/>
      <c r="AV68" s="25"/>
      <c r="AW68" s="25"/>
      <c r="AX68" s="26"/>
      <c r="AY68" s="26"/>
      <c r="AZ68" s="83"/>
      <c r="BA68" s="170"/>
      <c r="BB68" s="10"/>
      <c r="BC68" s="112" t="str">
        <f t="shared" si="21"/>
        <v/>
      </c>
      <c r="BD68" s="112">
        <f t="shared" si="22"/>
        <v>0</v>
      </c>
      <c r="BE68" s="112">
        <f t="shared" si="23"/>
        <v>0</v>
      </c>
      <c r="BF68" s="112">
        <f t="shared" si="24"/>
        <v>0</v>
      </c>
      <c r="BG68" s="112">
        <f t="shared" si="25"/>
        <v>0</v>
      </c>
      <c r="BI68" s="173"/>
      <c r="BJ68" s="15">
        <f t="shared" si="12"/>
        <v>0</v>
      </c>
      <c r="BK68" s="15" t="str">
        <f t="shared" si="7"/>
        <v/>
      </c>
      <c r="BL68" s="15" t="str">
        <f t="shared" si="8"/>
        <v/>
      </c>
      <c r="BM68" s="113" t="str">
        <f t="shared" si="13"/>
        <v/>
      </c>
      <c r="BN68" s="112">
        <f t="shared" si="14"/>
        <v>0</v>
      </c>
      <c r="BO68" s="10"/>
    </row>
    <row r="69" spans="1:67" hidden="1">
      <c r="A69" s="1" t="b">
        <f t="shared" si="9"/>
        <v>0</v>
      </c>
      <c r="B69" s="88" t="str">
        <f>[2]陸連登録!N64</f>
        <v/>
      </c>
      <c r="C69" s="1" t="b">
        <f t="shared" si="10"/>
        <v>0</v>
      </c>
      <c r="D69" s="89"/>
      <c r="E69" s="226"/>
      <c r="F69" s="227"/>
      <c r="G69" s="228"/>
      <c r="H69" s="229"/>
      <c r="I69" s="230"/>
      <c r="J69" s="231"/>
      <c r="K69" s="232"/>
      <c r="L69" s="233"/>
      <c r="M69" s="228"/>
      <c r="N69" s="234"/>
      <c r="O69" s="90"/>
      <c r="P69" s="91" t="str">
        <f t="shared" si="19"/>
        <v/>
      </c>
      <c r="Q69" s="114"/>
      <c r="R69" s="115">
        <v>0</v>
      </c>
      <c r="S69" s="116">
        <v>2</v>
      </c>
      <c r="T69" s="90"/>
      <c r="U69" s="91" t="str">
        <f t="shared" si="20"/>
        <v/>
      </c>
      <c r="V69" s="117"/>
      <c r="W69" s="115">
        <v>0</v>
      </c>
      <c r="X69" s="116">
        <v>2</v>
      </c>
      <c r="Y69" s="118"/>
      <c r="Z69" s="119" t="str">
        <f>IF(Y69="","",IF(I69=1,VLOOKUP(Y69,[2]男子種目コード!$A$1:$B$33,2,FALSE),IF(I69=2,VLOOKUP(Y69,[2]女子種目コード!$A$36:$B$66,2,FALSE))))</f>
        <v/>
      </c>
      <c r="AA69" s="114" t="str">
        <f>IF(Y69="","",HLOOKUP(Y69,#REF!,64,FALSE))</f>
        <v/>
      </c>
      <c r="AB69" s="115">
        <v>0</v>
      </c>
      <c r="AC69" s="116">
        <v>2</v>
      </c>
      <c r="AD69" s="97"/>
      <c r="AE69" s="98" t="str">
        <f t="shared" si="15"/>
        <v/>
      </c>
      <c r="AF69" s="120"/>
      <c r="AG69" s="121">
        <v>0</v>
      </c>
      <c r="AH69" s="121">
        <v>2</v>
      </c>
      <c r="AI69" s="101"/>
      <c r="AJ69" s="102" t="str">
        <f t="shared" si="11"/>
        <v/>
      </c>
      <c r="AK69" s="122"/>
      <c r="AL69" s="104">
        <v>0</v>
      </c>
      <c r="AM69" s="123">
        <v>2</v>
      </c>
      <c r="AN69" s="105"/>
      <c r="AO69" s="105"/>
      <c r="AQ69" s="167"/>
      <c r="AS69" s="24"/>
      <c r="AT69" s="8"/>
      <c r="AU69" s="8"/>
      <c r="AV69" s="25"/>
      <c r="AW69" s="25"/>
      <c r="AX69" s="26"/>
      <c r="AY69" s="26"/>
      <c r="AZ69" s="83"/>
      <c r="BA69" s="170"/>
      <c r="BB69" s="10"/>
      <c r="BC69" s="112" t="str">
        <f t="shared" si="21"/>
        <v/>
      </c>
      <c r="BD69" s="112">
        <f t="shared" si="22"/>
        <v>0</v>
      </c>
      <c r="BE69" s="112">
        <f t="shared" si="23"/>
        <v>0</v>
      </c>
      <c r="BF69" s="112">
        <f t="shared" si="24"/>
        <v>0</v>
      </c>
      <c r="BG69" s="112">
        <f t="shared" si="25"/>
        <v>0</v>
      </c>
      <c r="BI69" s="173"/>
      <c r="BJ69" s="15">
        <f t="shared" si="12"/>
        <v>0</v>
      </c>
      <c r="BK69" s="15" t="str">
        <f t="shared" si="7"/>
        <v/>
      </c>
      <c r="BL69" s="15" t="str">
        <f t="shared" si="8"/>
        <v/>
      </c>
      <c r="BM69" s="113" t="str">
        <f t="shared" si="13"/>
        <v/>
      </c>
      <c r="BN69" s="112">
        <f t="shared" si="14"/>
        <v>0</v>
      </c>
      <c r="BO69" s="10"/>
    </row>
    <row r="70" spans="1:67" hidden="1">
      <c r="A70" s="1" t="b">
        <f t="shared" si="9"/>
        <v>0</v>
      </c>
      <c r="B70" s="88" t="str">
        <f>[2]陸連登録!N65</f>
        <v/>
      </c>
      <c r="C70" s="1" t="b">
        <f t="shared" si="10"/>
        <v>0</v>
      </c>
      <c r="D70" s="89"/>
      <c r="E70" s="226"/>
      <c r="F70" s="227"/>
      <c r="G70" s="228"/>
      <c r="H70" s="229"/>
      <c r="I70" s="230"/>
      <c r="J70" s="231"/>
      <c r="K70" s="232"/>
      <c r="L70" s="233"/>
      <c r="M70" s="228"/>
      <c r="N70" s="234"/>
      <c r="O70" s="90"/>
      <c r="P70" s="91" t="str">
        <f t="shared" si="19"/>
        <v/>
      </c>
      <c r="Q70" s="114"/>
      <c r="R70" s="115">
        <v>0</v>
      </c>
      <c r="S70" s="116">
        <v>2</v>
      </c>
      <c r="T70" s="90"/>
      <c r="U70" s="91" t="str">
        <f t="shared" si="20"/>
        <v/>
      </c>
      <c r="V70" s="117"/>
      <c r="W70" s="115">
        <v>0</v>
      </c>
      <c r="X70" s="116">
        <v>2</v>
      </c>
      <c r="Y70" s="118"/>
      <c r="Z70" s="119" t="str">
        <f>IF(Y70="","",IF(I70=1,VLOOKUP(Y70,[2]男子種目コード!$A$1:$B$33,2,FALSE),IF(I70=2,VLOOKUP(Y70,[2]女子種目コード!$A$36:$B$66,2,FALSE))))</f>
        <v/>
      </c>
      <c r="AA70" s="114" t="str">
        <f>IF(Y70="","",HLOOKUP(Y70,#REF!,65,FALSE))</f>
        <v/>
      </c>
      <c r="AB70" s="115">
        <v>0</v>
      </c>
      <c r="AC70" s="116">
        <v>2</v>
      </c>
      <c r="AD70" s="97"/>
      <c r="AE70" s="98" t="str">
        <f t="shared" si="15"/>
        <v/>
      </c>
      <c r="AF70" s="120"/>
      <c r="AG70" s="121">
        <v>0</v>
      </c>
      <c r="AH70" s="121">
        <v>2</v>
      </c>
      <c r="AI70" s="101"/>
      <c r="AJ70" s="102" t="str">
        <f t="shared" si="11"/>
        <v/>
      </c>
      <c r="AK70" s="122"/>
      <c r="AL70" s="104">
        <v>0</v>
      </c>
      <c r="AM70" s="123">
        <v>2</v>
      </c>
      <c r="AN70" s="105"/>
      <c r="AO70" s="105"/>
      <c r="AQ70" s="167"/>
      <c r="AS70" s="24"/>
      <c r="AT70" s="8"/>
      <c r="AU70" s="8"/>
      <c r="AV70" s="25"/>
      <c r="AW70" s="25"/>
      <c r="AX70" s="26"/>
      <c r="AY70" s="26"/>
      <c r="AZ70" s="83"/>
      <c r="BA70" s="170"/>
      <c r="BB70" s="10"/>
      <c r="BC70" s="112" t="str">
        <f t="shared" si="21"/>
        <v/>
      </c>
      <c r="BD70" s="112">
        <f t="shared" si="22"/>
        <v>0</v>
      </c>
      <c r="BE70" s="112">
        <f t="shared" si="23"/>
        <v>0</v>
      </c>
      <c r="BF70" s="112">
        <f t="shared" si="24"/>
        <v>0</v>
      </c>
      <c r="BG70" s="112">
        <f t="shared" si="25"/>
        <v>0</v>
      </c>
      <c r="BI70" s="173"/>
      <c r="BJ70" s="15">
        <f t="shared" si="12"/>
        <v>0</v>
      </c>
      <c r="BK70" s="15" t="str">
        <f t="shared" si="7"/>
        <v/>
      </c>
      <c r="BL70" s="15" t="str">
        <f t="shared" si="8"/>
        <v/>
      </c>
      <c r="BM70" s="113" t="str">
        <f t="shared" si="13"/>
        <v/>
      </c>
      <c r="BN70" s="112">
        <f t="shared" si="14"/>
        <v>0</v>
      </c>
      <c r="BO70" s="10"/>
    </row>
    <row r="71" spans="1:67" hidden="1">
      <c r="A71" s="1" t="b">
        <f t="shared" si="9"/>
        <v>0</v>
      </c>
      <c r="B71" s="88" t="str">
        <f>[2]陸連登録!N66</f>
        <v/>
      </c>
      <c r="C71" s="1" t="b">
        <f t="shared" si="10"/>
        <v>0</v>
      </c>
      <c r="D71" s="89"/>
      <c r="E71" s="226"/>
      <c r="F71" s="227"/>
      <c r="G71" s="228"/>
      <c r="H71" s="229"/>
      <c r="I71" s="230"/>
      <c r="J71" s="231"/>
      <c r="K71" s="232"/>
      <c r="L71" s="233"/>
      <c r="M71" s="228"/>
      <c r="N71" s="234"/>
      <c r="O71" s="90"/>
      <c r="P71" s="91" t="str">
        <f t="shared" ref="P71:P102" si="26">IF(O71="","",IF(I71=1,VLOOKUP(O71,$AS$7:$AU$10,3,FALSE),IF(I71=2,VLOOKUP(O71,$AS$13:$AU$16,3,FALSE))))</f>
        <v/>
      </c>
      <c r="Q71" s="114"/>
      <c r="R71" s="115">
        <v>0</v>
      </c>
      <c r="S71" s="116">
        <v>2</v>
      </c>
      <c r="T71" s="90"/>
      <c r="U71" s="91" t="str">
        <f t="shared" ref="U71:U102" si="27">IF(T71="","",IF(I71=1,VLOOKUP(T71,$AS$7:$AU$10,3,FALSE),IF(N71=2,VLOOKUP(I71,$AS$13:$AU$16,3,FALSE))))</f>
        <v/>
      </c>
      <c r="V71" s="117"/>
      <c r="W71" s="115">
        <v>0</v>
      </c>
      <c r="X71" s="116">
        <v>2</v>
      </c>
      <c r="Y71" s="118"/>
      <c r="Z71" s="119" t="str">
        <f>IF(Y71="","",IF(I71=1,VLOOKUP(Y71,[2]男子種目コード!$A$1:$B$33,2,FALSE),IF(I71=2,VLOOKUP(Y71,[2]女子種目コード!$A$36:$B$66,2,FALSE))))</f>
        <v/>
      </c>
      <c r="AA71" s="114" t="str">
        <f>IF(Y71="","",HLOOKUP(Y71,#REF!,66,FALSE))</f>
        <v/>
      </c>
      <c r="AB71" s="115">
        <v>0</v>
      </c>
      <c r="AC71" s="116">
        <v>2</v>
      </c>
      <c r="AD71" s="97"/>
      <c r="AE71" s="98" t="str">
        <f t="shared" si="15"/>
        <v/>
      </c>
      <c r="AF71" s="120"/>
      <c r="AG71" s="121">
        <v>0</v>
      </c>
      <c r="AH71" s="121">
        <v>2</v>
      </c>
      <c r="AI71" s="101"/>
      <c r="AJ71" s="102" t="str">
        <f t="shared" si="11"/>
        <v/>
      </c>
      <c r="AK71" s="122"/>
      <c r="AL71" s="104">
        <v>0</v>
      </c>
      <c r="AM71" s="123">
        <v>2</v>
      </c>
      <c r="AN71" s="105"/>
      <c r="AO71" s="105"/>
      <c r="AQ71" s="167"/>
      <c r="AS71" s="24"/>
      <c r="AT71" s="8"/>
      <c r="AU71" s="8"/>
      <c r="AV71" s="25"/>
      <c r="AW71" s="25"/>
      <c r="AX71" s="26"/>
      <c r="AY71" s="26"/>
      <c r="AZ71" s="83"/>
      <c r="BA71" s="170"/>
      <c r="BB71" s="10"/>
      <c r="BC71" s="112" t="str">
        <f t="shared" si="21"/>
        <v/>
      </c>
      <c r="BD71" s="112">
        <f t="shared" si="22"/>
        <v>0</v>
      </c>
      <c r="BE71" s="112">
        <f t="shared" si="23"/>
        <v>0</v>
      </c>
      <c r="BF71" s="112">
        <f t="shared" si="24"/>
        <v>0</v>
      </c>
      <c r="BG71" s="112">
        <f t="shared" si="25"/>
        <v>0</v>
      </c>
      <c r="BI71" s="173"/>
      <c r="BJ71" s="15">
        <f t="shared" si="12"/>
        <v>0</v>
      </c>
      <c r="BK71" s="15" t="str">
        <f t="shared" ref="BK71:BK116" si="28">IF(I71=1,BJ71,"")</f>
        <v/>
      </c>
      <c r="BL71" s="15" t="str">
        <f t="shared" ref="BL71:BL116" si="29">IF(I71=2,BJ71,"")</f>
        <v/>
      </c>
      <c r="BM71" s="113" t="str">
        <f t="shared" si="13"/>
        <v/>
      </c>
      <c r="BN71" s="112">
        <f t="shared" si="14"/>
        <v>0</v>
      </c>
      <c r="BO71" s="10"/>
    </row>
    <row r="72" spans="1:67" hidden="1">
      <c r="A72" s="1" t="b">
        <f t="shared" ref="A72:A116" si="30">IF(I72=1,IF(AD72="男子",1),IF(AD72="女子",2))</f>
        <v>0</v>
      </c>
      <c r="B72" s="88" t="str">
        <f>[2]陸連登録!N67</f>
        <v/>
      </c>
      <c r="C72" s="1" t="b">
        <f t="shared" ref="C72:C116" si="31">IF(AI72=$AW$24,1)</f>
        <v>0</v>
      </c>
      <c r="D72" s="89"/>
      <c r="E72" s="226"/>
      <c r="F72" s="227"/>
      <c r="G72" s="228"/>
      <c r="H72" s="229"/>
      <c r="I72" s="230"/>
      <c r="J72" s="231"/>
      <c r="K72" s="232"/>
      <c r="L72" s="233"/>
      <c r="M72" s="228"/>
      <c r="N72" s="234"/>
      <c r="O72" s="90"/>
      <c r="P72" s="91" t="str">
        <f t="shared" si="26"/>
        <v/>
      </c>
      <c r="Q72" s="114"/>
      <c r="R72" s="115">
        <v>0</v>
      </c>
      <c r="S72" s="116">
        <v>2</v>
      </c>
      <c r="T72" s="90"/>
      <c r="U72" s="91" t="str">
        <f t="shared" si="27"/>
        <v/>
      </c>
      <c r="V72" s="117"/>
      <c r="W72" s="115">
        <v>0</v>
      </c>
      <c r="X72" s="116">
        <v>2</v>
      </c>
      <c r="Y72" s="118"/>
      <c r="Z72" s="119" t="str">
        <f>IF(Y72="","",IF(I72=1,VLOOKUP(Y72,[2]男子種目コード!$A$1:$B$33,2,FALSE),IF(I72=2,VLOOKUP(Y72,[2]女子種目コード!$A$36:$B$66,2,FALSE))))</f>
        <v/>
      </c>
      <c r="AA72" s="114" t="str">
        <f>IF(Y72="","",HLOOKUP(Y72,#REF!,67,FALSE))</f>
        <v/>
      </c>
      <c r="AB72" s="115">
        <v>0</v>
      </c>
      <c r="AC72" s="116">
        <v>2</v>
      </c>
      <c r="AD72" s="97"/>
      <c r="AE72" s="98" t="str">
        <f t="shared" si="15"/>
        <v/>
      </c>
      <c r="AF72" s="120"/>
      <c r="AG72" s="121">
        <v>0</v>
      </c>
      <c r="AH72" s="121">
        <v>2</v>
      </c>
      <c r="AI72" s="101"/>
      <c r="AJ72" s="102" t="str">
        <f t="shared" ref="AJ72:AJ116" si="32">IF(AI72=$AW$24,27,"")</f>
        <v/>
      </c>
      <c r="AK72" s="122"/>
      <c r="AL72" s="104">
        <v>0</v>
      </c>
      <c r="AM72" s="123">
        <v>2</v>
      </c>
      <c r="AN72" s="105"/>
      <c r="AO72" s="105"/>
      <c r="AQ72" s="167"/>
      <c r="AS72" s="24"/>
      <c r="AT72" s="8"/>
      <c r="AU72" s="8"/>
      <c r="AV72" s="25"/>
      <c r="AW72" s="25"/>
      <c r="AX72" s="26"/>
      <c r="AY72" s="26"/>
      <c r="AZ72" s="83"/>
      <c r="BA72" s="170"/>
      <c r="BB72" s="10"/>
      <c r="BC72" s="112" t="str">
        <f t="shared" si="21"/>
        <v/>
      </c>
      <c r="BD72" s="112">
        <f t="shared" si="22"/>
        <v>0</v>
      </c>
      <c r="BE72" s="112">
        <f t="shared" si="23"/>
        <v>0</v>
      </c>
      <c r="BF72" s="112">
        <f t="shared" si="24"/>
        <v>0</v>
      </c>
      <c r="BG72" s="112">
        <f t="shared" si="25"/>
        <v>0</v>
      </c>
      <c r="BI72" s="173"/>
      <c r="BJ72" s="15">
        <f t="shared" ref="BJ72:BJ116" si="33">COUNT(P72,U72,Z72,AE72,AJ72)</f>
        <v>0</v>
      </c>
      <c r="BK72" s="15" t="str">
        <f t="shared" si="28"/>
        <v/>
      </c>
      <c r="BL72" s="15" t="str">
        <f t="shared" si="29"/>
        <v/>
      </c>
      <c r="BM72" s="113" t="str">
        <f t="shared" ref="BM72:BM126" si="34">IF(O72="","",1)</f>
        <v/>
      </c>
      <c r="BN72" s="112">
        <f t="shared" ref="BN72:BN125" si="35">IF(OR(BM72=1,T72=""),0,1)</f>
        <v>0</v>
      </c>
      <c r="BO72" s="10"/>
    </row>
    <row r="73" spans="1:67" hidden="1">
      <c r="A73" s="1" t="b">
        <f t="shared" si="30"/>
        <v>0</v>
      </c>
      <c r="B73" s="88" t="str">
        <f>[2]陸連登録!N68</f>
        <v/>
      </c>
      <c r="C73" s="1" t="b">
        <f t="shared" si="31"/>
        <v>0</v>
      </c>
      <c r="D73" s="89"/>
      <c r="E73" s="226"/>
      <c r="F73" s="227"/>
      <c r="G73" s="228"/>
      <c r="H73" s="229"/>
      <c r="I73" s="230"/>
      <c r="J73" s="231"/>
      <c r="K73" s="232"/>
      <c r="L73" s="233"/>
      <c r="M73" s="228"/>
      <c r="N73" s="234"/>
      <c r="O73" s="90"/>
      <c r="P73" s="91" t="str">
        <f t="shared" si="26"/>
        <v/>
      </c>
      <c r="Q73" s="114"/>
      <c r="R73" s="115">
        <v>0</v>
      </c>
      <c r="S73" s="116">
        <v>2</v>
      </c>
      <c r="T73" s="90"/>
      <c r="U73" s="91" t="str">
        <f t="shared" si="27"/>
        <v/>
      </c>
      <c r="V73" s="117"/>
      <c r="W73" s="115">
        <v>0</v>
      </c>
      <c r="X73" s="116">
        <v>2</v>
      </c>
      <c r="Y73" s="118"/>
      <c r="Z73" s="119" t="str">
        <f>IF(Y73="","",IF(I73=1,VLOOKUP(Y73,[2]男子種目コード!$A$1:$B$33,2,FALSE),IF(I73=2,VLOOKUP(Y73,[2]女子種目コード!$A$36:$B$66,2,FALSE))))</f>
        <v/>
      </c>
      <c r="AA73" s="114" t="str">
        <f>IF(Y73="","",HLOOKUP(Y73,#REF!,68,FALSE))</f>
        <v/>
      </c>
      <c r="AB73" s="115">
        <v>0</v>
      </c>
      <c r="AC73" s="116">
        <v>2</v>
      </c>
      <c r="AD73" s="97"/>
      <c r="AE73" s="98" t="str">
        <f t="shared" ref="AE73:AE116" si="36">IF(AD73="","",IF(AD73="男子",10,26))</f>
        <v/>
      </c>
      <c r="AF73" s="120"/>
      <c r="AG73" s="121">
        <v>0</v>
      </c>
      <c r="AH73" s="121">
        <v>2</v>
      </c>
      <c r="AI73" s="101"/>
      <c r="AJ73" s="102" t="str">
        <f t="shared" si="32"/>
        <v/>
      </c>
      <c r="AK73" s="122"/>
      <c r="AL73" s="104">
        <v>0</v>
      </c>
      <c r="AM73" s="123">
        <v>2</v>
      </c>
      <c r="AN73" s="105"/>
      <c r="AO73" s="105"/>
      <c r="AQ73" s="167"/>
      <c r="AS73" s="24"/>
      <c r="AT73" s="8"/>
      <c r="AU73" s="8"/>
      <c r="AV73" s="25"/>
      <c r="AW73" s="25"/>
      <c r="AX73" s="26"/>
      <c r="AY73" s="26"/>
      <c r="AZ73" s="83"/>
      <c r="BA73" s="170"/>
      <c r="BB73" s="10"/>
      <c r="BC73" s="112" t="str">
        <f t="shared" si="21"/>
        <v/>
      </c>
      <c r="BD73" s="112">
        <f t="shared" si="22"/>
        <v>0</v>
      </c>
      <c r="BE73" s="112">
        <f t="shared" si="23"/>
        <v>0</v>
      </c>
      <c r="BF73" s="112">
        <f t="shared" si="24"/>
        <v>0</v>
      </c>
      <c r="BG73" s="112">
        <f t="shared" si="25"/>
        <v>0</v>
      </c>
      <c r="BI73" s="173"/>
      <c r="BJ73" s="15">
        <f t="shared" si="33"/>
        <v>0</v>
      </c>
      <c r="BK73" s="15" t="str">
        <f t="shared" si="28"/>
        <v/>
      </c>
      <c r="BL73" s="15" t="str">
        <f t="shared" si="29"/>
        <v/>
      </c>
      <c r="BM73" s="113" t="str">
        <f t="shared" si="34"/>
        <v/>
      </c>
      <c r="BN73" s="112">
        <f t="shared" si="35"/>
        <v>0</v>
      </c>
      <c r="BO73" s="10"/>
    </row>
    <row r="74" spans="1:67" hidden="1">
      <c r="A74" s="1" t="b">
        <f t="shared" si="30"/>
        <v>0</v>
      </c>
      <c r="B74" s="88" t="str">
        <f>[2]陸連登録!N69</f>
        <v/>
      </c>
      <c r="C74" s="1" t="b">
        <f t="shared" si="31"/>
        <v>0</v>
      </c>
      <c r="D74" s="89"/>
      <c r="E74" s="226"/>
      <c r="F74" s="227"/>
      <c r="G74" s="228"/>
      <c r="H74" s="229"/>
      <c r="I74" s="230"/>
      <c r="J74" s="231"/>
      <c r="K74" s="232"/>
      <c r="L74" s="233"/>
      <c r="M74" s="228"/>
      <c r="N74" s="234"/>
      <c r="O74" s="90"/>
      <c r="P74" s="91" t="str">
        <f t="shared" si="26"/>
        <v/>
      </c>
      <c r="Q74" s="114"/>
      <c r="R74" s="115">
        <v>0</v>
      </c>
      <c r="S74" s="116">
        <v>2</v>
      </c>
      <c r="T74" s="90"/>
      <c r="U74" s="91" t="str">
        <f t="shared" si="27"/>
        <v/>
      </c>
      <c r="V74" s="117"/>
      <c r="W74" s="115">
        <v>0</v>
      </c>
      <c r="X74" s="116">
        <v>2</v>
      </c>
      <c r="Y74" s="118"/>
      <c r="Z74" s="119" t="str">
        <f>IF(Y74="","",IF(I74=1,VLOOKUP(Y74,[2]男子種目コード!$A$1:$B$33,2,FALSE),IF(I74=2,VLOOKUP(Y74,[2]女子種目コード!$A$36:$B$66,2,FALSE))))</f>
        <v/>
      </c>
      <c r="AA74" s="114" t="str">
        <f>IF(Y74="","",HLOOKUP(Y74,#REF!,69,FALSE))</f>
        <v/>
      </c>
      <c r="AB74" s="115">
        <v>0</v>
      </c>
      <c r="AC74" s="116">
        <v>2</v>
      </c>
      <c r="AD74" s="97"/>
      <c r="AE74" s="98" t="str">
        <f t="shared" si="36"/>
        <v/>
      </c>
      <c r="AF74" s="120"/>
      <c r="AG74" s="121">
        <v>0</v>
      </c>
      <c r="AH74" s="121">
        <v>2</v>
      </c>
      <c r="AI74" s="101"/>
      <c r="AJ74" s="102" t="str">
        <f t="shared" si="32"/>
        <v/>
      </c>
      <c r="AK74" s="122"/>
      <c r="AL74" s="104">
        <v>0</v>
      </c>
      <c r="AM74" s="123">
        <v>2</v>
      </c>
      <c r="AN74" s="105"/>
      <c r="AO74" s="105"/>
      <c r="AQ74" s="167"/>
      <c r="AS74" s="24"/>
      <c r="AT74" s="8"/>
      <c r="AU74" s="8"/>
      <c r="AV74" s="25"/>
      <c r="AW74" s="25"/>
      <c r="AX74" s="26"/>
      <c r="AY74" s="26"/>
      <c r="AZ74" s="83"/>
      <c r="BA74" s="170"/>
      <c r="BB74" s="10"/>
      <c r="BC74" s="112" t="str">
        <f t="shared" si="21"/>
        <v/>
      </c>
      <c r="BD74" s="112">
        <f t="shared" si="22"/>
        <v>0</v>
      </c>
      <c r="BE74" s="112">
        <f t="shared" si="23"/>
        <v>0</v>
      </c>
      <c r="BF74" s="112">
        <f t="shared" si="24"/>
        <v>0</v>
      </c>
      <c r="BG74" s="112">
        <f t="shared" si="25"/>
        <v>0</v>
      </c>
      <c r="BI74" s="173"/>
      <c r="BJ74" s="15">
        <f t="shared" si="33"/>
        <v>0</v>
      </c>
      <c r="BK74" s="15" t="str">
        <f t="shared" si="28"/>
        <v/>
      </c>
      <c r="BL74" s="15" t="str">
        <f t="shared" si="29"/>
        <v/>
      </c>
      <c r="BM74" s="113" t="str">
        <f t="shared" si="34"/>
        <v/>
      </c>
      <c r="BN74" s="112">
        <f t="shared" si="35"/>
        <v>0</v>
      </c>
      <c r="BO74" s="10"/>
    </row>
    <row r="75" spans="1:67" hidden="1">
      <c r="A75" s="1" t="b">
        <f t="shared" si="30"/>
        <v>0</v>
      </c>
      <c r="B75" s="88" t="str">
        <f>[2]陸連登録!N70</f>
        <v/>
      </c>
      <c r="C75" s="1" t="b">
        <f t="shared" si="31"/>
        <v>0</v>
      </c>
      <c r="D75" s="89"/>
      <c r="E75" s="226"/>
      <c r="F75" s="227"/>
      <c r="G75" s="228"/>
      <c r="H75" s="229"/>
      <c r="I75" s="230"/>
      <c r="J75" s="231"/>
      <c r="K75" s="232"/>
      <c r="L75" s="233"/>
      <c r="M75" s="228"/>
      <c r="N75" s="234"/>
      <c r="O75" s="90"/>
      <c r="P75" s="91" t="str">
        <f t="shared" si="26"/>
        <v/>
      </c>
      <c r="Q75" s="114"/>
      <c r="R75" s="115">
        <v>0</v>
      </c>
      <c r="S75" s="116">
        <v>2</v>
      </c>
      <c r="T75" s="90"/>
      <c r="U75" s="91" t="str">
        <f t="shared" si="27"/>
        <v/>
      </c>
      <c r="V75" s="117"/>
      <c r="W75" s="115">
        <v>0</v>
      </c>
      <c r="X75" s="116">
        <v>2</v>
      </c>
      <c r="Y75" s="118"/>
      <c r="Z75" s="119" t="str">
        <f>IF(Y75="","",IF(I75=1,VLOOKUP(Y75,[2]男子種目コード!$A$1:$B$33,2,FALSE),IF(I75=2,VLOOKUP(Y75,[2]女子種目コード!$A$36:$B$66,2,FALSE))))</f>
        <v/>
      </c>
      <c r="AA75" s="114" t="str">
        <f>IF(Y75="","",HLOOKUP(Y75,#REF!,70,FALSE))</f>
        <v/>
      </c>
      <c r="AB75" s="115">
        <v>0</v>
      </c>
      <c r="AC75" s="116">
        <v>2</v>
      </c>
      <c r="AD75" s="97"/>
      <c r="AE75" s="98" t="str">
        <f t="shared" si="36"/>
        <v/>
      </c>
      <c r="AF75" s="120"/>
      <c r="AG75" s="121">
        <v>0</v>
      </c>
      <c r="AH75" s="121">
        <v>2</v>
      </c>
      <c r="AI75" s="101"/>
      <c r="AJ75" s="102" t="str">
        <f t="shared" si="32"/>
        <v/>
      </c>
      <c r="AK75" s="122"/>
      <c r="AL75" s="104">
        <v>0</v>
      </c>
      <c r="AM75" s="123">
        <v>2</v>
      </c>
      <c r="AN75" s="105"/>
      <c r="AO75" s="105"/>
      <c r="AQ75" s="167"/>
      <c r="AS75" s="24"/>
      <c r="AT75" s="8"/>
      <c r="AU75" s="8"/>
      <c r="AV75" s="25"/>
      <c r="AW75" s="25"/>
      <c r="AX75" s="26"/>
      <c r="AY75" s="26"/>
      <c r="AZ75" s="83"/>
      <c r="BA75" s="170"/>
      <c r="BB75" s="10"/>
      <c r="BC75" s="112" t="str">
        <f t="shared" si="21"/>
        <v/>
      </c>
      <c r="BD75" s="112">
        <f t="shared" si="22"/>
        <v>0</v>
      </c>
      <c r="BE75" s="112">
        <f t="shared" si="23"/>
        <v>0</v>
      </c>
      <c r="BF75" s="112">
        <f t="shared" si="24"/>
        <v>0</v>
      </c>
      <c r="BG75" s="112">
        <f t="shared" si="25"/>
        <v>0</v>
      </c>
      <c r="BI75" s="173"/>
      <c r="BJ75" s="15">
        <f t="shared" si="33"/>
        <v>0</v>
      </c>
      <c r="BK75" s="15" t="str">
        <f t="shared" si="28"/>
        <v/>
      </c>
      <c r="BL75" s="15" t="str">
        <f t="shared" si="29"/>
        <v/>
      </c>
      <c r="BM75" s="113" t="str">
        <f t="shared" si="34"/>
        <v/>
      </c>
      <c r="BN75" s="112">
        <f t="shared" si="35"/>
        <v>0</v>
      </c>
      <c r="BO75" s="10"/>
    </row>
    <row r="76" spans="1:67" hidden="1">
      <c r="A76" s="1" t="b">
        <f t="shared" si="30"/>
        <v>0</v>
      </c>
      <c r="B76" s="88" t="str">
        <f>[2]陸連登録!N71</f>
        <v/>
      </c>
      <c r="C76" s="1" t="b">
        <f t="shared" si="31"/>
        <v>0</v>
      </c>
      <c r="D76" s="89"/>
      <c r="E76" s="226"/>
      <c r="F76" s="227"/>
      <c r="G76" s="228"/>
      <c r="H76" s="229"/>
      <c r="I76" s="230"/>
      <c r="J76" s="231"/>
      <c r="K76" s="232"/>
      <c r="L76" s="233"/>
      <c r="M76" s="228"/>
      <c r="N76" s="234"/>
      <c r="O76" s="90"/>
      <c r="P76" s="91" t="str">
        <f t="shared" si="26"/>
        <v/>
      </c>
      <c r="Q76" s="114"/>
      <c r="R76" s="115">
        <v>0</v>
      </c>
      <c r="S76" s="116">
        <v>2</v>
      </c>
      <c r="T76" s="90"/>
      <c r="U76" s="91" t="str">
        <f t="shared" si="27"/>
        <v/>
      </c>
      <c r="V76" s="117"/>
      <c r="W76" s="115">
        <v>0</v>
      </c>
      <c r="X76" s="116">
        <v>2</v>
      </c>
      <c r="Y76" s="118"/>
      <c r="Z76" s="119" t="str">
        <f>IF(Y76="","",IF(I76=1,VLOOKUP(Y76,[2]男子種目コード!$A$1:$B$33,2,FALSE),IF(I76=2,VLOOKUP(Y76,[2]女子種目コード!$A$36:$B$66,2,FALSE))))</f>
        <v/>
      </c>
      <c r="AA76" s="114" t="str">
        <f>IF(Y76="","",HLOOKUP(Y76,#REF!,71,FALSE))</f>
        <v/>
      </c>
      <c r="AB76" s="115">
        <v>0</v>
      </c>
      <c r="AC76" s="116">
        <v>2</v>
      </c>
      <c r="AD76" s="97"/>
      <c r="AE76" s="98" t="str">
        <f t="shared" si="36"/>
        <v/>
      </c>
      <c r="AF76" s="120"/>
      <c r="AG76" s="121">
        <v>0</v>
      </c>
      <c r="AH76" s="121">
        <v>2</v>
      </c>
      <c r="AI76" s="101"/>
      <c r="AJ76" s="102" t="str">
        <f t="shared" si="32"/>
        <v/>
      </c>
      <c r="AK76" s="122"/>
      <c r="AL76" s="104">
        <v>0</v>
      </c>
      <c r="AM76" s="123">
        <v>2</v>
      </c>
      <c r="AN76" s="105"/>
      <c r="AO76" s="105"/>
      <c r="AQ76" s="167"/>
      <c r="AS76" s="24"/>
      <c r="AT76" s="8"/>
      <c r="AU76" s="8"/>
      <c r="AV76" s="25"/>
      <c r="AW76" s="25"/>
      <c r="AX76" s="26"/>
      <c r="AY76" s="26"/>
      <c r="AZ76" s="83"/>
      <c r="BA76" s="170"/>
      <c r="BB76" s="10"/>
      <c r="BC76" s="112" t="str">
        <f t="shared" si="21"/>
        <v/>
      </c>
      <c r="BD76" s="112">
        <f t="shared" si="22"/>
        <v>0</v>
      </c>
      <c r="BE76" s="112">
        <f t="shared" si="23"/>
        <v>0</v>
      </c>
      <c r="BF76" s="112">
        <f t="shared" si="24"/>
        <v>0</v>
      </c>
      <c r="BG76" s="112">
        <f t="shared" si="25"/>
        <v>0</v>
      </c>
      <c r="BI76" s="173"/>
      <c r="BJ76" s="15">
        <f t="shared" si="33"/>
        <v>0</v>
      </c>
      <c r="BK76" s="15" t="str">
        <f t="shared" si="28"/>
        <v/>
      </c>
      <c r="BL76" s="15" t="str">
        <f t="shared" si="29"/>
        <v/>
      </c>
      <c r="BM76" s="113" t="str">
        <f t="shared" si="34"/>
        <v/>
      </c>
      <c r="BN76" s="112">
        <f t="shared" si="35"/>
        <v>0</v>
      </c>
      <c r="BO76" s="10"/>
    </row>
    <row r="77" spans="1:67" hidden="1">
      <c r="A77" s="1" t="b">
        <f t="shared" si="30"/>
        <v>0</v>
      </c>
      <c r="B77" s="88" t="str">
        <f>[2]陸連登録!N72</f>
        <v/>
      </c>
      <c r="C77" s="1" t="b">
        <f t="shared" si="31"/>
        <v>0</v>
      </c>
      <c r="D77" s="89"/>
      <c r="E77" s="226"/>
      <c r="F77" s="227"/>
      <c r="G77" s="228"/>
      <c r="H77" s="229"/>
      <c r="I77" s="230"/>
      <c r="J77" s="231"/>
      <c r="K77" s="232"/>
      <c r="L77" s="233"/>
      <c r="M77" s="228"/>
      <c r="N77" s="234"/>
      <c r="O77" s="90"/>
      <c r="P77" s="91" t="str">
        <f t="shared" si="26"/>
        <v/>
      </c>
      <c r="Q77" s="114"/>
      <c r="R77" s="115">
        <v>0</v>
      </c>
      <c r="S77" s="116">
        <v>2</v>
      </c>
      <c r="T77" s="90"/>
      <c r="U77" s="91" t="str">
        <f t="shared" si="27"/>
        <v/>
      </c>
      <c r="V77" s="117"/>
      <c r="W77" s="115">
        <v>0</v>
      </c>
      <c r="X77" s="116">
        <v>2</v>
      </c>
      <c r="Y77" s="118"/>
      <c r="Z77" s="119" t="str">
        <f>IF(Y77="","",IF(I77=1,VLOOKUP(Y77,[2]男子種目コード!$A$1:$B$33,2,FALSE),IF(I77=2,VLOOKUP(Y77,[2]女子種目コード!$A$36:$B$66,2,FALSE))))</f>
        <v/>
      </c>
      <c r="AA77" s="114" t="str">
        <f>IF(Y77="","",HLOOKUP(Y77,#REF!,72,FALSE))</f>
        <v/>
      </c>
      <c r="AB77" s="115">
        <v>0</v>
      </c>
      <c r="AC77" s="116">
        <v>2</v>
      </c>
      <c r="AD77" s="97"/>
      <c r="AE77" s="98" t="str">
        <f t="shared" si="36"/>
        <v/>
      </c>
      <c r="AF77" s="120"/>
      <c r="AG77" s="121">
        <v>0</v>
      </c>
      <c r="AH77" s="121">
        <v>2</v>
      </c>
      <c r="AI77" s="101"/>
      <c r="AJ77" s="102" t="str">
        <f t="shared" si="32"/>
        <v/>
      </c>
      <c r="AK77" s="122"/>
      <c r="AL77" s="104">
        <v>0</v>
      </c>
      <c r="AM77" s="123">
        <v>2</v>
      </c>
      <c r="AN77" s="105"/>
      <c r="AO77" s="105"/>
      <c r="AQ77" s="167"/>
      <c r="AS77" s="24"/>
      <c r="AT77" s="8"/>
      <c r="AU77" s="8"/>
      <c r="AV77" s="25"/>
      <c r="AW77" s="25"/>
      <c r="AX77" s="26"/>
      <c r="AY77" s="26"/>
      <c r="AZ77" s="83"/>
      <c r="BA77" s="170"/>
      <c r="BB77" s="10"/>
      <c r="BC77" s="112" t="str">
        <f t="shared" si="21"/>
        <v/>
      </c>
      <c r="BD77" s="112">
        <f t="shared" si="22"/>
        <v>0</v>
      </c>
      <c r="BE77" s="112">
        <f t="shared" si="23"/>
        <v>0</v>
      </c>
      <c r="BF77" s="112">
        <f t="shared" si="24"/>
        <v>0</v>
      </c>
      <c r="BG77" s="112">
        <f t="shared" si="25"/>
        <v>0</v>
      </c>
      <c r="BI77" s="173"/>
      <c r="BJ77" s="15">
        <f t="shared" si="33"/>
        <v>0</v>
      </c>
      <c r="BK77" s="15" t="str">
        <f t="shared" si="28"/>
        <v/>
      </c>
      <c r="BL77" s="15" t="str">
        <f t="shared" si="29"/>
        <v/>
      </c>
      <c r="BM77" s="113" t="str">
        <f t="shared" si="34"/>
        <v/>
      </c>
      <c r="BN77" s="112">
        <f t="shared" si="35"/>
        <v>0</v>
      </c>
      <c r="BO77" s="10"/>
    </row>
    <row r="78" spans="1:67" hidden="1">
      <c r="A78" s="1" t="b">
        <f t="shared" si="30"/>
        <v>0</v>
      </c>
      <c r="B78" s="88" t="str">
        <f>[2]陸連登録!N73</f>
        <v/>
      </c>
      <c r="C78" s="1" t="b">
        <f t="shared" si="31"/>
        <v>0</v>
      </c>
      <c r="D78" s="89"/>
      <c r="E78" s="226"/>
      <c r="F78" s="227"/>
      <c r="G78" s="228"/>
      <c r="H78" s="229"/>
      <c r="I78" s="230"/>
      <c r="J78" s="231"/>
      <c r="K78" s="232"/>
      <c r="L78" s="233"/>
      <c r="M78" s="228"/>
      <c r="N78" s="234"/>
      <c r="O78" s="90"/>
      <c r="P78" s="91" t="str">
        <f t="shared" si="26"/>
        <v/>
      </c>
      <c r="Q78" s="114"/>
      <c r="R78" s="115">
        <v>0</v>
      </c>
      <c r="S78" s="116">
        <v>2</v>
      </c>
      <c r="T78" s="90"/>
      <c r="U78" s="91" t="str">
        <f t="shared" si="27"/>
        <v/>
      </c>
      <c r="V78" s="117"/>
      <c r="W78" s="115">
        <v>0</v>
      </c>
      <c r="X78" s="116">
        <v>2</v>
      </c>
      <c r="Y78" s="118"/>
      <c r="Z78" s="119" t="str">
        <f>IF(Y78="","",IF(I78=1,VLOOKUP(Y78,[2]男子種目コード!$A$1:$B$33,2,FALSE),IF(I78=2,VLOOKUP(Y78,[2]女子種目コード!$A$36:$B$66,2,FALSE))))</f>
        <v/>
      </c>
      <c r="AA78" s="114" t="str">
        <f>IF(Y78="","",HLOOKUP(Y78,#REF!,73,FALSE))</f>
        <v/>
      </c>
      <c r="AB78" s="115">
        <v>0</v>
      </c>
      <c r="AC78" s="116">
        <v>2</v>
      </c>
      <c r="AD78" s="97"/>
      <c r="AE78" s="98" t="str">
        <f t="shared" si="36"/>
        <v/>
      </c>
      <c r="AF78" s="120"/>
      <c r="AG78" s="121">
        <v>0</v>
      </c>
      <c r="AH78" s="121">
        <v>2</v>
      </c>
      <c r="AI78" s="101"/>
      <c r="AJ78" s="102" t="str">
        <f t="shared" si="32"/>
        <v/>
      </c>
      <c r="AK78" s="122"/>
      <c r="AL78" s="104">
        <v>0</v>
      </c>
      <c r="AM78" s="123">
        <v>2</v>
      </c>
      <c r="AN78" s="105"/>
      <c r="AO78" s="105"/>
      <c r="AQ78" s="167"/>
      <c r="AS78" s="24"/>
      <c r="AT78" s="8"/>
      <c r="AU78" s="8"/>
      <c r="AV78" s="25"/>
      <c r="AW78" s="25"/>
      <c r="AX78" s="26"/>
      <c r="AY78" s="26"/>
      <c r="AZ78" s="83"/>
      <c r="BA78" s="170"/>
      <c r="BB78" s="10"/>
      <c r="BC78" s="112" t="str">
        <f t="shared" si="21"/>
        <v/>
      </c>
      <c r="BD78" s="112">
        <f t="shared" si="22"/>
        <v>0</v>
      </c>
      <c r="BE78" s="112">
        <f t="shared" si="23"/>
        <v>0</v>
      </c>
      <c r="BF78" s="112">
        <f t="shared" si="24"/>
        <v>0</v>
      </c>
      <c r="BG78" s="112">
        <f t="shared" si="25"/>
        <v>0</v>
      </c>
      <c r="BI78" s="173"/>
      <c r="BJ78" s="15">
        <f t="shared" si="33"/>
        <v>0</v>
      </c>
      <c r="BK78" s="15" t="str">
        <f t="shared" si="28"/>
        <v/>
      </c>
      <c r="BL78" s="15" t="str">
        <f t="shared" si="29"/>
        <v/>
      </c>
      <c r="BM78" s="113" t="str">
        <f t="shared" si="34"/>
        <v/>
      </c>
      <c r="BN78" s="112">
        <f t="shared" si="35"/>
        <v>0</v>
      </c>
      <c r="BO78" s="10"/>
    </row>
    <row r="79" spans="1:67" hidden="1">
      <c r="A79" s="1" t="b">
        <f t="shared" si="30"/>
        <v>0</v>
      </c>
      <c r="B79" s="88" t="str">
        <f>[2]陸連登録!N74</f>
        <v/>
      </c>
      <c r="C79" s="1" t="b">
        <f t="shared" si="31"/>
        <v>0</v>
      </c>
      <c r="D79" s="89"/>
      <c r="E79" s="226"/>
      <c r="F79" s="227"/>
      <c r="G79" s="228"/>
      <c r="H79" s="229"/>
      <c r="I79" s="230"/>
      <c r="J79" s="231"/>
      <c r="K79" s="232"/>
      <c r="L79" s="233"/>
      <c r="M79" s="228"/>
      <c r="N79" s="234"/>
      <c r="O79" s="90"/>
      <c r="P79" s="91" t="str">
        <f t="shared" si="26"/>
        <v/>
      </c>
      <c r="Q79" s="114"/>
      <c r="R79" s="115">
        <v>0</v>
      </c>
      <c r="S79" s="116">
        <v>2</v>
      </c>
      <c r="T79" s="90"/>
      <c r="U79" s="91" t="str">
        <f t="shared" si="27"/>
        <v/>
      </c>
      <c r="V79" s="117"/>
      <c r="W79" s="115">
        <v>0</v>
      </c>
      <c r="X79" s="116">
        <v>2</v>
      </c>
      <c r="Y79" s="118"/>
      <c r="Z79" s="119" t="str">
        <f>IF(Y79="","",IF(I79=1,VLOOKUP(Y79,[2]男子種目コード!$A$1:$B$33,2,FALSE),IF(I79=2,VLOOKUP(Y79,[2]女子種目コード!$A$36:$B$66,2,FALSE))))</f>
        <v/>
      </c>
      <c r="AA79" s="114" t="str">
        <f>IF(Y79="","",HLOOKUP(Y79,#REF!,74,FALSE))</f>
        <v/>
      </c>
      <c r="AB79" s="115">
        <v>0</v>
      </c>
      <c r="AC79" s="116">
        <v>2</v>
      </c>
      <c r="AD79" s="97"/>
      <c r="AE79" s="98" t="str">
        <f t="shared" si="36"/>
        <v/>
      </c>
      <c r="AF79" s="120"/>
      <c r="AG79" s="121">
        <v>0</v>
      </c>
      <c r="AH79" s="121">
        <v>2</v>
      </c>
      <c r="AI79" s="101"/>
      <c r="AJ79" s="102" t="str">
        <f t="shared" si="32"/>
        <v/>
      </c>
      <c r="AK79" s="122"/>
      <c r="AL79" s="104">
        <v>0</v>
      </c>
      <c r="AM79" s="123">
        <v>2</v>
      </c>
      <c r="AN79" s="105"/>
      <c r="AO79" s="105"/>
      <c r="AQ79" s="167"/>
      <c r="AS79" s="24"/>
      <c r="AT79" s="8"/>
      <c r="AU79" s="8"/>
      <c r="AV79" s="25"/>
      <c r="AW79" s="25"/>
      <c r="AX79" s="26"/>
      <c r="AY79" s="26"/>
      <c r="AZ79" s="83"/>
      <c r="BA79" s="170"/>
      <c r="BB79" s="10"/>
      <c r="BC79" s="112" t="str">
        <f t="shared" si="21"/>
        <v/>
      </c>
      <c r="BD79" s="112">
        <f t="shared" si="22"/>
        <v>0</v>
      </c>
      <c r="BE79" s="112">
        <f t="shared" si="23"/>
        <v>0</v>
      </c>
      <c r="BF79" s="112">
        <f t="shared" si="24"/>
        <v>0</v>
      </c>
      <c r="BG79" s="112">
        <f t="shared" si="25"/>
        <v>0</v>
      </c>
      <c r="BI79" s="173"/>
      <c r="BJ79" s="15">
        <f t="shared" si="33"/>
        <v>0</v>
      </c>
      <c r="BK79" s="15" t="str">
        <f t="shared" si="28"/>
        <v/>
      </c>
      <c r="BL79" s="15" t="str">
        <f t="shared" si="29"/>
        <v/>
      </c>
      <c r="BM79" s="113" t="str">
        <f t="shared" si="34"/>
        <v/>
      </c>
      <c r="BN79" s="112">
        <f t="shared" si="35"/>
        <v>0</v>
      </c>
      <c r="BO79" s="10"/>
    </row>
    <row r="80" spans="1:67" hidden="1">
      <c r="A80" s="1" t="b">
        <f t="shared" si="30"/>
        <v>0</v>
      </c>
      <c r="B80" s="88" t="str">
        <f>[2]陸連登録!N75</f>
        <v/>
      </c>
      <c r="C80" s="1" t="b">
        <f t="shared" si="31"/>
        <v>0</v>
      </c>
      <c r="D80" s="89"/>
      <c r="E80" s="226"/>
      <c r="F80" s="227"/>
      <c r="G80" s="228"/>
      <c r="H80" s="229"/>
      <c r="I80" s="230"/>
      <c r="J80" s="231"/>
      <c r="K80" s="232"/>
      <c r="L80" s="233"/>
      <c r="M80" s="228"/>
      <c r="N80" s="234"/>
      <c r="O80" s="90"/>
      <c r="P80" s="91" t="str">
        <f t="shared" si="26"/>
        <v/>
      </c>
      <c r="Q80" s="114"/>
      <c r="R80" s="115">
        <v>0</v>
      </c>
      <c r="S80" s="116">
        <v>2</v>
      </c>
      <c r="T80" s="90"/>
      <c r="U80" s="91" t="str">
        <f t="shared" si="27"/>
        <v/>
      </c>
      <c r="V80" s="117"/>
      <c r="W80" s="115">
        <v>0</v>
      </c>
      <c r="X80" s="116">
        <v>2</v>
      </c>
      <c r="Y80" s="118"/>
      <c r="Z80" s="119" t="str">
        <f>IF(Y80="","",IF(I80=1,VLOOKUP(Y80,[2]男子種目コード!$A$1:$B$33,2,FALSE),IF(I80=2,VLOOKUP(Y80,[2]女子種目コード!$A$36:$B$66,2,FALSE))))</f>
        <v/>
      </c>
      <c r="AA80" s="114" t="str">
        <f>IF(Y80="","",HLOOKUP(Y80,#REF!,75,FALSE))</f>
        <v/>
      </c>
      <c r="AB80" s="115">
        <v>0</v>
      </c>
      <c r="AC80" s="116">
        <v>2</v>
      </c>
      <c r="AD80" s="97"/>
      <c r="AE80" s="98" t="str">
        <f t="shared" si="36"/>
        <v/>
      </c>
      <c r="AF80" s="120"/>
      <c r="AG80" s="121">
        <v>0</v>
      </c>
      <c r="AH80" s="121">
        <v>2</v>
      </c>
      <c r="AI80" s="101"/>
      <c r="AJ80" s="102" t="str">
        <f t="shared" si="32"/>
        <v/>
      </c>
      <c r="AK80" s="122"/>
      <c r="AL80" s="104">
        <v>0</v>
      </c>
      <c r="AM80" s="123">
        <v>2</v>
      </c>
      <c r="AN80" s="105"/>
      <c r="AO80" s="105"/>
      <c r="AQ80" s="167"/>
      <c r="AS80" s="24"/>
      <c r="AT80" s="8"/>
      <c r="AU80" s="8"/>
      <c r="AV80" s="25"/>
      <c r="AW80" s="25"/>
      <c r="AX80" s="26"/>
      <c r="AY80" s="26"/>
      <c r="AZ80" s="83"/>
      <c r="BA80" s="170"/>
      <c r="BB80" s="10"/>
      <c r="BC80" s="112" t="str">
        <f t="shared" si="21"/>
        <v/>
      </c>
      <c r="BD80" s="112">
        <f t="shared" si="22"/>
        <v>0</v>
      </c>
      <c r="BE80" s="112">
        <f t="shared" si="23"/>
        <v>0</v>
      </c>
      <c r="BF80" s="112">
        <f t="shared" si="24"/>
        <v>0</v>
      </c>
      <c r="BG80" s="112">
        <f t="shared" si="25"/>
        <v>0</v>
      </c>
      <c r="BI80" s="173"/>
      <c r="BJ80" s="15">
        <f t="shared" si="33"/>
        <v>0</v>
      </c>
      <c r="BK80" s="15" t="str">
        <f t="shared" si="28"/>
        <v/>
      </c>
      <c r="BL80" s="15" t="str">
        <f t="shared" si="29"/>
        <v/>
      </c>
      <c r="BM80" s="113" t="str">
        <f t="shared" si="34"/>
        <v/>
      </c>
      <c r="BN80" s="112">
        <f t="shared" si="35"/>
        <v>0</v>
      </c>
      <c r="BO80" s="10"/>
    </row>
    <row r="81" spans="1:67" hidden="1">
      <c r="A81" s="1" t="b">
        <f t="shared" si="30"/>
        <v>0</v>
      </c>
      <c r="B81" s="88" t="str">
        <f>[2]陸連登録!N76</f>
        <v/>
      </c>
      <c r="C81" s="1" t="b">
        <f t="shared" si="31"/>
        <v>0</v>
      </c>
      <c r="D81" s="89"/>
      <c r="E81" s="226"/>
      <c r="F81" s="227"/>
      <c r="G81" s="228"/>
      <c r="H81" s="229"/>
      <c r="I81" s="230"/>
      <c r="J81" s="231"/>
      <c r="K81" s="232"/>
      <c r="L81" s="233"/>
      <c r="M81" s="228"/>
      <c r="N81" s="234"/>
      <c r="O81" s="90"/>
      <c r="P81" s="91" t="str">
        <f t="shared" si="26"/>
        <v/>
      </c>
      <c r="Q81" s="114"/>
      <c r="R81" s="115">
        <v>0</v>
      </c>
      <c r="S81" s="116">
        <v>2</v>
      </c>
      <c r="T81" s="90"/>
      <c r="U81" s="91" t="str">
        <f t="shared" si="27"/>
        <v/>
      </c>
      <c r="V81" s="117"/>
      <c r="W81" s="115">
        <v>0</v>
      </c>
      <c r="X81" s="116">
        <v>2</v>
      </c>
      <c r="Y81" s="118"/>
      <c r="Z81" s="119" t="str">
        <f>IF(Y81="","",IF(I81=1,VLOOKUP(Y81,[2]男子種目コード!$A$1:$B$33,2,FALSE),IF(I81=2,VLOOKUP(Y81,[2]女子種目コード!$A$36:$B$66,2,FALSE))))</f>
        <v/>
      </c>
      <c r="AA81" s="114" t="str">
        <f>IF(Y81="","",HLOOKUP(Y81,#REF!,76,FALSE))</f>
        <v/>
      </c>
      <c r="AB81" s="115">
        <v>0</v>
      </c>
      <c r="AC81" s="116">
        <v>2</v>
      </c>
      <c r="AD81" s="97"/>
      <c r="AE81" s="98" t="str">
        <f t="shared" si="36"/>
        <v/>
      </c>
      <c r="AF81" s="120"/>
      <c r="AG81" s="121">
        <v>0</v>
      </c>
      <c r="AH81" s="121">
        <v>2</v>
      </c>
      <c r="AI81" s="101"/>
      <c r="AJ81" s="102" t="str">
        <f t="shared" si="32"/>
        <v/>
      </c>
      <c r="AK81" s="122"/>
      <c r="AL81" s="104">
        <v>0</v>
      </c>
      <c r="AM81" s="123">
        <v>2</v>
      </c>
      <c r="AN81" s="105"/>
      <c r="AO81" s="105"/>
      <c r="AQ81" s="167"/>
      <c r="AS81" s="24"/>
      <c r="AT81" s="8"/>
      <c r="AU81" s="8"/>
      <c r="AV81" s="25"/>
      <c r="AW81" s="25"/>
      <c r="AX81" s="26"/>
      <c r="AY81" s="26"/>
      <c r="AZ81" s="83"/>
      <c r="BA81" s="170"/>
      <c r="BB81" s="10"/>
      <c r="BC81" s="112" t="str">
        <f t="shared" si="21"/>
        <v/>
      </c>
      <c r="BD81" s="112">
        <f t="shared" si="22"/>
        <v>0</v>
      </c>
      <c r="BE81" s="112">
        <f t="shared" si="23"/>
        <v>0</v>
      </c>
      <c r="BF81" s="112">
        <f t="shared" si="24"/>
        <v>0</v>
      </c>
      <c r="BG81" s="112">
        <f t="shared" si="25"/>
        <v>0</v>
      </c>
      <c r="BI81" s="173"/>
      <c r="BJ81" s="15">
        <f t="shared" si="33"/>
        <v>0</v>
      </c>
      <c r="BK81" s="15" t="str">
        <f t="shared" si="28"/>
        <v/>
      </c>
      <c r="BL81" s="15" t="str">
        <f t="shared" si="29"/>
        <v/>
      </c>
      <c r="BM81" s="113" t="str">
        <f t="shared" si="34"/>
        <v/>
      </c>
      <c r="BN81" s="112">
        <f t="shared" si="35"/>
        <v>0</v>
      </c>
      <c r="BO81" s="10"/>
    </row>
    <row r="82" spans="1:67" hidden="1">
      <c r="A82" s="1" t="b">
        <f t="shared" si="30"/>
        <v>0</v>
      </c>
      <c r="B82" s="88" t="str">
        <f>[2]陸連登録!N77</f>
        <v/>
      </c>
      <c r="C82" s="1" t="b">
        <f t="shared" si="31"/>
        <v>0</v>
      </c>
      <c r="D82" s="89"/>
      <c r="E82" s="226"/>
      <c r="F82" s="227"/>
      <c r="G82" s="228"/>
      <c r="H82" s="229"/>
      <c r="I82" s="230"/>
      <c r="J82" s="231"/>
      <c r="K82" s="232"/>
      <c r="L82" s="233"/>
      <c r="M82" s="228"/>
      <c r="N82" s="234"/>
      <c r="O82" s="90"/>
      <c r="P82" s="91" t="str">
        <f t="shared" si="26"/>
        <v/>
      </c>
      <c r="Q82" s="114"/>
      <c r="R82" s="115">
        <v>0</v>
      </c>
      <c r="S82" s="116">
        <v>2</v>
      </c>
      <c r="T82" s="90"/>
      <c r="U82" s="91" t="str">
        <f t="shared" si="27"/>
        <v/>
      </c>
      <c r="V82" s="117"/>
      <c r="W82" s="115">
        <v>0</v>
      </c>
      <c r="X82" s="116">
        <v>2</v>
      </c>
      <c r="Y82" s="118"/>
      <c r="Z82" s="119" t="str">
        <f>IF(Y82="","",IF(I82=1,VLOOKUP(Y82,[2]男子種目コード!$A$1:$B$33,2,FALSE),IF(I82=2,VLOOKUP(Y82,[2]女子種目コード!$A$36:$B$66,2,FALSE))))</f>
        <v/>
      </c>
      <c r="AA82" s="114" t="str">
        <f>IF(Y82="","",HLOOKUP(Y82,#REF!,77,FALSE))</f>
        <v/>
      </c>
      <c r="AB82" s="115">
        <v>0</v>
      </c>
      <c r="AC82" s="116">
        <v>2</v>
      </c>
      <c r="AD82" s="97"/>
      <c r="AE82" s="98" t="str">
        <f t="shared" si="36"/>
        <v/>
      </c>
      <c r="AF82" s="120"/>
      <c r="AG82" s="121">
        <v>0</v>
      </c>
      <c r="AH82" s="121">
        <v>2</v>
      </c>
      <c r="AI82" s="101"/>
      <c r="AJ82" s="102" t="str">
        <f t="shared" si="32"/>
        <v/>
      </c>
      <c r="AK82" s="122"/>
      <c r="AL82" s="104">
        <v>0</v>
      </c>
      <c r="AM82" s="123">
        <v>2</v>
      </c>
      <c r="AN82" s="105"/>
      <c r="AO82" s="105"/>
      <c r="AQ82" s="167"/>
      <c r="AS82" s="24"/>
      <c r="AT82" s="8"/>
      <c r="AU82" s="8"/>
      <c r="AV82" s="25"/>
      <c r="AW82" s="25"/>
      <c r="AX82" s="26"/>
      <c r="AY82" s="26"/>
      <c r="AZ82" s="83"/>
      <c r="BA82" s="170"/>
      <c r="BB82" s="10"/>
      <c r="BC82" s="112" t="str">
        <f t="shared" si="21"/>
        <v/>
      </c>
      <c r="BD82" s="112">
        <f t="shared" si="22"/>
        <v>0</v>
      </c>
      <c r="BE82" s="112">
        <f t="shared" si="23"/>
        <v>0</v>
      </c>
      <c r="BF82" s="112">
        <f t="shared" si="24"/>
        <v>0</v>
      </c>
      <c r="BG82" s="112">
        <f t="shared" si="25"/>
        <v>0</v>
      </c>
      <c r="BI82" s="173"/>
      <c r="BJ82" s="15">
        <f t="shared" si="33"/>
        <v>0</v>
      </c>
      <c r="BK82" s="15" t="str">
        <f t="shared" si="28"/>
        <v/>
      </c>
      <c r="BL82" s="15" t="str">
        <f t="shared" si="29"/>
        <v/>
      </c>
      <c r="BM82" s="113" t="str">
        <f t="shared" si="34"/>
        <v/>
      </c>
      <c r="BN82" s="112">
        <f t="shared" si="35"/>
        <v>0</v>
      </c>
      <c r="BO82" s="10"/>
    </row>
    <row r="83" spans="1:67" hidden="1">
      <c r="A83" s="1" t="b">
        <f t="shared" si="30"/>
        <v>0</v>
      </c>
      <c r="B83" s="88" t="str">
        <f>[2]陸連登録!N78</f>
        <v/>
      </c>
      <c r="C83" s="1" t="b">
        <f t="shared" si="31"/>
        <v>0</v>
      </c>
      <c r="D83" s="89"/>
      <c r="E83" s="226"/>
      <c r="F83" s="227"/>
      <c r="G83" s="228"/>
      <c r="H83" s="229"/>
      <c r="I83" s="230"/>
      <c r="J83" s="231"/>
      <c r="K83" s="232"/>
      <c r="L83" s="233"/>
      <c r="M83" s="228"/>
      <c r="N83" s="234"/>
      <c r="O83" s="90"/>
      <c r="P83" s="91" t="str">
        <f t="shared" si="26"/>
        <v/>
      </c>
      <c r="Q83" s="114"/>
      <c r="R83" s="115">
        <v>0</v>
      </c>
      <c r="S83" s="116">
        <v>2</v>
      </c>
      <c r="T83" s="90"/>
      <c r="U83" s="91" t="str">
        <f t="shared" si="27"/>
        <v/>
      </c>
      <c r="V83" s="117"/>
      <c r="W83" s="115">
        <v>0</v>
      </c>
      <c r="X83" s="116">
        <v>2</v>
      </c>
      <c r="Y83" s="118"/>
      <c r="Z83" s="119" t="str">
        <f>IF(Y83="","",IF(I83=1,VLOOKUP(Y83,[2]男子種目コード!$A$1:$B$33,2,FALSE),IF(I83=2,VLOOKUP(Y83,[2]女子種目コード!$A$36:$B$66,2,FALSE))))</f>
        <v/>
      </c>
      <c r="AA83" s="114" t="str">
        <f>IF(Y83="","",HLOOKUP(Y83,#REF!,78,FALSE))</f>
        <v/>
      </c>
      <c r="AB83" s="115">
        <v>0</v>
      </c>
      <c r="AC83" s="116">
        <v>2</v>
      </c>
      <c r="AD83" s="97"/>
      <c r="AE83" s="98" t="str">
        <f t="shared" si="36"/>
        <v/>
      </c>
      <c r="AF83" s="120"/>
      <c r="AG83" s="121">
        <v>0</v>
      </c>
      <c r="AH83" s="121">
        <v>2</v>
      </c>
      <c r="AI83" s="101"/>
      <c r="AJ83" s="102" t="str">
        <f t="shared" si="32"/>
        <v/>
      </c>
      <c r="AK83" s="122"/>
      <c r="AL83" s="104">
        <v>0</v>
      </c>
      <c r="AM83" s="123">
        <v>2</v>
      </c>
      <c r="AN83" s="105"/>
      <c r="AO83" s="105"/>
      <c r="AQ83" s="167"/>
      <c r="AS83" s="24"/>
      <c r="AT83" s="8"/>
      <c r="AU83" s="8"/>
      <c r="AV83" s="25"/>
      <c r="AW83" s="25"/>
      <c r="AX83" s="26"/>
      <c r="AY83" s="26"/>
      <c r="AZ83" s="83"/>
      <c r="BA83" s="170"/>
      <c r="BB83" s="10"/>
      <c r="BC83" s="112" t="str">
        <f t="shared" si="21"/>
        <v/>
      </c>
      <c r="BD83" s="112">
        <f t="shared" si="22"/>
        <v>0</v>
      </c>
      <c r="BE83" s="112">
        <f t="shared" si="23"/>
        <v>0</v>
      </c>
      <c r="BF83" s="112">
        <f t="shared" si="24"/>
        <v>0</v>
      </c>
      <c r="BG83" s="112">
        <f t="shared" si="25"/>
        <v>0</v>
      </c>
      <c r="BI83" s="173"/>
      <c r="BJ83" s="15">
        <f t="shared" si="33"/>
        <v>0</v>
      </c>
      <c r="BK83" s="15" t="str">
        <f t="shared" si="28"/>
        <v/>
      </c>
      <c r="BL83" s="15" t="str">
        <f t="shared" si="29"/>
        <v/>
      </c>
      <c r="BM83" s="113" t="str">
        <f t="shared" si="34"/>
        <v/>
      </c>
      <c r="BN83" s="112">
        <f t="shared" si="35"/>
        <v>0</v>
      </c>
      <c r="BO83" s="10"/>
    </row>
    <row r="84" spans="1:67" hidden="1">
      <c r="A84" s="1" t="b">
        <f t="shared" si="30"/>
        <v>0</v>
      </c>
      <c r="B84" s="88" t="str">
        <f>[2]陸連登録!N79</f>
        <v/>
      </c>
      <c r="C84" s="1" t="b">
        <f t="shared" si="31"/>
        <v>0</v>
      </c>
      <c r="D84" s="89"/>
      <c r="E84" s="226"/>
      <c r="F84" s="227"/>
      <c r="G84" s="228"/>
      <c r="H84" s="229"/>
      <c r="I84" s="230"/>
      <c r="J84" s="231"/>
      <c r="K84" s="232"/>
      <c r="L84" s="233"/>
      <c r="M84" s="228"/>
      <c r="N84" s="234"/>
      <c r="O84" s="90"/>
      <c r="P84" s="91" t="str">
        <f t="shared" si="26"/>
        <v/>
      </c>
      <c r="Q84" s="114"/>
      <c r="R84" s="115">
        <v>0</v>
      </c>
      <c r="S84" s="116">
        <v>2</v>
      </c>
      <c r="T84" s="90"/>
      <c r="U84" s="91" t="str">
        <f t="shared" si="27"/>
        <v/>
      </c>
      <c r="V84" s="117"/>
      <c r="W84" s="115">
        <v>0</v>
      </c>
      <c r="X84" s="116">
        <v>2</v>
      </c>
      <c r="Y84" s="118"/>
      <c r="Z84" s="119" t="str">
        <f>IF(Y84="","",IF(I84=1,VLOOKUP(Y84,[2]男子種目コード!$A$1:$B$33,2,FALSE),IF(I84=2,VLOOKUP(Y84,[2]女子種目コード!$A$36:$B$66,2,FALSE))))</f>
        <v/>
      </c>
      <c r="AA84" s="114" t="str">
        <f>IF(Y84="","",HLOOKUP(Y84,#REF!,79,FALSE))</f>
        <v/>
      </c>
      <c r="AB84" s="115">
        <v>0</v>
      </c>
      <c r="AC84" s="116">
        <v>2</v>
      </c>
      <c r="AD84" s="97"/>
      <c r="AE84" s="98" t="str">
        <f t="shared" si="36"/>
        <v/>
      </c>
      <c r="AF84" s="120"/>
      <c r="AG84" s="121">
        <v>0</v>
      </c>
      <c r="AH84" s="121">
        <v>2</v>
      </c>
      <c r="AI84" s="101"/>
      <c r="AJ84" s="102" t="str">
        <f t="shared" si="32"/>
        <v/>
      </c>
      <c r="AK84" s="122"/>
      <c r="AL84" s="104">
        <v>0</v>
      </c>
      <c r="AM84" s="123">
        <v>2</v>
      </c>
      <c r="AN84" s="105"/>
      <c r="AO84" s="105"/>
      <c r="AQ84" s="167"/>
      <c r="AS84" s="24"/>
      <c r="AT84" s="8"/>
      <c r="AU84" s="8"/>
      <c r="AV84" s="25"/>
      <c r="AW84" s="25"/>
      <c r="AX84" s="26"/>
      <c r="AY84" s="26"/>
      <c r="AZ84" s="83"/>
      <c r="BA84" s="170"/>
      <c r="BB84" s="10"/>
      <c r="BC84" s="112" t="str">
        <f t="shared" si="21"/>
        <v/>
      </c>
      <c r="BD84" s="112">
        <f t="shared" si="22"/>
        <v>0</v>
      </c>
      <c r="BE84" s="112">
        <f t="shared" si="23"/>
        <v>0</v>
      </c>
      <c r="BF84" s="112">
        <f t="shared" si="24"/>
        <v>0</v>
      </c>
      <c r="BG84" s="112">
        <f t="shared" si="25"/>
        <v>0</v>
      </c>
      <c r="BI84" s="173"/>
      <c r="BJ84" s="15">
        <f t="shared" si="33"/>
        <v>0</v>
      </c>
      <c r="BK84" s="15" t="str">
        <f t="shared" si="28"/>
        <v/>
      </c>
      <c r="BL84" s="15" t="str">
        <f t="shared" si="29"/>
        <v/>
      </c>
      <c r="BM84" s="113" t="str">
        <f t="shared" si="34"/>
        <v/>
      </c>
      <c r="BN84" s="112">
        <f t="shared" si="35"/>
        <v>0</v>
      </c>
      <c r="BO84" s="10"/>
    </row>
    <row r="85" spans="1:67" hidden="1">
      <c r="A85" s="1" t="b">
        <f t="shared" si="30"/>
        <v>0</v>
      </c>
      <c r="B85" s="88" t="str">
        <f>[2]陸連登録!N80</f>
        <v/>
      </c>
      <c r="C85" s="1" t="b">
        <f t="shared" si="31"/>
        <v>0</v>
      </c>
      <c r="D85" s="89"/>
      <c r="E85" s="226"/>
      <c r="F85" s="227"/>
      <c r="G85" s="228"/>
      <c r="H85" s="229"/>
      <c r="I85" s="230"/>
      <c r="J85" s="231"/>
      <c r="K85" s="232"/>
      <c r="L85" s="233"/>
      <c r="M85" s="228"/>
      <c r="N85" s="234"/>
      <c r="O85" s="90"/>
      <c r="P85" s="91" t="str">
        <f t="shared" si="26"/>
        <v/>
      </c>
      <c r="Q85" s="114"/>
      <c r="R85" s="115">
        <v>0</v>
      </c>
      <c r="S85" s="116">
        <v>2</v>
      </c>
      <c r="T85" s="90"/>
      <c r="U85" s="91" t="str">
        <f t="shared" si="27"/>
        <v/>
      </c>
      <c r="V85" s="117"/>
      <c r="W85" s="115">
        <v>0</v>
      </c>
      <c r="X85" s="116">
        <v>2</v>
      </c>
      <c r="Y85" s="118"/>
      <c r="Z85" s="119" t="str">
        <f>IF(Y85="","",IF(I85=1,VLOOKUP(Y85,[2]男子種目コード!$A$1:$B$33,2,FALSE),IF(I85=2,VLOOKUP(Y85,[2]女子種目コード!$A$36:$B$66,2,FALSE))))</f>
        <v/>
      </c>
      <c r="AA85" s="114" t="str">
        <f>IF(Y85="","",HLOOKUP(Y85,#REF!,80,FALSE))</f>
        <v/>
      </c>
      <c r="AB85" s="115">
        <v>0</v>
      </c>
      <c r="AC85" s="116">
        <v>2</v>
      </c>
      <c r="AD85" s="97"/>
      <c r="AE85" s="98" t="str">
        <f t="shared" si="36"/>
        <v/>
      </c>
      <c r="AF85" s="120"/>
      <c r="AG85" s="121">
        <v>0</v>
      </c>
      <c r="AH85" s="121">
        <v>2</v>
      </c>
      <c r="AI85" s="101"/>
      <c r="AJ85" s="102" t="str">
        <f t="shared" si="32"/>
        <v/>
      </c>
      <c r="AK85" s="122"/>
      <c r="AL85" s="104">
        <v>0</v>
      </c>
      <c r="AM85" s="123">
        <v>2</v>
      </c>
      <c r="AN85" s="105"/>
      <c r="AO85" s="105"/>
      <c r="AQ85" s="167"/>
      <c r="AS85" s="24"/>
      <c r="AT85" s="8"/>
      <c r="AU85" s="8"/>
      <c r="AV85" s="25"/>
      <c r="AW85" s="25"/>
      <c r="AX85" s="26"/>
      <c r="AY85" s="26"/>
      <c r="AZ85" s="83"/>
      <c r="BA85" s="170"/>
      <c r="BB85" s="10"/>
      <c r="BC85" s="112" t="str">
        <f t="shared" si="21"/>
        <v/>
      </c>
      <c r="BD85" s="112">
        <f t="shared" si="22"/>
        <v>0</v>
      </c>
      <c r="BE85" s="112">
        <f t="shared" si="23"/>
        <v>0</v>
      </c>
      <c r="BF85" s="112">
        <f t="shared" si="24"/>
        <v>0</v>
      </c>
      <c r="BG85" s="112">
        <f t="shared" si="25"/>
        <v>0</v>
      </c>
      <c r="BI85" s="173"/>
      <c r="BJ85" s="15">
        <f t="shared" si="33"/>
        <v>0</v>
      </c>
      <c r="BK85" s="15" t="str">
        <f t="shared" si="28"/>
        <v/>
      </c>
      <c r="BL85" s="15" t="str">
        <f t="shared" si="29"/>
        <v/>
      </c>
      <c r="BM85" s="113" t="str">
        <f t="shared" si="34"/>
        <v/>
      </c>
      <c r="BN85" s="112">
        <f t="shared" si="35"/>
        <v>0</v>
      </c>
      <c r="BO85" s="10"/>
    </row>
    <row r="86" spans="1:67" hidden="1">
      <c r="A86" s="1" t="b">
        <f t="shared" si="30"/>
        <v>0</v>
      </c>
      <c r="B86" s="88" t="str">
        <f>[2]陸連登録!N81</f>
        <v/>
      </c>
      <c r="C86" s="1" t="b">
        <f t="shared" si="31"/>
        <v>0</v>
      </c>
      <c r="D86" s="89"/>
      <c r="E86" s="226"/>
      <c r="F86" s="227"/>
      <c r="G86" s="228"/>
      <c r="H86" s="229"/>
      <c r="I86" s="230"/>
      <c r="J86" s="231"/>
      <c r="K86" s="232"/>
      <c r="L86" s="233"/>
      <c r="M86" s="228"/>
      <c r="N86" s="234"/>
      <c r="O86" s="90"/>
      <c r="P86" s="91" t="str">
        <f t="shared" si="26"/>
        <v/>
      </c>
      <c r="Q86" s="114"/>
      <c r="R86" s="115">
        <v>0</v>
      </c>
      <c r="S86" s="116">
        <v>2</v>
      </c>
      <c r="T86" s="90"/>
      <c r="U86" s="91" t="str">
        <f t="shared" si="27"/>
        <v/>
      </c>
      <c r="V86" s="117"/>
      <c r="W86" s="115">
        <v>0</v>
      </c>
      <c r="X86" s="116">
        <v>2</v>
      </c>
      <c r="Y86" s="118"/>
      <c r="Z86" s="119" t="str">
        <f>IF(Y86="","",IF(I86=1,VLOOKUP(Y86,[2]男子種目コード!$A$1:$B$33,2,FALSE),IF(I86=2,VLOOKUP(Y86,[2]女子種目コード!$A$36:$B$66,2,FALSE))))</f>
        <v/>
      </c>
      <c r="AA86" s="114" t="str">
        <f>IF(Y86="","",HLOOKUP(Y86,#REF!,81,FALSE))</f>
        <v/>
      </c>
      <c r="AB86" s="115">
        <v>0</v>
      </c>
      <c r="AC86" s="116">
        <v>2</v>
      </c>
      <c r="AD86" s="97"/>
      <c r="AE86" s="98" t="str">
        <f t="shared" si="36"/>
        <v/>
      </c>
      <c r="AF86" s="120"/>
      <c r="AG86" s="121">
        <v>0</v>
      </c>
      <c r="AH86" s="121">
        <v>2</v>
      </c>
      <c r="AI86" s="101"/>
      <c r="AJ86" s="102" t="str">
        <f t="shared" si="32"/>
        <v/>
      </c>
      <c r="AK86" s="122"/>
      <c r="AL86" s="104">
        <v>0</v>
      </c>
      <c r="AM86" s="123">
        <v>2</v>
      </c>
      <c r="AN86" s="105"/>
      <c r="AO86" s="105"/>
      <c r="AQ86" s="167"/>
      <c r="AS86" s="24"/>
      <c r="AT86" s="8"/>
      <c r="AU86" s="8"/>
      <c r="AV86" s="25"/>
      <c r="AW86" s="25"/>
      <c r="AX86" s="26"/>
      <c r="AY86" s="26"/>
      <c r="AZ86" s="83"/>
      <c r="BA86" s="170"/>
      <c r="BB86" s="10"/>
      <c r="BC86" s="112" t="str">
        <f t="shared" si="21"/>
        <v/>
      </c>
      <c r="BD86" s="112">
        <f t="shared" si="22"/>
        <v>0</v>
      </c>
      <c r="BE86" s="112">
        <f t="shared" si="23"/>
        <v>0</v>
      </c>
      <c r="BF86" s="112">
        <f t="shared" si="24"/>
        <v>0</v>
      </c>
      <c r="BG86" s="112">
        <f t="shared" si="25"/>
        <v>0</v>
      </c>
      <c r="BI86" s="173"/>
      <c r="BJ86" s="15">
        <f t="shared" si="33"/>
        <v>0</v>
      </c>
      <c r="BK86" s="15" t="str">
        <f t="shared" si="28"/>
        <v/>
      </c>
      <c r="BL86" s="15" t="str">
        <f t="shared" si="29"/>
        <v/>
      </c>
      <c r="BM86" s="113" t="str">
        <f t="shared" si="34"/>
        <v/>
      </c>
      <c r="BN86" s="112">
        <f t="shared" si="35"/>
        <v>0</v>
      </c>
      <c r="BO86" s="10"/>
    </row>
    <row r="87" spans="1:67" hidden="1">
      <c r="A87" s="1" t="b">
        <f t="shared" si="30"/>
        <v>0</v>
      </c>
      <c r="B87" s="88" t="str">
        <f>[2]陸連登録!N82</f>
        <v/>
      </c>
      <c r="C87" s="1" t="b">
        <f t="shared" si="31"/>
        <v>0</v>
      </c>
      <c r="D87" s="89"/>
      <c r="E87" s="226"/>
      <c r="F87" s="227"/>
      <c r="G87" s="228"/>
      <c r="H87" s="229"/>
      <c r="I87" s="230"/>
      <c r="J87" s="231"/>
      <c r="K87" s="232"/>
      <c r="L87" s="233"/>
      <c r="M87" s="228"/>
      <c r="N87" s="234"/>
      <c r="O87" s="90"/>
      <c r="P87" s="91" t="str">
        <f t="shared" si="26"/>
        <v/>
      </c>
      <c r="Q87" s="114"/>
      <c r="R87" s="115">
        <v>0</v>
      </c>
      <c r="S87" s="116">
        <v>2</v>
      </c>
      <c r="T87" s="90"/>
      <c r="U87" s="91" t="str">
        <f t="shared" si="27"/>
        <v/>
      </c>
      <c r="V87" s="117"/>
      <c r="W87" s="115">
        <v>0</v>
      </c>
      <c r="X87" s="116">
        <v>2</v>
      </c>
      <c r="Y87" s="118"/>
      <c r="Z87" s="119" t="str">
        <f>IF(Y87="","",IF(I87=1,VLOOKUP(Y87,[2]男子種目コード!$A$1:$B$33,2,FALSE),IF(I87=2,VLOOKUP(Y87,[2]女子種目コード!$A$36:$B$66,2,FALSE))))</f>
        <v/>
      </c>
      <c r="AA87" s="114" t="str">
        <f>IF(Y87="","",HLOOKUP(Y87,#REF!,82,FALSE))</f>
        <v/>
      </c>
      <c r="AB87" s="115">
        <v>0</v>
      </c>
      <c r="AC87" s="116">
        <v>2</v>
      </c>
      <c r="AD87" s="97"/>
      <c r="AE87" s="98" t="str">
        <f t="shared" si="36"/>
        <v/>
      </c>
      <c r="AF87" s="120"/>
      <c r="AG87" s="121">
        <v>0</v>
      </c>
      <c r="AH87" s="121">
        <v>2</v>
      </c>
      <c r="AI87" s="101"/>
      <c r="AJ87" s="102" t="str">
        <f t="shared" si="32"/>
        <v/>
      </c>
      <c r="AK87" s="122"/>
      <c r="AL87" s="104">
        <v>0</v>
      </c>
      <c r="AM87" s="123">
        <v>2</v>
      </c>
      <c r="AN87" s="105"/>
      <c r="AO87" s="105"/>
      <c r="AQ87" s="167"/>
      <c r="AS87" s="24"/>
      <c r="AT87" s="8"/>
      <c r="AU87" s="8"/>
      <c r="AV87" s="25"/>
      <c r="AW87" s="25"/>
      <c r="AX87" s="26"/>
      <c r="AY87" s="26"/>
      <c r="AZ87" s="83"/>
      <c r="BA87" s="170"/>
      <c r="BB87" s="10"/>
      <c r="BC87" s="112" t="str">
        <f t="shared" si="21"/>
        <v/>
      </c>
      <c r="BD87" s="112">
        <f t="shared" si="22"/>
        <v>0</v>
      </c>
      <c r="BE87" s="112">
        <f t="shared" si="23"/>
        <v>0</v>
      </c>
      <c r="BF87" s="112">
        <f t="shared" si="24"/>
        <v>0</v>
      </c>
      <c r="BG87" s="112">
        <f t="shared" si="25"/>
        <v>0</v>
      </c>
      <c r="BI87" s="173"/>
      <c r="BJ87" s="15">
        <f t="shared" si="33"/>
        <v>0</v>
      </c>
      <c r="BK87" s="15" t="str">
        <f t="shared" si="28"/>
        <v/>
      </c>
      <c r="BL87" s="15" t="str">
        <f t="shared" si="29"/>
        <v/>
      </c>
      <c r="BM87" s="113" t="str">
        <f t="shared" si="34"/>
        <v/>
      </c>
      <c r="BN87" s="112">
        <f t="shared" si="35"/>
        <v>0</v>
      </c>
      <c r="BO87" s="10"/>
    </row>
    <row r="88" spans="1:67" hidden="1">
      <c r="A88" s="1" t="b">
        <f t="shared" si="30"/>
        <v>0</v>
      </c>
      <c r="B88" s="88" t="str">
        <f>[2]陸連登録!N83</f>
        <v/>
      </c>
      <c r="C88" s="1" t="b">
        <f t="shared" si="31"/>
        <v>0</v>
      </c>
      <c r="D88" s="89"/>
      <c r="E88" s="226"/>
      <c r="F88" s="227"/>
      <c r="G88" s="228"/>
      <c r="H88" s="229"/>
      <c r="I88" s="230"/>
      <c r="J88" s="231"/>
      <c r="K88" s="232"/>
      <c r="L88" s="233"/>
      <c r="M88" s="228"/>
      <c r="N88" s="234"/>
      <c r="O88" s="90"/>
      <c r="P88" s="91" t="str">
        <f t="shared" si="26"/>
        <v/>
      </c>
      <c r="Q88" s="114"/>
      <c r="R88" s="115">
        <v>0</v>
      </c>
      <c r="S88" s="116">
        <v>2</v>
      </c>
      <c r="T88" s="90"/>
      <c r="U88" s="91" t="str">
        <f t="shared" si="27"/>
        <v/>
      </c>
      <c r="V88" s="117"/>
      <c r="W88" s="115">
        <v>0</v>
      </c>
      <c r="X88" s="116">
        <v>2</v>
      </c>
      <c r="Y88" s="118"/>
      <c r="Z88" s="119" t="str">
        <f>IF(Y88="","",IF(I88=1,VLOOKUP(Y88,[2]男子種目コード!$A$1:$B$33,2,FALSE),IF(I88=2,VLOOKUP(Y88,[2]女子種目コード!$A$36:$B$66,2,FALSE))))</f>
        <v/>
      </c>
      <c r="AA88" s="114" t="str">
        <f>IF(Y88="","",HLOOKUP(Y88,#REF!,83,FALSE))</f>
        <v/>
      </c>
      <c r="AB88" s="115">
        <v>0</v>
      </c>
      <c r="AC88" s="116">
        <v>2</v>
      </c>
      <c r="AD88" s="97"/>
      <c r="AE88" s="98" t="str">
        <f t="shared" si="36"/>
        <v/>
      </c>
      <c r="AF88" s="120"/>
      <c r="AG88" s="121">
        <v>0</v>
      </c>
      <c r="AH88" s="121">
        <v>2</v>
      </c>
      <c r="AI88" s="101"/>
      <c r="AJ88" s="102" t="str">
        <f t="shared" si="32"/>
        <v/>
      </c>
      <c r="AK88" s="122"/>
      <c r="AL88" s="104">
        <v>0</v>
      </c>
      <c r="AM88" s="123">
        <v>2</v>
      </c>
      <c r="AN88" s="105"/>
      <c r="AO88" s="105"/>
      <c r="AQ88" s="167"/>
      <c r="AS88" s="24"/>
      <c r="AT88" s="8"/>
      <c r="AU88" s="8"/>
      <c r="AV88" s="25"/>
      <c r="AW88" s="25"/>
      <c r="AX88" s="26"/>
      <c r="AY88" s="26"/>
      <c r="AZ88" s="83"/>
      <c r="BA88" s="170"/>
      <c r="BB88" s="10"/>
      <c r="BC88" s="112" t="str">
        <f t="shared" si="21"/>
        <v/>
      </c>
      <c r="BD88" s="112">
        <f t="shared" si="22"/>
        <v>0</v>
      </c>
      <c r="BE88" s="112">
        <f t="shared" si="23"/>
        <v>0</v>
      </c>
      <c r="BF88" s="112">
        <f t="shared" si="24"/>
        <v>0</v>
      </c>
      <c r="BG88" s="112">
        <f t="shared" si="25"/>
        <v>0</v>
      </c>
      <c r="BI88" s="173"/>
      <c r="BJ88" s="15">
        <f t="shared" si="33"/>
        <v>0</v>
      </c>
      <c r="BK88" s="15" t="str">
        <f t="shared" si="28"/>
        <v/>
      </c>
      <c r="BL88" s="15" t="str">
        <f t="shared" si="29"/>
        <v/>
      </c>
      <c r="BM88" s="113" t="str">
        <f t="shared" si="34"/>
        <v/>
      </c>
      <c r="BN88" s="112">
        <f t="shared" si="35"/>
        <v>0</v>
      </c>
      <c r="BO88" s="10"/>
    </row>
    <row r="89" spans="1:67" hidden="1">
      <c r="A89" s="1" t="b">
        <f t="shared" si="30"/>
        <v>0</v>
      </c>
      <c r="B89" s="88" t="str">
        <f>[2]陸連登録!N84</f>
        <v/>
      </c>
      <c r="C89" s="1" t="b">
        <f t="shared" si="31"/>
        <v>0</v>
      </c>
      <c r="D89" s="89"/>
      <c r="E89" s="226"/>
      <c r="F89" s="227"/>
      <c r="G89" s="228"/>
      <c r="H89" s="229"/>
      <c r="I89" s="230"/>
      <c r="J89" s="231"/>
      <c r="K89" s="232"/>
      <c r="L89" s="233"/>
      <c r="M89" s="228"/>
      <c r="N89" s="234"/>
      <c r="O89" s="90"/>
      <c r="P89" s="91" t="str">
        <f t="shared" si="26"/>
        <v/>
      </c>
      <c r="Q89" s="114"/>
      <c r="R89" s="115">
        <v>0</v>
      </c>
      <c r="S89" s="116">
        <v>2</v>
      </c>
      <c r="T89" s="90"/>
      <c r="U89" s="91" t="str">
        <f t="shared" si="27"/>
        <v/>
      </c>
      <c r="V89" s="117"/>
      <c r="W89" s="115">
        <v>0</v>
      </c>
      <c r="X89" s="116">
        <v>2</v>
      </c>
      <c r="Y89" s="118"/>
      <c r="Z89" s="119" t="str">
        <f>IF(Y89="","",IF(I89=1,VLOOKUP(Y89,[2]男子種目コード!$A$1:$B$33,2,FALSE),IF(I89=2,VLOOKUP(Y89,[2]女子種目コード!$A$36:$B$66,2,FALSE))))</f>
        <v/>
      </c>
      <c r="AA89" s="114" t="str">
        <f>IF(Y89="","",HLOOKUP(Y89,#REF!,84,FALSE))</f>
        <v/>
      </c>
      <c r="AB89" s="115">
        <v>0</v>
      </c>
      <c r="AC89" s="116">
        <v>2</v>
      </c>
      <c r="AD89" s="97"/>
      <c r="AE89" s="98" t="str">
        <f t="shared" si="36"/>
        <v/>
      </c>
      <c r="AF89" s="120"/>
      <c r="AG89" s="121">
        <v>0</v>
      </c>
      <c r="AH89" s="121">
        <v>2</v>
      </c>
      <c r="AI89" s="101"/>
      <c r="AJ89" s="102" t="str">
        <f t="shared" si="32"/>
        <v/>
      </c>
      <c r="AK89" s="122"/>
      <c r="AL89" s="104">
        <v>0</v>
      </c>
      <c r="AM89" s="123">
        <v>2</v>
      </c>
      <c r="AN89" s="105"/>
      <c r="AO89" s="105"/>
      <c r="AQ89" s="167"/>
      <c r="AS89" s="24"/>
      <c r="AT89" s="8"/>
      <c r="AU89" s="8"/>
      <c r="AV89" s="25"/>
      <c r="AW89" s="25"/>
      <c r="AX89" s="26"/>
      <c r="AY89" s="26"/>
      <c r="AZ89" s="83"/>
      <c r="BA89" s="170"/>
      <c r="BB89" s="10"/>
      <c r="BC89" s="112" t="str">
        <f t="shared" si="21"/>
        <v/>
      </c>
      <c r="BD89" s="112">
        <f t="shared" si="22"/>
        <v>0</v>
      </c>
      <c r="BE89" s="112">
        <f t="shared" si="23"/>
        <v>0</v>
      </c>
      <c r="BF89" s="112">
        <f t="shared" si="24"/>
        <v>0</v>
      </c>
      <c r="BG89" s="112">
        <f t="shared" si="25"/>
        <v>0</v>
      </c>
      <c r="BI89" s="173"/>
      <c r="BJ89" s="15">
        <f t="shared" si="33"/>
        <v>0</v>
      </c>
      <c r="BK89" s="15" t="str">
        <f t="shared" si="28"/>
        <v/>
      </c>
      <c r="BL89" s="15" t="str">
        <f t="shared" si="29"/>
        <v/>
      </c>
      <c r="BM89" s="113" t="str">
        <f t="shared" si="34"/>
        <v/>
      </c>
      <c r="BN89" s="112">
        <f t="shared" si="35"/>
        <v>0</v>
      </c>
      <c r="BO89" s="10"/>
    </row>
    <row r="90" spans="1:67" hidden="1">
      <c r="A90" s="1" t="b">
        <f t="shared" si="30"/>
        <v>0</v>
      </c>
      <c r="B90" s="88" t="str">
        <f>[2]陸連登録!N85</f>
        <v/>
      </c>
      <c r="C90" s="1" t="b">
        <f t="shared" si="31"/>
        <v>0</v>
      </c>
      <c r="D90" s="89"/>
      <c r="E90" s="226"/>
      <c r="F90" s="227"/>
      <c r="G90" s="228"/>
      <c r="H90" s="229"/>
      <c r="I90" s="230"/>
      <c r="J90" s="231"/>
      <c r="K90" s="232"/>
      <c r="L90" s="233"/>
      <c r="M90" s="228"/>
      <c r="N90" s="234"/>
      <c r="O90" s="90"/>
      <c r="P90" s="91" t="str">
        <f t="shared" si="26"/>
        <v/>
      </c>
      <c r="Q90" s="114"/>
      <c r="R90" s="115">
        <v>0</v>
      </c>
      <c r="S90" s="116">
        <v>2</v>
      </c>
      <c r="T90" s="90"/>
      <c r="U90" s="91" t="str">
        <f t="shared" si="27"/>
        <v/>
      </c>
      <c r="V90" s="117"/>
      <c r="W90" s="115">
        <v>0</v>
      </c>
      <c r="X90" s="116">
        <v>2</v>
      </c>
      <c r="Y90" s="118"/>
      <c r="Z90" s="119" t="str">
        <f>IF(Y90="","",IF(I90=1,VLOOKUP(Y90,[2]男子種目コード!$A$1:$B$33,2,FALSE),IF(I90=2,VLOOKUP(Y90,[2]女子種目コード!$A$36:$B$66,2,FALSE))))</f>
        <v/>
      </c>
      <c r="AA90" s="114" t="str">
        <f>IF(Y90="","",HLOOKUP(Y90,#REF!,85,FALSE))</f>
        <v/>
      </c>
      <c r="AB90" s="115">
        <v>0</v>
      </c>
      <c r="AC90" s="116">
        <v>2</v>
      </c>
      <c r="AD90" s="97"/>
      <c r="AE90" s="98" t="str">
        <f t="shared" si="36"/>
        <v/>
      </c>
      <c r="AF90" s="120"/>
      <c r="AG90" s="121">
        <v>0</v>
      </c>
      <c r="AH90" s="121">
        <v>2</v>
      </c>
      <c r="AI90" s="101"/>
      <c r="AJ90" s="102" t="str">
        <f t="shared" si="32"/>
        <v/>
      </c>
      <c r="AK90" s="122"/>
      <c r="AL90" s="104">
        <v>0</v>
      </c>
      <c r="AM90" s="123">
        <v>2</v>
      </c>
      <c r="AN90" s="105"/>
      <c r="AO90" s="105"/>
      <c r="AQ90" s="167"/>
      <c r="AS90" s="24"/>
      <c r="AT90" s="8"/>
      <c r="AU90" s="8"/>
      <c r="AV90" s="25"/>
      <c r="AW90" s="25"/>
      <c r="AX90" s="26"/>
      <c r="AY90" s="26"/>
      <c r="AZ90" s="83"/>
      <c r="BA90" s="170"/>
      <c r="BB90" s="10"/>
      <c r="BC90" s="112" t="str">
        <f t="shared" si="21"/>
        <v/>
      </c>
      <c r="BD90" s="112">
        <f t="shared" si="22"/>
        <v>0</v>
      </c>
      <c r="BE90" s="112">
        <f t="shared" si="23"/>
        <v>0</v>
      </c>
      <c r="BF90" s="112">
        <f t="shared" si="24"/>
        <v>0</v>
      </c>
      <c r="BG90" s="112">
        <f t="shared" si="25"/>
        <v>0</v>
      </c>
      <c r="BI90" s="173"/>
      <c r="BJ90" s="15">
        <f t="shared" si="33"/>
        <v>0</v>
      </c>
      <c r="BK90" s="15" t="str">
        <f t="shared" si="28"/>
        <v/>
      </c>
      <c r="BL90" s="15" t="str">
        <f t="shared" si="29"/>
        <v/>
      </c>
      <c r="BM90" s="113" t="str">
        <f t="shared" si="34"/>
        <v/>
      </c>
      <c r="BN90" s="112">
        <f t="shared" si="35"/>
        <v>0</v>
      </c>
      <c r="BO90" s="10"/>
    </row>
    <row r="91" spans="1:67" hidden="1">
      <c r="A91" s="1" t="b">
        <f t="shared" si="30"/>
        <v>0</v>
      </c>
      <c r="B91" s="88" t="str">
        <f>[2]陸連登録!N86</f>
        <v/>
      </c>
      <c r="C91" s="1" t="b">
        <f t="shared" si="31"/>
        <v>0</v>
      </c>
      <c r="D91" s="89"/>
      <c r="E91" s="226"/>
      <c r="F91" s="227"/>
      <c r="G91" s="228"/>
      <c r="H91" s="229"/>
      <c r="I91" s="230"/>
      <c r="J91" s="231"/>
      <c r="K91" s="232"/>
      <c r="L91" s="233"/>
      <c r="M91" s="228"/>
      <c r="N91" s="234"/>
      <c r="O91" s="90"/>
      <c r="P91" s="91" t="str">
        <f t="shared" si="26"/>
        <v/>
      </c>
      <c r="Q91" s="114"/>
      <c r="R91" s="115">
        <v>0</v>
      </c>
      <c r="S91" s="116">
        <v>2</v>
      </c>
      <c r="T91" s="90"/>
      <c r="U91" s="91" t="str">
        <f t="shared" si="27"/>
        <v/>
      </c>
      <c r="V91" s="117"/>
      <c r="W91" s="115">
        <v>0</v>
      </c>
      <c r="X91" s="116">
        <v>2</v>
      </c>
      <c r="Y91" s="118"/>
      <c r="Z91" s="119" t="str">
        <f>IF(Y91="","",IF(I91=1,VLOOKUP(Y91,[2]男子種目コード!$A$1:$B$33,2,FALSE),IF(I91=2,VLOOKUP(Y91,[2]女子種目コード!$A$36:$B$66,2,FALSE))))</f>
        <v/>
      </c>
      <c r="AA91" s="114" t="str">
        <f>IF(Y91="","",HLOOKUP(Y91,#REF!,86,FALSE))</f>
        <v/>
      </c>
      <c r="AB91" s="115">
        <v>0</v>
      </c>
      <c r="AC91" s="116">
        <v>2</v>
      </c>
      <c r="AD91" s="97"/>
      <c r="AE91" s="98" t="str">
        <f t="shared" si="36"/>
        <v/>
      </c>
      <c r="AF91" s="120"/>
      <c r="AG91" s="121">
        <v>0</v>
      </c>
      <c r="AH91" s="121">
        <v>2</v>
      </c>
      <c r="AI91" s="101"/>
      <c r="AJ91" s="102" t="str">
        <f t="shared" si="32"/>
        <v/>
      </c>
      <c r="AK91" s="122"/>
      <c r="AL91" s="104">
        <v>0</v>
      </c>
      <c r="AM91" s="123">
        <v>2</v>
      </c>
      <c r="AN91" s="105"/>
      <c r="AO91" s="105"/>
      <c r="AQ91" s="167"/>
      <c r="AS91" s="24"/>
      <c r="AT91" s="8"/>
      <c r="AU91" s="8"/>
      <c r="AV91" s="25"/>
      <c r="AW91" s="25"/>
      <c r="AX91" s="26"/>
      <c r="AY91" s="26"/>
      <c r="AZ91" s="83"/>
      <c r="BA91" s="170"/>
      <c r="BB91" s="10"/>
      <c r="BC91" s="112" t="str">
        <f t="shared" si="21"/>
        <v/>
      </c>
      <c r="BD91" s="112">
        <f t="shared" si="22"/>
        <v>0</v>
      </c>
      <c r="BE91" s="112">
        <f t="shared" si="23"/>
        <v>0</v>
      </c>
      <c r="BF91" s="112">
        <f t="shared" si="24"/>
        <v>0</v>
      </c>
      <c r="BG91" s="112">
        <f t="shared" si="25"/>
        <v>0</v>
      </c>
      <c r="BI91" s="173"/>
      <c r="BJ91" s="15">
        <f t="shared" si="33"/>
        <v>0</v>
      </c>
      <c r="BK91" s="15" t="str">
        <f t="shared" si="28"/>
        <v/>
      </c>
      <c r="BL91" s="15" t="str">
        <f t="shared" si="29"/>
        <v/>
      </c>
      <c r="BM91" s="113" t="str">
        <f t="shared" si="34"/>
        <v/>
      </c>
      <c r="BN91" s="112">
        <f t="shared" si="35"/>
        <v>0</v>
      </c>
      <c r="BO91" s="10"/>
    </row>
    <row r="92" spans="1:67" hidden="1">
      <c r="A92" s="1" t="b">
        <f t="shared" si="30"/>
        <v>0</v>
      </c>
      <c r="B92" s="88" t="str">
        <f>[2]陸連登録!N87</f>
        <v/>
      </c>
      <c r="C92" s="1" t="b">
        <f t="shared" si="31"/>
        <v>0</v>
      </c>
      <c r="D92" s="89"/>
      <c r="E92" s="226"/>
      <c r="F92" s="227"/>
      <c r="G92" s="228"/>
      <c r="H92" s="229"/>
      <c r="I92" s="230"/>
      <c r="J92" s="231"/>
      <c r="K92" s="232"/>
      <c r="L92" s="233"/>
      <c r="M92" s="228"/>
      <c r="N92" s="234"/>
      <c r="O92" s="90"/>
      <c r="P92" s="91" t="str">
        <f t="shared" si="26"/>
        <v/>
      </c>
      <c r="Q92" s="114"/>
      <c r="R92" s="115">
        <v>0</v>
      </c>
      <c r="S92" s="116">
        <v>2</v>
      </c>
      <c r="T92" s="90"/>
      <c r="U92" s="91" t="str">
        <f t="shared" si="27"/>
        <v/>
      </c>
      <c r="V92" s="117"/>
      <c r="W92" s="115">
        <v>0</v>
      </c>
      <c r="X92" s="116">
        <v>2</v>
      </c>
      <c r="Y92" s="118"/>
      <c r="Z92" s="119" t="str">
        <f>IF(Y92="","",IF(I92=1,VLOOKUP(Y92,[2]男子種目コード!$A$1:$B$33,2,FALSE),IF(I92=2,VLOOKUP(Y92,[2]女子種目コード!$A$36:$B$66,2,FALSE))))</f>
        <v/>
      </c>
      <c r="AA92" s="114" t="str">
        <f>IF(Y92="","",HLOOKUP(Y92,#REF!,87,FALSE))</f>
        <v/>
      </c>
      <c r="AB92" s="115">
        <v>0</v>
      </c>
      <c r="AC92" s="116">
        <v>2</v>
      </c>
      <c r="AD92" s="97"/>
      <c r="AE92" s="98" t="str">
        <f t="shared" si="36"/>
        <v/>
      </c>
      <c r="AF92" s="120"/>
      <c r="AG92" s="121">
        <v>0</v>
      </c>
      <c r="AH92" s="121">
        <v>2</v>
      </c>
      <c r="AI92" s="101"/>
      <c r="AJ92" s="102" t="str">
        <f t="shared" si="32"/>
        <v/>
      </c>
      <c r="AK92" s="122"/>
      <c r="AL92" s="104">
        <v>0</v>
      </c>
      <c r="AM92" s="123">
        <v>2</v>
      </c>
      <c r="AN92" s="105"/>
      <c r="AO92" s="105"/>
      <c r="AQ92" s="167"/>
      <c r="AS92" s="24"/>
      <c r="AT92" s="8"/>
      <c r="AU92" s="8"/>
      <c r="AV92" s="25"/>
      <c r="AW92" s="25"/>
      <c r="AX92" s="26"/>
      <c r="AY92" s="26"/>
      <c r="AZ92" s="83"/>
      <c r="BA92" s="170"/>
      <c r="BB92" s="10"/>
      <c r="BC92" s="112" t="str">
        <f t="shared" si="21"/>
        <v/>
      </c>
      <c r="BD92" s="112">
        <f t="shared" si="22"/>
        <v>0</v>
      </c>
      <c r="BE92" s="112">
        <f t="shared" si="23"/>
        <v>0</v>
      </c>
      <c r="BF92" s="112">
        <f t="shared" si="24"/>
        <v>0</v>
      </c>
      <c r="BG92" s="112">
        <f t="shared" si="25"/>
        <v>0</v>
      </c>
      <c r="BI92" s="173"/>
      <c r="BJ92" s="15">
        <f t="shared" si="33"/>
        <v>0</v>
      </c>
      <c r="BK92" s="15" t="str">
        <f t="shared" si="28"/>
        <v/>
      </c>
      <c r="BL92" s="15" t="str">
        <f t="shared" si="29"/>
        <v/>
      </c>
      <c r="BM92" s="113" t="str">
        <f t="shared" si="34"/>
        <v/>
      </c>
      <c r="BN92" s="112">
        <f t="shared" si="35"/>
        <v>0</v>
      </c>
      <c r="BO92" s="10"/>
    </row>
    <row r="93" spans="1:67" hidden="1">
      <c r="A93" s="1" t="b">
        <f t="shared" si="30"/>
        <v>0</v>
      </c>
      <c r="B93" s="88" t="str">
        <f>[2]陸連登録!N88</f>
        <v/>
      </c>
      <c r="C93" s="1" t="b">
        <f t="shared" si="31"/>
        <v>0</v>
      </c>
      <c r="D93" s="89"/>
      <c r="E93" s="226"/>
      <c r="F93" s="227"/>
      <c r="G93" s="228"/>
      <c r="H93" s="229"/>
      <c r="I93" s="230"/>
      <c r="J93" s="231"/>
      <c r="K93" s="232"/>
      <c r="L93" s="233"/>
      <c r="M93" s="228"/>
      <c r="N93" s="234"/>
      <c r="O93" s="90"/>
      <c r="P93" s="91" t="str">
        <f t="shared" si="26"/>
        <v/>
      </c>
      <c r="Q93" s="114"/>
      <c r="R93" s="115">
        <v>0</v>
      </c>
      <c r="S93" s="116">
        <v>2</v>
      </c>
      <c r="T93" s="90"/>
      <c r="U93" s="91" t="str">
        <f t="shared" si="27"/>
        <v/>
      </c>
      <c r="V93" s="117"/>
      <c r="W93" s="115">
        <v>0</v>
      </c>
      <c r="X93" s="116">
        <v>2</v>
      </c>
      <c r="Y93" s="118"/>
      <c r="Z93" s="119" t="str">
        <f>IF(Y93="","",IF(I93=1,VLOOKUP(Y93,[2]男子種目コード!$A$1:$B$33,2,FALSE),IF(I93=2,VLOOKUP(Y93,[2]女子種目コード!$A$36:$B$66,2,FALSE))))</f>
        <v/>
      </c>
      <c r="AA93" s="114" t="str">
        <f>IF(Y93="","",HLOOKUP(Y93,#REF!,88,FALSE))</f>
        <v/>
      </c>
      <c r="AB93" s="115">
        <v>0</v>
      </c>
      <c r="AC93" s="116">
        <v>2</v>
      </c>
      <c r="AD93" s="97"/>
      <c r="AE93" s="98" t="str">
        <f t="shared" si="36"/>
        <v/>
      </c>
      <c r="AF93" s="120"/>
      <c r="AG93" s="121">
        <v>0</v>
      </c>
      <c r="AH93" s="121">
        <v>2</v>
      </c>
      <c r="AI93" s="101"/>
      <c r="AJ93" s="102" t="str">
        <f t="shared" si="32"/>
        <v/>
      </c>
      <c r="AK93" s="122"/>
      <c r="AL93" s="104">
        <v>0</v>
      </c>
      <c r="AM93" s="123">
        <v>2</v>
      </c>
      <c r="AN93" s="105"/>
      <c r="AO93" s="105"/>
      <c r="AQ93" s="167"/>
      <c r="AS93" s="26"/>
      <c r="AT93" s="26"/>
      <c r="AU93" s="26"/>
      <c r="AV93" s="25"/>
      <c r="AW93" s="25"/>
      <c r="AX93" s="26"/>
      <c r="AY93" s="26"/>
      <c r="AZ93" s="83"/>
      <c r="BA93" s="170"/>
      <c r="BB93" s="10"/>
      <c r="BC93" s="112" t="str">
        <f t="shared" si="21"/>
        <v/>
      </c>
      <c r="BD93" s="112">
        <f t="shared" si="22"/>
        <v>0</v>
      </c>
      <c r="BE93" s="112">
        <f t="shared" si="23"/>
        <v>0</v>
      </c>
      <c r="BF93" s="112">
        <f t="shared" si="24"/>
        <v>0</v>
      </c>
      <c r="BG93" s="112">
        <f t="shared" si="25"/>
        <v>0</v>
      </c>
      <c r="BI93" s="173"/>
      <c r="BJ93" s="15">
        <f t="shared" si="33"/>
        <v>0</v>
      </c>
      <c r="BK93" s="15" t="str">
        <f t="shared" si="28"/>
        <v/>
      </c>
      <c r="BL93" s="15" t="str">
        <f t="shared" si="29"/>
        <v/>
      </c>
      <c r="BM93" s="113" t="str">
        <f t="shared" si="34"/>
        <v/>
      </c>
      <c r="BN93" s="112">
        <f t="shared" si="35"/>
        <v>0</v>
      </c>
      <c r="BO93" s="10"/>
    </row>
    <row r="94" spans="1:67" hidden="1">
      <c r="A94" s="1" t="b">
        <f t="shared" si="30"/>
        <v>0</v>
      </c>
      <c r="B94" s="88" t="str">
        <f>[2]陸連登録!N89</f>
        <v/>
      </c>
      <c r="C94" s="1" t="b">
        <f t="shared" si="31"/>
        <v>0</v>
      </c>
      <c r="D94" s="89"/>
      <c r="E94" s="226"/>
      <c r="F94" s="227"/>
      <c r="G94" s="228"/>
      <c r="H94" s="229"/>
      <c r="I94" s="230"/>
      <c r="J94" s="231"/>
      <c r="K94" s="232"/>
      <c r="L94" s="233"/>
      <c r="M94" s="228"/>
      <c r="N94" s="234"/>
      <c r="O94" s="90"/>
      <c r="P94" s="91" t="str">
        <f t="shared" si="26"/>
        <v/>
      </c>
      <c r="Q94" s="114"/>
      <c r="R94" s="115">
        <v>0</v>
      </c>
      <c r="S94" s="116">
        <v>2</v>
      </c>
      <c r="T94" s="90"/>
      <c r="U94" s="91" t="str">
        <f t="shared" si="27"/>
        <v/>
      </c>
      <c r="V94" s="117"/>
      <c r="W94" s="115">
        <v>0</v>
      </c>
      <c r="X94" s="116">
        <v>2</v>
      </c>
      <c r="Y94" s="118"/>
      <c r="Z94" s="119" t="str">
        <f>IF(Y94="","",IF(I94=1,VLOOKUP(Y94,[2]男子種目コード!$A$1:$B$33,2,FALSE),IF(I94=2,VLOOKUP(Y94,[2]女子種目コード!$A$36:$B$66,2,FALSE))))</f>
        <v/>
      </c>
      <c r="AA94" s="114" t="str">
        <f>IF(Y94="","",HLOOKUP(Y94,#REF!,89,FALSE))</f>
        <v/>
      </c>
      <c r="AB94" s="115">
        <v>0</v>
      </c>
      <c r="AC94" s="116">
        <v>2</v>
      </c>
      <c r="AD94" s="97"/>
      <c r="AE94" s="98" t="str">
        <f t="shared" si="36"/>
        <v/>
      </c>
      <c r="AF94" s="120"/>
      <c r="AG94" s="121">
        <v>0</v>
      </c>
      <c r="AH94" s="121">
        <v>2</v>
      </c>
      <c r="AI94" s="101"/>
      <c r="AJ94" s="102" t="str">
        <f t="shared" si="32"/>
        <v/>
      </c>
      <c r="AK94" s="122"/>
      <c r="AL94" s="104">
        <v>0</v>
      </c>
      <c r="AM94" s="123">
        <v>2</v>
      </c>
      <c r="AN94" s="105"/>
      <c r="AO94" s="105"/>
      <c r="AQ94" s="167"/>
      <c r="AS94" s="10"/>
      <c r="AT94" s="10"/>
      <c r="AU94" s="10"/>
      <c r="AV94" s="25"/>
      <c r="AW94" s="25"/>
      <c r="AX94" s="26"/>
      <c r="AY94" s="26"/>
      <c r="AZ94" s="83"/>
      <c r="BA94" s="170"/>
      <c r="BB94" s="10"/>
      <c r="BC94" s="112" t="str">
        <f t="shared" si="21"/>
        <v/>
      </c>
      <c r="BD94" s="112">
        <f t="shared" si="22"/>
        <v>0</v>
      </c>
      <c r="BE94" s="112">
        <f t="shared" si="23"/>
        <v>0</v>
      </c>
      <c r="BF94" s="112">
        <f t="shared" si="24"/>
        <v>0</v>
      </c>
      <c r="BG94" s="112">
        <f t="shared" si="25"/>
        <v>0</v>
      </c>
      <c r="BI94" s="173"/>
      <c r="BJ94" s="15">
        <f t="shared" si="33"/>
        <v>0</v>
      </c>
      <c r="BK94" s="15" t="str">
        <f t="shared" si="28"/>
        <v/>
      </c>
      <c r="BL94" s="15" t="str">
        <f t="shared" si="29"/>
        <v/>
      </c>
      <c r="BM94" s="113" t="str">
        <f t="shared" si="34"/>
        <v/>
      </c>
      <c r="BN94" s="112">
        <f t="shared" si="35"/>
        <v>0</v>
      </c>
      <c r="BO94" s="10"/>
    </row>
    <row r="95" spans="1:67" hidden="1">
      <c r="A95" s="1" t="b">
        <f t="shared" si="30"/>
        <v>0</v>
      </c>
      <c r="B95" s="88" t="str">
        <f>[2]陸連登録!N90</f>
        <v/>
      </c>
      <c r="C95" s="1" t="b">
        <f t="shared" si="31"/>
        <v>0</v>
      </c>
      <c r="D95" s="89"/>
      <c r="E95" s="226"/>
      <c r="F95" s="227"/>
      <c r="G95" s="228"/>
      <c r="H95" s="229"/>
      <c r="I95" s="230"/>
      <c r="J95" s="231"/>
      <c r="K95" s="232"/>
      <c r="L95" s="233"/>
      <c r="M95" s="228"/>
      <c r="N95" s="234"/>
      <c r="O95" s="90"/>
      <c r="P95" s="91" t="str">
        <f t="shared" si="26"/>
        <v/>
      </c>
      <c r="Q95" s="114"/>
      <c r="R95" s="115">
        <v>0</v>
      </c>
      <c r="S95" s="116">
        <v>2</v>
      </c>
      <c r="T95" s="90"/>
      <c r="U95" s="91" t="str">
        <f t="shared" si="27"/>
        <v/>
      </c>
      <c r="V95" s="117"/>
      <c r="W95" s="115">
        <v>0</v>
      </c>
      <c r="X95" s="116">
        <v>2</v>
      </c>
      <c r="Y95" s="118"/>
      <c r="Z95" s="119" t="str">
        <f>IF(Y95="","",IF(I95=1,VLOOKUP(Y95,[2]男子種目コード!$A$1:$B$33,2,FALSE),IF(I95=2,VLOOKUP(Y95,[2]女子種目コード!$A$36:$B$66,2,FALSE))))</f>
        <v/>
      </c>
      <c r="AA95" s="114" t="str">
        <f>IF(Y95="","",HLOOKUP(Y95,#REF!,90,FALSE))</f>
        <v/>
      </c>
      <c r="AB95" s="115">
        <v>0</v>
      </c>
      <c r="AC95" s="116">
        <v>2</v>
      </c>
      <c r="AD95" s="97"/>
      <c r="AE95" s="98" t="str">
        <f t="shared" si="36"/>
        <v/>
      </c>
      <c r="AF95" s="120"/>
      <c r="AG95" s="121">
        <v>0</v>
      </c>
      <c r="AH95" s="121">
        <v>2</v>
      </c>
      <c r="AI95" s="101"/>
      <c r="AJ95" s="102" t="str">
        <f t="shared" si="32"/>
        <v/>
      </c>
      <c r="AK95" s="122"/>
      <c r="AL95" s="104">
        <v>0</v>
      </c>
      <c r="AM95" s="123">
        <v>2</v>
      </c>
      <c r="AN95" s="105"/>
      <c r="AO95" s="105"/>
      <c r="AQ95" s="167"/>
      <c r="AS95" s="10"/>
      <c r="AT95" s="10"/>
      <c r="AU95" s="10"/>
      <c r="AV95" s="25"/>
      <c r="AW95" s="25"/>
      <c r="AX95" s="26"/>
      <c r="AY95" s="26"/>
      <c r="AZ95" s="83"/>
      <c r="BA95" s="170"/>
      <c r="BB95" s="10"/>
      <c r="BC95" s="112" t="str">
        <f t="shared" si="21"/>
        <v/>
      </c>
      <c r="BD95" s="112">
        <f t="shared" si="22"/>
        <v>0</v>
      </c>
      <c r="BE95" s="112">
        <f t="shared" si="23"/>
        <v>0</v>
      </c>
      <c r="BF95" s="112">
        <f t="shared" si="24"/>
        <v>0</v>
      </c>
      <c r="BG95" s="112">
        <f t="shared" si="25"/>
        <v>0</v>
      </c>
      <c r="BI95" s="173"/>
      <c r="BJ95" s="15">
        <f t="shared" si="33"/>
        <v>0</v>
      </c>
      <c r="BK95" s="15" t="str">
        <f t="shared" si="28"/>
        <v/>
      </c>
      <c r="BL95" s="15" t="str">
        <f t="shared" si="29"/>
        <v/>
      </c>
      <c r="BM95" s="113" t="str">
        <f t="shared" si="34"/>
        <v/>
      </c>
      <c r="BN95" s="112">
        <f t="shared" si="35"/>
        <v>0</v>
      </c>
      <c r="BO95" s="10"/>
    </row>
    <row r="96" spans="1:67" hidden="1">
      <c r="A96" s="1" t="b">
        <f t="shared" si="30"/>
        <v>0</v>
      </c>
      <c r="B96" s="88" t="str">
        <f>[2]陸連登録!N91</f>
        <v/>
      </c>
      <c r="C96" s="1" t="b">
        <f t="shared" si="31"/>
        <v>0</v>
      </c>
      <c r="D96" s="89"/>
      <c r="E96" s="226"/>
      <c r="F96" s="227"/>
      <c r="G96" s="228"/>
      <c r="H96" s="229"/>
      <c r="I96" s="230"/>
      <c r="J96" s="231"/>
      <c r="K96" s="232"/>
      <c r="L96" s="233"/>
      <c r="M96" s="228"/>
      <c r="N96" s="234"/>
      <c r="O96" s="90"/>
      <c r="P96" s="91" t="str">
        <f t="shared" si="26"/>
        <v/>
      </c>
      <c r="Q96" s="114"/>
      <c r="R96" s="115">
        <v>0</v>
      </c>
      <c r="S96" s="116">
        <v>2</v>
      </c>
      <c r="T96" s="90"/>
      <c r="U96" s="91" t="str">
        <f t="shared" si="27"/>
        <v/>
      </c>
      <c r="V96" s="117"/>
      <c r="W96" s="115">
        <v>0</v>
      </c>
      <c r="X96" s="116">
        <v>2</v>
      </c>
      <c r="Y96" s="118"/>
      <c r="Z96" s="119" t="str">
        <f>IF(Y96="","",IF(I96=1,VLOOKUP(Y96,[2]男子種目コード!$A$1:$B$33,2,FALSE),IF(I96=2,VLOOKUP(Y96,[2]女子種目コード!$A$36:$B$66,2,FALSE))))</f>
        <v/>
      </c>
      <c r="AA96" s="114" t="str">
        <f>IF(Y96="","",HLOOKUP(Y96,#REF!,91,FALSE))</f>
        <v/>
      </c>
      <c r="AB96" s="115">
        <v>0</v>
      </c>
      <c r="AC96" s="116">
        <v>2</v>
      </c>
      <c r="AD96" s="97"/>
      <c r="AE96" s="98" t="str">
        <f t="shared" si="36"/>
        <v/>
      </c>
      <c r="AF96" s="120"/>
      <c r="AG96" s="121">
        <v>0</v>
      </c>
      <c r="AH96" s="121">
        <v>2</v>
      </c>
      <c r="AI96" s="101"/>
      <c r="AJ96" s="102" t="str">
        <f t="shared" si="32"/>
        <v/>
      </c>
      <c r="AK96" s="122"/>
      <c r="AL96" s="104">
        <v>0</v>
      </c>
      <c r="AM96" s="123">
        <v>2</v>
      </c>
      <c r="AN96" s="105"/>
      <c r="AO96" s="105"/>
      <c r="AQ96" s="167"/>
      <c r="AS96" s="10"/>
      <c r="AT96" s="10"/>
      <c r="AU96" s="10"/>
      <c r="AV96" s="25"/>
      <c r="AW96" s="25"/>
      <c r="AX96" s="26"/>
      <c r="AY96" s="26"/>
      <c r="AZ96" s="83"/>
      <c r="BA96" s="170"/>
      <c r="BB96" s="10"/>
      <c r="BC96" s="112" t="str">
        <f t="shared" si="21"/>
        <v/>
      </c>
      <c r="BD96" s="112">
        <f t="shared" si="22"/>
        <v>0</v>
      </c>
      <c r="BE96" s="112">
        <f t="shared" si="23"/>
        <v>0</v>
      </c>
      <c r="BF96" s="112">
        <f t="shared" si="24"/>
        <v>0</v>
      </c>
      <c r="BG96" s="112">
        <f t="shared" si="25"/>
        <v>0</v>
      </c>
      <c r="BI96" s="173"/>
      <c r="BJ96" s="15">
        <f t="shared" si="33"/>
        <v>0</v>
      </c>
      <c r="BK96" s="15" t="str">
        <f t="shared" si="28"/>
        <v/>
      </c>
      <c r="BL96" s="15" t="str">
        <f t="shared" si="29"/>
        <v/>
      </c>
      <c r="BM96" s="113" t="str">
        <f t="shared" si="34"/>
        <v/>
      </c>
      <c r="BN96" s="112">
        <f t="shared" si="35"/>
        <v>0</v>
      </c>
      <c r="BO96" s="10"/>
    </row>
    <row r="97" spans="1:67" hidden="1">
      <c r="A97" s="1" t="b">
        <f t="shared" si="30"/>
        <v>0</v>
      </c>
      <c r="B97" s="88" t="str">
        <f>[2]陸連登録!N92</f>
        <v/>
      </c>
      <c r="C97" s="1" t="b">
        <f t="shared" si="31"/>
        <v>0</v>
      </c>
      <c r="D97" s="89"/>
      <c r="E97" s="226"/>
      <c r="F97" s="227"/>
      <c r="G97" s="228"/>
      <c r="H97" s="229"/>
      <c r="I97" s="230"/>
      <c r="J97" s="231"/>
      <c r="K97" s="232"/>
      <c r="L97" s="233"/>
      <c r="M97" s="228"/>
      <c r="N97" s="234"/>
      <c r="O97" s="90"/>
      <c r="P97" s="91" t="str">
        <f t="shared" si="26"/>
        <v/>
      </c>
      <c r="Q97" s="114"/>
      <c r="R97" s="115">
        <v>0</v>
      </c>
      <c r="S97" s="116">
        <v>2</v>
      </c>
      <c r="T97" s="90"/>
      <c r="U97" s="91" t="str">
        <f t="shared" si="27"/>
        <v/>
      </c>
      <c r="V97" s="117"/>
      <c r="W97" s="115">
        <v>0</v>
      </c>
      <c r="X97" s="116">
        <v>2</v>
      </c>
      <c r="Y97" s="118"/>
      <c r="Z97" s="119" t="str">
        <f>IF(Y97="","",IF(I97=1,VLOOKUP(Y97,[2]男子種目コード!$A$1:$B$33,2,FALSE),IF(I97=2,VLOOKUP(Y97,[2]女子種目コード!$A$36:$B$66,2,FALSE))))</f>
        <v/>
      </c>
      <c r="AA97" s="114" t="str">
        <f>IF(Y97="","",HLOOKUP(Y97,#REF!,92,FALSE))</f>
        <v/>
      </c>
      <c r="AB97" s="115">
        <v>0</v>
      </c>
      <c r="AC97" s="116">
        <v>2</v>
      </c>
      <c r="AD97" s="97"/>
      <c r="AE97" s="98" t="str">
        <f t="shared" si="36"/>
        <v/>
      </c>
      <c r="AF97" s="120"/>
      <c r="AG97" s="121">
        <v>0</v>
      </c>
      <c r="AH97" s="121">
        <v>2</v>
      </c>
      <c r="AI97" s="101"/>
      <c r="AJ97" s="102" t="str">
        <f t="shared" si="32"/>
        <v/>
      </c>
      <c r="AK97" s="122"/>
      <c r="AL97" s="104">
        <v>0</v>
      </c>
      <c r="AM97" s="123">
        <v>2</v>
      </c>
      <c r="AN97" s="105"/>
      <c r="AO97" s="105"/>
      <c r="AQ97" s="167"/>
      <c r="AS97" s="10"/>
      <c r="AT97" s="10"/>
      <c r="AU97" s="10"/>
      <c r="AV97" s="25"/>
      <c r="AW97" s="25"/>
      <c r="AX97" s="26"/>
      <c r="AY97" s="26"/>
      <c r="AZ97" s="83"/>
      <c r="BA97" s="170"/>
      <c r="BB97" s="10"/>
      <c r="BC97" s="112" t="str">
        <f t="shared" si="21"/>
        <v/>
      </c>
      <c r="BD97" s="112">
        <f t="shared" si="22"/>
        <v>0</v>
      </c>
      <c r="BE97" s="112">
        <f t="shared" si="23"/>
        <v>0</v>
      </c>
      <c r="BF97" s="112">
        <f t="shared" si="24"/>
        <v>0</v>
      </c>
      <c r="BG97" s="112">
        <f t="shared" si="25"/>
        <v>0</v>
      </c>
      <c r="BI97" s="173"/>
      <c r="BJ97" s="15">
        <f t="shared" si="33"/>
        <v>0</v>
      </c>
      <c r="BK97" s="15" t="str">
        <f t="shared" si="28"/>
        <v/>
      </c>
      <c r="BL97" s="15" t="str">
        <f t="shared" si="29"/>
        <v/>
      </c>
      <c r="BM97" s="113" t="str">
        <f t="shared" si="34"/>
        <v/>
      </c>
      <c r="BN97" s="112">
        <f t="shared" si="35"/>
        <v>0</v>
      </c>
      <c r="BO97" s="10"/>
    </row>
    <row r="98" spans="1:67" hidden="1">
      <c r="A98" s="1" t="b">
        <f t="shared" si="30"/>
        <v>0</v>
      </c>
      <c r="B98" s="88" t="str">
        <f>[2]陸連登録!N93</f>
        <v/>
      </c>
      <c r="C98" s="1" t="b">
        <f t="shared" si="31"/>
        <v>0</v>
      </c>
      <c r="D98" s="89"/>
      <c r="E98" s="226"/>
      <c r="F98" s="227"/>
      <c r="G98" s="228"/>
      <c r="H98" s="229"/>
      <c r="I98" s="230"/>
      <c r="J98" s="231"/>
      <c r="K98" s="232"/>
      <c r="L98" s="233"/>
      <c r="M98" s="228"/>
      <c r="N98" s="234"/>
      <c r="O98" s="90"/>
      <c r="P98" s="91" t="str">
        <f t="shared" si="26"/>
        <v/>
      </c>
      <c r="Q98" s="114"/>
      <c r="R98" s="115">
        <v>0</v>
      </c>
      <c r="S98" s="116">
        <v>2</v>
      </c>
      <c r="T98" s="90"/>
      <c r="U98" s="91" t="str">
        <f t="shared" si="27"/>
        <v/>
      </c>
      <c r="V98" s="117"/>
      <c r="W98" s="115">
        <v>0</v>
      </c>
      <c r="X98" s="116">
        <v>2</v>
      </c>
      <c r="Y98" s="118"/>
      <c r="Z98" s="119" t="str">
        <f>IF(Y98="","",IF(I98=1,VLOOKUP(Y98,[2]男子種目コード!$A$1:$B$33,2,FALSE),IF(I98=2,VLOOKUP(Y98,[2]女子種目コード!$A$36:$B$66,2,FALSE))))</f>
        <v/>
      </c>
      <c r="AA98" s="114" t="str">
        <f>IF(Y98="","",HLOOKUP(Y98,#REF!,93,FALSE))</f>
        <v/>
      </c>
      <c r="AB98" s="115">
        <v>0</v>
      </c>
      <c r="AC98" s="116">
        <v>2</v>
      </c>
      <c r="AD98" s="97"/>
      <c r="AE98" s="98" t="str">
        <f t="shared" si="36"/>
        <v/>
      </c>
      <c r="AF98" s="120"/>
      <c r="AG98" s="121">
        <v>0</v>
      </c>
      <c r="AH98" s="121">
        <v>2</v>
      </c>
      <c r="AI98" s="101"/>
      <c r="AJ98" s="102" t="str">
        <f t="shared" si="32"/>
        <v/>
      </c>
      <c r="AK98" s="122"/>
      <c r="AL98" s="104">
        <v>0</v>
      </c>
      <c r="AM98" s="123">
        <v>2</v>
      </c>
      <c r="AN98" s="105"/>
      <c r="AO98" s="105"/>
      <c r="AQ98" s="167"/>
      <c r="AS98" s="10"/>
      <c r="AT98" s="10"/>
      <c r="AU98" s="10"/>
      <c r="AV98" s="25"/>
      <c r="AW98" s="25"/>
      <c r="AX98" s="26"/>
      <c r="AY98" s="26"/>
      <c r="AZ98" s="83"/>
      <c r="BA98" s="170"/>
      <c r="BB98" s="10"/>
      <c r="BC98" s="112" t="str">
        <f t="shared" si="21"/>
        <v/>
      </c>
      <c r="BD98" s="112">
        <f t="shared" si="22"/>
        <v>0</v>
      </c>
      <c r="BE98" s="112">
        <f t="shared" si="23"/>
        <v>0</v>
      </c>
      <c r="BF98" s="112">
        <f t="shared" si="24"/>
        <v>0</v>
      </c>
      <c r="BG98" s="112">
        <f t="shared" si="25"/>
        <v>0</v>
      </c>
      <c r="BI98" s="173"/>
      <c r="BJ98" s="15">
        <f t="shared" si="33"/>
        <v>0</v>
      </c>
      <c r="BK98" s="15" t="str">
        <f t="shared" si="28"/>
        <v/>
      </c>
      <c r="BL98" s="15" t="str">
        <f t="shared" si="29"/>
        <v/>
      </c>
      <c r="BM98" s="113" t="str">
        <f t="shared" si="34"/>
        <v/>
      </c>
      <c r="BN98" s="112">
        <f t="shared" si="35"/>
        <v>0</v>
      </c>
      <c r="BO98" s="10"/>
    </row>
    <row r="99" spans="1:67" hidden="1">
      <c r="A99" s="1" t="b">
        <f t="shared" si="30"/>
        <v>0</v>
      </c>
      <c r="B99" s="88" t="str">
        <f>[2]陸連登録!N94</f>
        <v/>
      </c>
      <c r="C99" s="1" t="b">
        <f t="shared" si="31"/>
        <v>0</v>
      </c>
      <c r="D99" s="89"/>
      <c r="E99" s="226"/>
      <c r="F99" s="227"/>
      <c r="G99" s="228"/>
      <c r="H99" s="229"/>
      <c r="I99" s="230"/>
      <c r="J99" s="231"/>
      <c r="K99" s="232"/>
      <c r="L99" s="233"/>
      <c r="M99" s="228"/>
      <c r="N99" s="234"/>
      <c r="O99" s="90"/>
      <c r="P99" s="91" t="str">
        <f t="shared" si="26"/>
        <v/>
      </c>
      <c r="Q99" s="114"/>
      <c r="R99" s="115">
        <v>0</v>
      </c>
      <c r="S99" s="116">
        <v>2</v>
      </c>
      <c r="T99" s="90"/>
      <c r="U99" s="91" t="str">
        <f t="shared" si="27"/>
        <v/>
      </c>
      <c r="V99" s="117"/>
      <c r="W99" s="115">
        <v>0</v>
      </c>
      <c r="X99" s="116">
        <v>2</v>
      </c>
      <c r="Y99" s="118"/>
      <c r="Z99" s="119" t="str">
        <f>IF(Y99="","",IF(I99=1,VLOOKUP(Y99,[2]男子種目コード!$A$1:$B$33,2,FALSE),IF(I99=2,VLOOKUP(Y99,[2]女子種目コード!$A$36:$B$66,2,FALSE))))</f>
        <v/>
      </c>
      <c r="AA99" s="114" t="str">
        <f>IF(Y99="","",HLOOKUP(Y99,#REF!,94,FALSE))</f>
        <v/>
      </c>
      <c r="AB99" s="115">
        <v>0</v>
      </c>
      <c r="AC99" s="116">
        <v>2</v>
      </c>
      <c r="AD99" s="97"/>
      <c r="AE99" s="98" t="str">
        <f t="shared" si="36"/>
        <v/>
      </c>
      <c r="AF99" s="120"/>
      <c r="AG99" s="121">
        <v>0</v>
      </c>
      <c r="AH99" s="121">
        <v>2</v>
      </c>
      <c r="AI99" s="101"/>
      <c r="AJ99" s="102" t="str">
        <f t="shared" si="32"/>
        <v/>
      </c>
      <c r="AK99" s="122"/>
      <c r="AL99" s="104">
        <v>0</v>
      </c>
      <c r="AM99" s="123">
        <v>2</v>
      </c>
      <c r="AN99" s="105"/>
      <c r="AO99" s="105"/>
      <c r="AQ99" s="167"/>
      <c r="AS99" s="10"/>
      <c r="AT99" s="10"/>
      <c r="AU99" s="10"/>
      <c r="AV99" s="25"/>
      <c r="AW99" s="25"/>
      <c r="AX99" s="26"/>
      <c r="AY99" s="26"/>
      <c r="AZ99" s="83"/>
      <c r="BA99" s="170"/>
      <c r="BB99" s="10"/>
      <c r="BC99" s="112" t="str">
        <f t="shared" si="21"/>
        <v/>
      </c>
      <c r="BD99" s="112">
        <f t="shared" si="22"/>
        <v>0</v>
      </c>
      <c r="BE99" s="112">
        <f t="shared" si="23"/>
        <v>0</v>
      </c>
      <c r="BF99" s="112">
        <f t="shared" si="24"/>
        <v>0</v>
      </c>
      <c r="BG99" s="112">
        <f t="shared" si="25"/>
        <v>0</v>
      </c>
      <c r="BI99" s="173"/>
      <c r="BJ99" s="15">
        <f t="shared" si="33"/>
        <v>0</v>
      </c>
      <c r="BK99" s="15" t="str">
        <f t="shared" si="28"/>
        <v/>
      </c>
      <c r="BL99" s="15" t="str">
        <f t="shared" si="29"/>
        <v/>
      </c>
      <c r="BM99" s="113" t="str">
        <f t="shared" si="34"/>
        <v/>
      </c>
      <c r="BN99" s="112">
        <f t="shared" si="35"/>
        <v>0</v>
      </c>
      <c r="BO99" s="10"/>
    </row>
    <row r="100" spans="1:67" hidden="1">
      <c r="A100" s="1" t="b">
        <f t="shared" si="30"/>
        <v>0</v>
      </c>
      <c r="B100" s="88" t="str">
        <f>[2]陸連登録!N95</f>
        <v/>
      </c>
      <c r="C100" s="1" t="b">
        <f t="shared" si="31"/>
        <v>0</v>
      </c>
      <c r="D100" s="89"/>
      <c r="E100" s="226"/>
      <c r="F100" s="227"/>
      <c r="G100" s="228"/>
      <c r="H100" s="229"/>
      <c r="I100" s="230"/>
      <c r="J100" s="231"/>
      <c r="K100" s="232"/>
      <c r="L100" s="233"/>
      <c r="M100" s="228"/>
      <c r="N100" s="234"/>
      <c r="O100" s="90"/>
      <c r="P100" s="91" t="str">
        <f t="shared" si="26"/>
        <v/>
      </c>
      <c r="Q100" s="114"/>
      <c r="R100" s="115">
        <v>0</v>
      </c>
      <c r="S100" s="116">
        <v>2</v>
      </c>
      <c r="T100" s="90"/>
      <c r="U100" s="91" t="str">
        <f t="shared" si="27"/>
        <v/>
      </c>
      <c r="V100" s="117"/>
      <c r="W100" s="115">
        <v>0</v>
      </c>
      <c r="X100" s="116">
        <v>2</v>
      </c>
      <c r="Y100" s="118"/>
      <c r="Z100" s="119" t="str">
        <f>IF(Y100="","",IF(I100=1,VLOOKUP(Y100,[2]男子種目コード!$A$1:$B$33,2,FALSE),IF(I100=2,VLOOKUP(Y100,[2]女子種目コード!$A$36:$B$66,2,FALSE))))</f>
        <v/>
      </c>
      <c r="AA100" s="114" t="str">
        <f>IF(Y100="","",HLOOKUP(Y100,#REF!,95,FALSE))</f>
        <v/>
      </c>
      <c r="AB100" s="115">
        <v>0</v>
      </c>
      <c r="AC100" s="116">
        <v>2</v>
      </c>
      <c r="AD100" s="97"/>
      <c r="AE100" s="98" t="str">
        <f t="shared" si="36"/>
        <v/>
      </c>
      <c r="AF100" s="120"/>
      <c r="AG100" s="121">
        <v>0</v>
      </c>
      <c r="AH100" s="121">
        <v>2</v>
      </c>
      <c r="AI100" s="101"/>
      <c r="AJ100" s="102" t="str">
        <f t="shared" si="32"/>
        <v/>
      </c>
      <c r="AK100" s="122"/>
      <c r="AL100" s="104">
        <v>0</v>
      </c>
      <c r="AM100" s="123">
        <v>2</v>
      </c>
      <c r="AN100" s="105"/>
      <c r="AO100" s="105"/>
      <c r="AQ100" s="167"/>
      <c r="AS100" s="10"/>
      <c r="AT100" s="10"/>
      <c r="AU100" s="10"/>
      <c r="AV100" s="25"/>
      <c r="AW100" s="25"/>
      <c r="AX100" s="26"/>
      <c r="AY100" s="26"/>
      <c r="AZ100" s="83"/>
      <c r="BA100" s="170"/>
      <c r="BB100" s="10"/>
      <c r="BC100" s="112" t="str">
        <f t="shared" si="21"/>
        <v/>
      </c>
      <c r="BD100" s="112">
        <f t="shared" si="22"/>
        <v>0</v>
      </c>
      <c r="BE100" s="112">
        <f t="shared" si="23"/>
        <v>0</v>
      </c>
      <c r="BF100" s="112">
        <f t="shared" si="24"/>
        <v>0</v>
      </c>
      <c r="BG100" s="112">
        <f t="shared" si="25"/>
        <v>0</v>
      </c>
      <c r="BI100" s="173"/>
      <c r="BJ100" s="15">
        <f t="shared" si="33"/>
        <v>0</v>
      </c>
      <c r="BK100" s="15" t="str">
        <f t="shared" si="28"/>
        <v/>
      </c>
      <c r="BL100" s="15" t="str">
        <f t="shared" si="29"/>
        <v/>
      </c>
      <c r="BM100" s="113" t="str">
        <f t="shared" si="34"/>
        <v/>
      </c>
      <c r="BN100" s="112">
        <f t="shared" si="35"/>
        <v>0</v>
      </c>
      <c r="BO100" s="10"/>
    </row>
    <row r="101" spans="1:67" hidden="1">
      <c r="A101" s="1" t="b">
        <f t="shared" si="30"/>
        <v>0</v>
      </c>
      <c r="B101" s="88" t="str">
        <f>[2]陸連登録!N96</f>
        <v/>
      </c>
      <c r="C101" s="1" t="b">
        <f t="shared" si="31"/>
        <v>0</v>
      </c>
      <c r="D101" s="89"/>
      <c r="E101" s="226"/>
      <c r="F101" s="227"/>
      <c r="G101" s="228"/>
      <c r="H101" s="229"/>
      <c r="I101" s="230"/>
      <c r="J101" s="231"/>
      <c r="K101" s="232"/>
      <c r="L101" s="233"/>
      <c r="M101" s="228"/>
      <c r="N101" s="234"/>
      <c r="O101" s="90"/>
      <c r="P101" s="91" t="str">
        <f t="shared" si="26"/>
        <v/>
      </c>
      <c r="Q101" s="114"/>
      <c r="R101" s="115">
        <v>0</v>
      </c>
      <c r="S101" s="116">
        <v>2</v>
      </c>
      <c r="T101" s="90"/>
      <c r="U101" s="91" t="str">
        <f t="shared" si="27"/>
        <v/>
      </c>
      <c r="V101" s="117"/>
      <c r="W101" s="115">
        <v>0</v>
      </c>
      <c r="X101" s="116">
        <v>2</v>
      </c>
      <c r="Y101" s="118"/>
      <c r="Z101" s="119" t="str">
        <f>IF(Y101="","",IF(I101=1,VLOOKUP(Y101,[2]男子種目コード!$A$1:$B$33,2,FALSE),IF(I101=2,VLOOKUP(Y101,[2]女子種目コード!$A$36:$B$66,2,FALSE))))</f>
        <v/>
      </c>
      <c r="AA101" s="114" t="str">
        <f>IF(Y101="","",HLOOKUP(Y101,#REF!,96,FALSE))</f>
        <v/>
      </c>
      <c r="AB101" s="115">
        <v>0</v>
      </c>
      <c r="AC101" s="116">
        <v>2</v>
      </c>
      <c r="AD101" s="97"/>
      <c r="AE101" s="98" t="str">
        <f t="shared" si="36"/>
        <v/>
      </c>
      <c r="AF101" s="120"/>
      <c r="AG101" s="121">
        <v>0</v>
      </c>
      <c r="AH101" s="121">
        <v>2</v>
      </c>
      <c r="AI101" s="101"/>
      <c r="AJ101" s="102" t="str">
        <f t="shared" si="32"/>
        <v/>
      </c>
      <c r="AK101" s="122"/>
      <c r="AL101" s="104">
        <v>0</v>
      </c>
      <c r="AM101" s="123">
        <v>2</v>
      </c>
      <c r="AN101" s="105"/>
      <c r="AO101" s="105"/>
      <c r="AQ101" s="167"/>
      <c r="AS101" s="10"/>
      <c r="AT101" s="10"/>
      <c r="AU101" s="10"/>
      <c r="AV101" s="25"/>
      <c r="AW101" s="25"/>
      <c r="AX101" s="26"/>
      <c r="AY101" s="26"/>
      <c r="AZ101" s="83"/>
      <c r="BA101" s="170"/>
      <c r="BB101" s="10"/>
      <c r="BC101" s="112" t="str">
        <f t="shared" si="21"/>
        <v/>
      </c>
      <c r="BD101" s="112">
        <f t="shared" si="22"/>
        <v>0</v>
      </c>
      <c r="BE101" s="112">
        <f t="shared" si="23"/>
        <v>0</v>
      </c>
      <c r="BF101" s="112">
        <f t="shared" si="24"/>
        <v>0</v>
      </c>
      <c r="BG101" s="112">
        <f t="shared" si="25"/>
        <v>0</v>
      </c>
      <c r="BI101" s="173"/>
      <c r="BJ101" s="15">
        <f t="shared" si="33"/>
        <v>0</v>
      </c>
      <c r="BK101" s="15" t="str">
        <f t="shared" si="28"/>
        <v/>
      </c>
      <c r="BL101" s="15" t="str">
        <f t="shared" si="29"/>
        <v/>
      </c>
      <c r="BM101" s="113" t="str">
        <f t="shared" si="34"/>
        <v/>
      </c>
      <c r="BN101" s="112">
        <f t="shared" si="35"/>
        <v>0</v>
      </c>
      <c r="BO101" s="10"/>
    </row>
    <row r="102" spans="1:67" hidden="1">
      <c r="A102" s="1" t="b">
        <f t="shared" si="30"/>
        <v>0</v>
      </c>
      <c r="B102" s="88" t="str">
        <f>[2]陸連登録!N97</f>
        <v/>
      </c>
      <c r="C102" s="1" t="b">
        <f t="shared" si="31"/>
        <v>0</v>
      </c>
      <c r="D102" s="89"/>
      <c r="E102" s="226"/>
      <c r="F102" s="227"/>
      <c r="G102" s="228"/>
      <c r="H102" s="229"/>
      <c r="I102" s="230"/>
      <c r="J102" s="231"/>
      <c r="K102" s="232"/>
      <c r="L102" s="233"/>
      <c r="M102" s="228"/>
      <c r="N102" s="234"/>
      <c r="O102" s="90"/>
      <c r="P102" s="91" t="str">
        <f t="shared" si="26"/>
        <v/>
      </c>
      <c r="Q102" s="114"/>
      <c r="R102" s="115">
        <v>0</v>
      </c>
      <c r="S102" s="116">
        <v>2</v>
      </c>
      <c r="T102" s="90"/>
      <c r="U102" s="91" t="str">
        <f t="shared" si="27"/>
        <v/>
      </c>
      <c r="V102" s="117"/>
      <c r="W102" s="115">
        <v>0</v>
      </c>
      <c r="X102" s="116">
        <v>2</v>
      </c>
      <c r="Y102" s="118"/>
      <c r="Z102" s="119" t="str">
        <f>IF(Y102="","",IF(I102=1,VLOOKUP(Y102,[2]男子種目コード!$A$1:$B$33,2,FALSE),IF(I102=2,VLOOKUP(Y102,[2]女子種目コード!$A$36:$B$66,2,FALSE))))</f>
        <v/>
      </c>
      <c r="AA102" s="114" t="str">
        <f>IF(Y102="","",HLOOKUP(Y102,#REF!,97,FALSE))</f>
        <v/>
      </c>
      <c r="AB102" s="115">
        <v>0</v>
      </c>
      <c r="AC102" s="116">
        <v>2</v>
      </c>
      <c r="AD102" s="97"/>
      <c r="AE102" s="98" t="str">
        <f t="shared" si="36"/>
        <v/>
      </c>
      <c r="AF102" s="120"/>
      <c r="AG102" s="121">
        <v>0</v>
      </c>
      <c r="AH102" s="121">
        <v>2</v>
      </c>
      <c r="AI102" s="101"/>
      <c r="AJ102" s="102" t="str">
        <f t="shared" si="32"/>
        <v/>
      </c>
      <c r="AK102" s="122"/>
      <c r="AL102" s="104">
        <v>0</v>
      </c>
      <c r="AM102" s="123">
        <v>2</v>
      </c>
      <c r="AN102" s="105"/>
      <c r="AO102" s="105"/>
      <c r="AQ102" s="167"/>
      <c r="AS102" s="10"/>
      <c r="AT102" s="10"/>
      <c r="AU102" s="10"/>
      <c r="AV102" s="25"/>
      <c r="AW102" s="25"/>
      <c r="AX102" s="26"/>
      <c r="AY102" s="26"/>
      <c r="AZ102" s="83"/>
      <c r="BA102" s="170"/>
      <c r="BB102" s="10"/>
      <c r="BC102" s="112" t="str">
        <f t="shared" si="21"/>
        <v/>
      </c>
      <c r="BD102" s="112">
        <f t="shared" si="22"/>
        <v>0</v>
      </c>
      <c r="BE102" s="112">
        <f t="shared" si="23"/>
        <v>0</v>
      </c>
      <c r="BF102" s="112">
        <f t="shared" si="24"/>
        <v>0</v>
      </c>
      <c r="BG102" s="112">
        <f t="shared" si="25"/>
        <v>0</v>
      </c>
      <c r="BI102" s="173"/>
      <c r="BJ102" s="15">
        <f t="shared" si="33"/>
        <v>0</v>
      </c>
      <c r="BK102" s="15" t="str">
        <f t="shared" si="28"/>
        <v/>
      </c>
      <c r="BL102" s="15" t="str">
        <f t="shared" si="29"/>
        <v/>
      </c>
      <c r="BM102" s="113" t="str">
        <f t="shared" si="34"/>
        <v/>
      </c>
      <c r="BN102" s="112">
        <f t="shared" si="35"/>
        <v>0</v>
      </c>
      <c r="BO102" s="10"/>
    </row>
    <row r="103" spans="1:67" hidden="1">
      <c r="A103" s="1" t="b">
        <f t="shared" si="30"/>
        <v>0</v>
      </c>
      <c r="B103" s="88" t="str">
        <f>[2]陸連登録!N98</f>
        <v/>
      </c>
      <c r="C103" s="1" t="b">
        <f t="shared" si="31"/>
        <v>0</v>
      </c>
      <c r="D103" s="89"/>
      <c r="E103" s="226"/>
      <c r="F103" s="227"/>
      <c r="G103" s="228"/>
      <c r="H103" s="229"/>
      <c r="I103" s="230"/>
      <c r="J103" s="231"/>
      <c r="K103" s="232"/>
      <c r="L103" s="233"/>
      <c r="M103" s="228"/>
      <c r="N103" s="234"/>
      <c r="O103" s="90"/>
      <c r="P103" s="91" t="str">
        <f t="shared" ref="P103:P134" si="37">IF(O103="","",IF(I103=1,VLOOKUP(O103,$AS$7:$AU$10,3,FALSE),IF(I103=2,VLOOKUP(O103,$AS$13:$AU$16,3,FALSE))))</f>
        <v/>
      </c>
      <c r="Q103" s="114"/>
      <c r="R103" s="115">
        <v>0</v>
      </c>
      <c r="S103" s="116">
        <v>2</v>
      </c>
      <c r="T103" s="90"/>
      <c r="U103" s="91" t="str">
        <f t="shared" ref="U103:U134" si="38">IF(T103="","",IF(I103=1,VLOOKUP(T103,$AS$7:$AU$10,3,FALSE),IF(N103=2,VLOOKUP(I103,$AS$13:$AU$16,3,FALSE))))</f>
        <v/>
      </c>
      <c r="V103" s="117"/>
      <c r="W103" s="115">
        <v>0</v>
      </c>
      <c r="X103" s="116">
        <v>2</v>
      </c>
      <c r="Y103" s="118"/>
      <c r="Z103" s="119" t="str">
        <f>IF(Y103="","",IF(I103=1,VLOOKUP(Y103,[2]男子種目コード!$A$1:$B$33,2,FALSE),IF(I103=2,VLOOKUP(Y103,[2]女子種目コード!$A$36:$B$66,2,FALSE))))</f>
        <v/>
      </c>
      <c r="AA103" s="114" t="str">
        <f>IF(Y103="","",HLOOKUP(Y103,#REF!,98,FALSE))</f>
        <v/>
      </c>
      <c r="AB103" s="115">
        <v>0</v>
      </c>
      <c r="AC103" s="116">
        <v>2</v>
      </c>
      <c r="AD103" s="97"/>
      <c r="AE103" s="98" t="str">
        <f t="shared" si="36"/>
        <v/>
      </c>
      <c r="AF103" s="120"/>
      <c r="AG103" s="121">
        <v>0</v>
      </c>
      <c r="AH103" s="121">
        <v>2</v>
      </c>
      <c r="AI103" s="101"/>
      <c r="AJ103" s="102" t="str">
        <f t="shared" si="32"/>
        <v/>
      </c>
      <c r="AK103" s="122"/>
      <c r="AL103" s="104">
        <v>0</v>
      </c>
      <c r="AM103" s="123">
        <v>2</v>
      </c>
      <c r="AN103" s="105"/>
      <c r="AO103" s="105"/>
      <c r="AQ103" s="167"/>
      <c r="AS103" s="10"/>
      <c r="AT103" s="10"/>
      <c r="AU103" s="10"/>
      <c r="AV103" s="25"/>
      <c r="AW103" s="25"/>
      <c r="AX103" s="26"/>
      <c r="AY103" s="26"/>
      <c r="AZ103" s="83"/>
      <c r="BA103" s="170"/>
      <c r="BB103" s="10"/>
      <c r="BC103" s="112" t="str">
        <f t="shared" si="21"/>
        <v/>
      </c>
      <c r="BD103" s="112">
        <f t="shared" si="22"/>
        <v>0</v>
      </c>
      <c r="BE103" s="112">
        <f t="shared" si="23"/>
        <v>0</v>
      </c>
      <c r="BF103" s="112">
        <f t="shared" si="24"/>
        <v>0</v>
      </c>
      <c r="BG103" s="112">
        <f t="shared" si="25"/>
        <v>0</v>
      </c>
      <c r="BI103" s="173"/>
      <c r="BJ103" s="15">
        <f t="shared" si="33"/>
        <v>0</v>
      </c>
      <c r="BK103" s="15" t="str">
        <f t="shared" si="28"/>
        <v/>
      </c>
      <c r="BL103" s="15" t="str">
        <f t="shared" si="29"/>
        <v/>
      </c>
      <c r="BM103" s="113" t="str">
        <f t="shared" si="34"/>
        <v/>
      </c>
      <c r="BN103" s="112">
        <f t="shared" si="35"/>
        <v>0</v>
      </c>
      <c r="BO103" s="10"/>
    </row>
    <row r="104" spans="1:67" ht="4.5" hidden="1" customHeight="1">
      <c r="A104" s="1" t="b">
        <f t="shared" si="30"/>
        <v>0</v>
      </c>
      <c r="B104" s="88" t="str">
        <f>[2]陸連登録!N99</f>
        <v/>
      </c>
      <c r="C104" s="1" t="b">
        <f t="shared" si="31"/>
        <v>0</v>
      </c>
      <c r="D104" s="89"/>
      <c r="E104" s="226"/>
      <c r="F104" s="227"/>
      <c r="G104" s="228"/>
      <c r="H104" s="229"/>
      <c r="I104" s="230"/>
      <c r="J104" s="231"/>
      <c r="K104" s="232"/>
      <c r="L104" s="233"/>
      <c r="M104" s="228"/>
      <c r="N104" s="234"/>
      <c r="O104" s="90"/>
      <c r="P104" s="91" t="str">
        <f t="shared" si="37"/>
        <v/>
      </c>
      <c r="Q104" s="114"/>
      <c r="R104" s="115">
        <v>0</v>
      </c>
      <c r="S104" s="116">
        <v>2</v>
      </c>
      <c r="T104" s="90"/>
      <c r="U104" s="91" t="str">
        <f t="shared" si="38"/>
        <v/>
      </c>
      <c r="V104" s="117"/>
      <c r="W104" s="115">
        <v>0</v>
      </c>
      <c r="X104" s="116">
        <v>2</v>
      </c>
      <c r="Y104" s="118"/>
      <c r="Z104" s="119" t="str">
        <f>IF(Y104="","",IF(I104=1,VLOOKUP(Y104,[2]男子種目コード!$A$1:$B$33,2,FALSE),IF(I104=2,VLOOKUP(Y104,[2]女子種目コード!$A$36:$B$66,2,FALSE))))</f>
        <v/>
      </c>
      <c r="AA104" s="114" t="str">
        <f>IF(Y104="","",HLOOKUP(Y104,#REF!,99,FALSE))</f>
        <v/>
      </c>
      <c r="AB104" s="115">
        <v>0</v>
      </c>
      <c r="AC104" s="116">
        <v>2</v>
      </c>
      <c r="AD104" s="97"/>
      <c r="AE104" s="98" t="str">
        <f t="shared" si="36"/>
        <v/>
      </c>
      <c r="AF104" s="120"/>
      <c r="AG104" s="121">
        <v>0</v>
      </c>
      <c r="AH104" s="121">
        <v>2</v>
      </c>
      <c r="AI104" s="101"/>
      <c r="AJ104" s="102" t="str">
        <f t="shared" si="32"/>
        <v/>
      </c>
      <c r="AK104" s="122"/>
      <c r="AL104" s="104">
        <v>0</v>
      </c>
      <c r="AM104" s="123">
        <v>2</v>
      </c>
      <c r="AN104" s="105"/>
      <c r="AO104" s="105"/>
      <c r="AQ104" s="167"/>
      <c r="AS104" s="10"/>
      <c r="AT104" s="10"/>
      <c r="AU104" s="10"/>
      <c r="AV104" s="25"/>
      <c r="AW104" s="25"/>
      <c r="AX104" s="26"/>
      <c r="AY104" s="26"/>
      <c r="AZ104" s="83"/>
      <c r="BA104" s="170"/>
      <c r="BB104" s="10"/>
      <c r="BC104" s="112" t="str">
        <f t="shared" si="21"/>
        <v/>
      </c>
      <c r="BD104" s="112">
        <f t="shared" si="22"/>
        <v>0</v>
      </c>
      <c r="BE104" s="112">
        <f t="shared" si="23"/>
        <v>0</v>
      </c>
      <c r="BF104" s="112">
        <f t="shared" si="24"/>
        <v>0</v>
      </c>
      <c r="BG104" s="112">
        <f t="shared" si="25"/>
        <v>0</v>
      </c>
      <c r="BI104" s="173"/>
      <c r="BJ104" s="15">
        <f t="shared" si="33"/>
        <v>0</v>
      </c>
      <c r="BK104" s="15" t="str">
        <f t="shared" si="28"/>
        <v/>
      </c>
      <c r="BL104" s="15" t="str">
        <f t="shared" si="29"/>
        <v/>
      </c>
      <c r="BM104" s="113" t="str">
        <f t="shared" si="34"/>
        <v/>
      </c>
      <c r="BN104" s="112">
        <f t="shared" si="35"/>
        <v>0</v>
      </c>
      <c r="BO104" s="10"/>
    </row>
    <row r="105" spans="1:67" hidden="1">
      <c r="A105" s="1" t="b">
        <f t="shared" si="30"/>
        <v>0</v>
      </c>
      <c r="B105" s="88" t="str">
        <f>[2]陸連登録!N100</f>
        <v/>
      </c>
      <c r="C105" s="1" t="b">
        <f t="shared" si="31"/>
        <v>0</v>
      </c>
      <c r="D105" s="89"/>
      <c r="E105" s="226"/>
      <c r="F105" s="227"/>
      <c r="G105" s="228"/>
      <c r="H105" s="229"/>
      <c r="I105" s="230"/>
      <c r="J105" s="231"/>
      <c r="K105" s="232"/>
      <c r="L105" s="233"/>
      <c r="M105" s="228"/>
      <c r="N105" s="234"/>
      <c r="O105" s="90"/>
      <c r="P105" s="91" t="str">
        <f t="shared" si="37"/>
        <v/>
      </c>
      <c r="Q105" s="114"/>
      <c r="R105" s="115">
        <v>0</v>
      </c>
      <c r="S105" s="116">
        <v>2</v>
      </c>
      <c r="T105" s="90"/>
      <c r="U105" s="91" t="str">
        <f t="shared" si="38"/>
        <v/>
      </c>
      <c r="V105" s="117"/>
      <c r="W105" s="115">
        <v>0</v>
      </c>
      <c r="X105" s="116">
        <v>2</v>
      </c>
      <c r="Y105" s="118"/>
      <c r="Z105" s="119" t="str">
        <f>IF(Y105="","",IF(I105=1,VLOOKUP(Y105,[2]男子種目コード!$A$1:$B$33,2,FALSE),IF(I105=2,VLOOKUP(Y105,[2]女子種目コード!$A$36:$B$66,2,FALSE))))</f>
        <v/>
      </c>
      <c r="AA105" s="114" t="str">
        <f>IF(Y105="","",HLOOKUP(Y105,#REF!,100,FALSE))</f>
        <v/>
      </c>
      <c r="AB105" s="115">
        <v>0</v>
      </c>
      <c r="AC105" s="116">
        <v>2</v>
      </c>
      <c r="AD105" s="97"/>
      <c r="AE105" s="98" t="str">
        <f t="shared" si="36"/>
        <v/>
      </c>
      <c r="AF105" s="120"/>
      <c r="AG105" s="121">
        <v>0</v>
      </c>
      <c r="AH105" s="121">
        <v>2</v>
      </c>
      <c r="AI105" s="101"/>
      <c r="AJ105" s="102" t="str">
        <f t="shared" si="32"/>
        <v/>
      </c>
      <c r="AK105" s="122"/>
      <c r="AL105" s="104">
        <v>0</v>
      </c>
      <c r="AM105" s="123">
        <v>2</v>
      </c>
      <c r="AN105" s="105"/>
      <c r="AO105" s="105"/>
      <c r="AQ105" s="167"/>
      <c r="AS105" s="10"/>
      <c r="AT105" s="10"/>
      <c r="AU105" s="10"/>
      <c r="AV105" s="25"/>
      <c r="AW105" s="25"/>
      <c r="AX105" s="26"/>
      <c r="AY105" s="26"/>
      <c r="AZ105" s="83"/>
      <c r="BA105" s="170"/>
      <c r="BB105" s="10"/>
      <c r="BC105" s="112" t="str">
        <f t="shared" si="21"/>
        <v/>
      </c>
      <c r="BD105" s="112">
        <f t="shared" si="22"/>
        <v>0</v>
      </c>
      <c r="BE105" s="112">
        <f t="shared" si="23"/>
        <v>0</v>
      </c>
      <c r="BF105" s="112">
        <f t="shared" si="24"/>
        <v>0</v>
      </c>
      <c r="BG105" s="112">
        <f t="shared" si="25"/>
        <v>0</v>
      </c>
      <c r="BI105" s="173"/>
      <c r="BJ105" s="15">
        <f t="shared" si="33"/>
        <v>0</v>
      </c>
      <c r="BK105" s="15" t="str">
        <f t="shared" si="28"/>
        <v/>
      </c>
      <c r="BL105" s="15" t="str">
        <f t="shared" si="29"/>
        <v/>
      </c>
      <c r="BM105" s="113" t="str">
        <f t="shared" si="34"/>
        <v/>
      </c>
      <c r="BN105" s="112">
        <f t="shared" si="35"/>
        <v>0</v>
      </c>
      <c r="BO105" s="10"/>
    </row>
    <row r="106" spans="1:67" hidden="1">
      <c r="A106" s="1" t="b">
        <f t="shared" si="30"/>
        <v>0</v>
      </c>
      <c r="B106" s="88" t="str">
        <f>[2]陸連登録!N101</f>
        <v/>
      </c>
      <c r="C106" s="1" t="b">
        <f t="shared" si="31"/>
        <v>0</v>
      </c>
      <c r="D106" s="89"/>
      <c r="E106" s="226"/>
      <c r="F106" s="227"/>
      <c r="G106" s="228"/>
      <c r="H106" s="229"/>
      <c r="I106" s="230"/>
      <c r="J106" s="231"/>
      <c r="K106" s="232"/>
      <c r="L106" s="233"/>
      <c r="M106" s="228"/>
      <c r="N106" s="234"/>
      <c r="O106" s="90"/>
      <c r="P106" s="91" t="str">
        <f t="shared" si="37"/>
        <v/>
      </c>
      <c r="Q106" s="114"/>
      <c r="R106" s="115">
        <v>0</v>
      </c>
      <c r="S106" s="116">
        <v>2</v>
      </c>
      <c r="T106" s="90"/>
      <c r="U106" s="91" t="str">
        <f t="shared" si="38"/>
        <v/>
      </c>
      <c r="V106" s="117"/>
      <c r="W106" s="115">
        <v>0</v>
      </c>
      <c r="X106" s="116">
        <v>2</v>
      </c>
      <c r="Y106" s="118"/>
      <c r="Z106" s="119" t="str">
        <f>IF(Y106="","",IF(I106=1,VLOOKUP(Y106,[2]男子種目コード!$A$1:$B$33,2,FALSE),IF(I106=2,VLOOKUP(Y106,[2]女子種目コード!$A$36:$B$66,2,FALSE))))</f>
        <v/>
      </c>
      <c r="AA106" s="114" t="str">
        <f>IF(Y106="","",HLOOKUP(Y106,#REF!,101,FALSE))</f>
        <v/>
      </c>
      <c r="AB106" s="115">
        <v>0</v>
      </c>
      <c r="AC106" s="116">
        <v>2</v>
      </c>
      <c r="AD106" s="97"/>
      <c r="AE106" s="98" t="str">
        <f t="shared" si="36"/>
        <v/>
      </c>
      <c r="AF106" s="120"/>
      <c r="AG106" s="121">
        <v>0</v>
      </c>
      <c r="AH106" s="121">
        <v>2</v>
      </c>
      <c r="AI106" s="101"/>
      <c r="AJ106" s="102" t="str">
        <f t="shared" si="32"/>
        <v/>
      </c>
      <c r="AK106" s="122"/>
      <c r="AL106" s="104">
        <v>0</v>
      </c>
      <c r="AM106" s="123">
        <v>2</v>
      </c>
      <c r="AN106" s="105"/>
      <c r="AO106" s="105"/>
      <c r="AQ106" s="167"/>
      <c r="AS106" s="10"/>
      <c r="AT106" s="10"/>
      <c r="AU106" s="10"/>
      <c r="AV106" s="25"/>
      <c r="AW106" s="25"/>
      <c r="AX106" s="26"/>
      <c r="AY106" s="26"/>
      <c r="AZ106" s="83"/>
      <c r="BA106" s="170"/>
      <c r="BB106" s="10"/>
      <c r="BC106" s="112" t="str">
        <f t="shared" si="21"/>
        <v/>
      </c>
      <c r="BD106" s="112">
        <f t="shared" si="22"/>
        <v>0</v>
      </c>
      <c r="BE106" s="112">
        <f t="shared" si="23"/>
        <v>0</v>
      </c>
      <c r="BF106" s="112">
        <f t="shared" si="24"/>
        <v>0</v>
      </c>
      <c r="BG106" s="112">
        <f t="shared" si="25"/>
        <v>0</v>
      </c>
      <c r="BI106" s="173"/>
      <c r="BJ106" s="15">
        <f t="shared" si="33"/>
        <v>0</v>
      </c>
      <c r="BK106" s="15" t="str">
        <f t="shared" si="28"/>
        <v/>
      </c>
      <c r="BL106" s="15" t="str">
        <f t="shared" si="29"/>
        <v/>
      </c>
      <c r="BM106" s="113" t="str">
        <f t="shared" si="34"/>
        <v/>
      </c>
      <c r="BN106" s="112">
        <f t="shared" si="35"/>
        <v>0</v>
      </c>
      <c r="BO106" s="10"/>
    </row>
    <row r="107" spans="1:67" hidden="1">
      <c r="A107" s="1" t="b">
        <f t="shared" si="30"/>
        <v>0</v>
      </c>
      <c r="B107" s="88" t="str">
        <f>[2]陸連登録!N102</f>
        <v/>
      </c>
      <c r="C107" s="1" t="b">
        <f t="shared" si="31"/>
        <v>0</v>
      </c>
      <c r="D107" s="89"/>
      <c r="E107" s="226"/>
      <c r="F107" s="227"/>
      <c r="G107" s="228"/>
      <c r="H107" s="229"/>
      <c r="I107" s="230"/>
      <c r="J107" s="231"/>
      <c r="K107" s="232"/>
      <c r="L107" s="233"/>
      <c r="M107" s="228"/>
      <c r="N107" s="234"/>
      <c r="O107" s="90"/>
      <c r="P107" s="91" t="str">
        <f t="shared" si="37"/>
        <v/>
      </c>
      <c r="Q107" s="114"/>
      <c r="R107" s="115">
        <v>0</v>
      </c>
      <c r="S107" s="116">
        <v>2</v>
      </c>
      <c r="T107" s="90"/>
      <c r="U107" s="91" t="str">
        <f t="shared" si="38"/>
        <v/>
      </c>
      <c r="V107" s="117"/>
      <c r="W107" s="115">
        <v>0</v>
      </c>
      <c r="X107" s="116">
        <v>2</v>
      </c>
      <c r="Y107" s="118"/>
      <c r="Z107" s="119" t="str">
        <f>IF(Y107="","",IF(I107=1,VLOOKUP(Y107,[2]男子種目コード!$A$1:$B$33,2,FALSE),IF(I107=2,VLOOKUP(Y107,[2]女子種目コード!$A$36:$B$66,2,FALSE))))</f>
        <v/>
      </c>
      <c r="AA107" s="114" t="str">
        <f>IF(Y107="","",HLOOKUP(Y107,#REF!,102,FALSE))</f>
        <v/>
      </c>
      <c r="AB107" s="115">
        <v>0</v>
      </c>
      <c r="AC107" s="116">
        <v>2</v>
      </c>
      <c r="AD107" s="97"/>
      <c r="AE107" s="98" t="str">
        <f t="shared" si="36"/>
        <v/>
      </c>
      <c r="AF107" s="120"/>
      <c r="AG107" s="121">
        <v>0</v>
      </c>
      <c r="AH107" s="121">
        <v>2</v>
      </c>
      <c r="AI107" s="101"/>
      <c r="AJ107" s="102" t="str">
        <f t="shared" si="32"/>
        <v/>
      </c>
      <c r="AK107" s="122"/>
      <c r="AL107" s="104">
        <v>0</v>
      </c>
      <c r="AM107" s="123">
        <v>2</v>
      </c>
      <c r="AN107" s="105"/>
      <c r="AO107" s="105"/>
      <c r="AQ107" s="167"/>
      <c r="AS107" s="10"/>
      <c r="AT107" s="10"/>
      <c r="AU107" s="10"/>
      <c r="AV107" s="25"/>
      <c r="AW107" s="25"/>
      <c r="AX107" s="26"/>
      <c r="AY107" s="26"/>
      <c r="AZ107" s="83"/>
      <c r="BA107" s="170"/>
      <c r="BB107" s="10"/>
      <c r="BC107" s="112" t="str">
        <f t="shared" si="21"/>
        <v/>
      </c>
      <c r="BD107" s="112">
        <f t="shared" si="22"/>
        <v>0</v>
      </c>
      <c r="BE107" s="112">
        <f t="shared" si="23"/>
        <v>0</v>
      </c>
      <c r="BF107" s="112">
        <f t="shared" si="24"/>
        <v>0</v>
      </c>
      <c r="BG107" s="112">
        <f t="shared" si="25"/>
        <v>0</v>
      </c>
      <c r="BI107" s="173"/>
      <c r="BJ107" s="15">
        <f t="shared" si="33"/>
        <v>0</v>
      </c>
      <c r="BK107" s="15" t="str">
        <f t="shared" si="28"/>
        <v/>
      </c>
      <c r="BL107" s="15" t="str">
        <f t="shared" si="29"/>
        <v/>
      </c>
      <c r="BM107" s="113" t="str">
        <f t="shared" si="34"/>
        <v/>
      </c>
      <c r="BN107" s="112">
        <f t="shared" si="35"/>
        <v>0</v>
      </c>
      <c r="BO107" s="10"/>
    </row>
    <row r="108" spans="1:67" hidden="1">
      <c r="A108" s="1" t="b">
        <f t="shared" si="30"/>
        <v>0</v>
      </c>
      <c r="B108" s="88" t="str">
        <f>[2]陸連登録!N103</f>
        <v/>
      </c>
      <c r="C108" s="1" t="b">
        <f t="shared" si="31"/>
        <v>0</v>
      </c>
      <c r="D108" s="89"/>
      <c r="E108" s="226"/>
      <c r="F108" s="227"/>
      <c r="G108" s="228"/>
      <c r="H108" s="229"/>
      <c r="I108" s="230"/>
      <c r="J108" s="231"/>
      <c r="K108" s="232"/>
      <c r="L108" s="233"/>
      <c r="M108" s="228"/>
      <c r="N108" s="234"/>
      <c r="O108" s="90"/>
      <c r="P108" s="91" t="str">
        <f t="shared" si="37"/>
        <v/>
      </c>
      <c r="Q108" s="114"/>
      <c r="R108" s="115">
        <v>0</v>
      </c>
      <c r="S108" s="116">
        <v>2</v>
      </c>
      <c r="T108" s="90"/>
      <c r="U108" s="91" t="str">
        <f t="shared" si="38"/>
        <v/>
      </c>
      <c r="V108" s="117"/>
      <c r="W108" s="115">
        <v>0</v>
      </c>
      <c r="X108" s="116">
        <v>2</v>
      </c>
      <c r="Y108" s="118"/>
      <c r="Z108" s="119" t="str">
        <f>IF(Y108="","",IF(I108=1,VLOOKUP(Y108,[2]男子種目コード!$A$1:$B$33,2,FALSE),IF(I108=2,VLOOKUP(Y108,[2]女子種目コード!$A$36:$B$66,2,FALSE))))</f>
        <v/>
      </c>
      <c r="AA108" s="114" t="str">
        <f>IF(Y108="","",HLOOKUP(Y108,#REF!,103,FALSE))</f>
        <v/>
      </c>
      <c r="AB108" s="115">
        <v>0</v>
      </c>
      <c r="AC108" s="116">
        <v>2</v>
      </c>
      <c r="AD108" s="97"/>
      <c r="AE108" s="98" t="str">
        <f t="shared" si="36"/>
        <v/>
      </c>
      <c r="AF108" s="120"/>
      <c r="AG108" s="121">
        <v>0</v>
      </c>
      <c r="AH108" s="121">
        <v>2</v>
      </c>
      <c r="AI108" s="101"/>
      <c r="AJ108" s="102" t="str">
        <f t="shared" si="32"/>
        <v/>
      </c>
      <c r="AK108" s="122"/>
      <c r="AL108" s="104">
        <v>0</v>
      </c>
      <c r="AM108" s="123">
        <v>2</v>
      </c>
      <c r="AN108" s="105"/>
      <c r="AO108" s="105"/>
      <c r="AQ108" s="167"/>
      <c r="AS108" s="10"/>
      <c r="AT108" s="10"/>
      <c r="AU108" s="10"/>
      <c r="AV108" s="25"/>
      <c r="AW108" s="25"/>
      <c r="AX108" s="26"/>
      <c r="AY108" s="26"/>
      <c r="AZ108" s="83"/>
      <c r="BA108" s="170"/>
      <c r="BB108" s="10"/>
      <c r="BC108" s="112" t="str">
        <f t="shared" ref="BC108:BC115" si="39">IF(O108="","",1)</f>
        <v/>
      </c>
      <c r="BD108" s="112">
        <f t="shared" ref="BD108:BD115" si="40">IF(OR(BC108=1,T108=""),0,1)</f>
        <v>0</v>
      </c>
      <c r="BE108" s="112">
        <f t="shared" ref="BE108:BE115" si="41">IF(OR(BC108=1,BD108=1,Y108=""),0,1)</f>
        <v>0</v>
      </c>
      <c r="BF108" s="112">
        <f t="shared" ref="BF108:BF115" si="42">IF(OR(BC108=1,BD108=1,BE108=1,AD108=""),0,1)</f>
        <v>0</v>
      </c>
      <c r="BG108" s="112">
        <f t="shared" ref="BG108:BG115" si="43">IF(OR(BC108=1,BD108=1,BE108=1,BF108=1,AI108=""),0,1)</f>
        <v>0</v>
      </c>
      <c r="BI108" s="173"/>
      <c r="BJ108" s="15">
        <f t="shared" si="33"/>
        <v>0</v>
      </c>
      <c r="BK108" s="15" t="str">
        <f t="shared" si="28"/>
        <v/>
      </c>
      <c r="BL108" s="15" t="str">
        <f t="shared" si="29"/>
        <v/>
      </c>
      <c r="BM108" s="113" t="str">
        <f t="shared" si="34"/>
        <v/>
      </c>
      <c r="BN108" s="112">
        <f t="shared" si="35"/>
        <v>0</v>
      </c>
      <c r="BO108" s="10"/>
    </row>
    <row r="109" spans="1:67" hidden="1">
      <c r="A109" s="1" t="b">
        <f t="shared" si="30"/>
        <v>0</v>
      </c>
      <c r="B109" s="88" t="str">
        <f>[2]陸連登録!N104</f>
        <v/>
      </c>
      <c r="C109" s="1" t="b">
        <f t="shared" si="31"/>
        <v>0</v>
      </c>
      <c r="D109" s="89"/>
      <c r="E109" s="226"/>
      <c r="F109" s="227"/>
      <c r="G109" s="228"/>
      <c r="H109" s="229"/>
      <c r="I109" s="230"/>
      <c r="J109" s="231"/>
      <c r="K109" s="232"/>
      <c r="L109" s="233"/>
      <c r="M109" s="228"/>
      <c r="N109" s="234"/>
      <c r="O109" s="90"/>
      <c r="P109" s="91" t="str">
        <f t="shared" si="37"/>
        <v/>
      </c>
      <c r="Q109" s="114"/>
      <c r="R109" s="115">
        <v>0</v>
      </c>
      <c r="S109" s="116">
        <v>2</v>
      </c>
      <c r="T109" s="90"/>
      <c r="U109" s="91" t="str">
        <f t="shared" si="38"/>
        <v/>
      </c>
      <c r="V109" s="117"/>
      <c r="W109" s="115">
        <v>0</v>
      </c>
      <c r="X109" s="116">
        <v>2</v>
      </c>
      <c r="Y109" s="118"/>
      <c r="Z109" s="119" t="str">
        <f>IF(Y109="","",IF(I109=1,VLOOKUP(Y109,[2]男子種目コード!$A$1:$B$33,2,FALSE),IF(I109=2,VLOOKUP(Y109,[2]女子種目コード!$A$36:$B$66,2,FALSE))))</f>
        <v/>
      </c>
      <c r="AA109" s="114" t="str">
        <f>IF(Y109="","",HLOOKUP(Y109,#REF!,104,FALSE))</f>
        <v/>
      </c>
      <c r="AB109" s="115">
        <v>0</v>
      </c>
      <c r="AC109" s="116">
        <v>2</v>
      </c>
      <c r="AD109" s="97"/>
      <c r="AE109" s="98" t="str">
        <f t="shared" si="36"/>
        <v/>
      </c>
      <c r="AF109" s="120"/>
      <c r="AG109" s="121">
        <v>0</v>
      </c>
      <c r="AH109" s="121">
        <v>2</v>
      </c>
      <c r="AI109" s="101"/>
      <c r="AJ109" s="102" t="str">
        <f t="shared" si="32"/>
        <v/>
      </c>
      <c r="AK109" s="122"/>
      <c r="AL109" s="104">
        <v>0</v>
      </c>
      <c r="AM109" s="123">
        <v>2</v>
      </c>
      <c r="AN109" s="105"/>
      <c r="AO109" s="105"/>
      <c r="AQ109" s="167"/>
      <c r="AS109" s="10"/>
      <c r="AT109" s="10"/>
      <c r="AU109" s="10"/>
      <c r="AV109" s="25"/>
      <c r="AW109" s="25"/>
      <c r="AX109" s="26"/>
      <c r="AY109" s="26"/>
      <c r="AZ109" s="83"/>
      <c r="BA109" s="170"/>
      <c r="BB109" s="10"/>
      <c r="BC109" s="112" t="str">
        <f t="shared" si="39"/>
        <v/>
      </c>
      <c r="BD109" s="112">
        <f t="shared" si="40"/>
        <v>0</v>
      </c>
      <c r="BE109" s="112">
        <f t="shared" si="41"/>
        <v>0</v>
      </c>
      <c r="BF109" s="112">
        <f t="shared" si="42"/>
        <v>0</v>
      </c>
      <c r="BG109" s="112">
        <f t="shared" si="43"/>
        <v>0</v>
      </c>
      <c r="BI109" s="173"/>
      <c r="BJ109" s="15">
        <f t="shared" si="33"/>
        <v>0</v>
      </c>
      <c r="BK109" s="15" t="str">
        <f t="shared" si="28"/>
        <v/>
      </c>
      <c r="BL109" s="15" t="str">
        <f t="shared" si="29"/>
        <v/>
      </c>
      <c r="BM109" s="113" t="str">
        <f t="shared" si="34"/>
        <v/>
      </c>
      <c r="BN109" s="112">
        <f t="shared" si="35"/>
        <v>0</v>
      </c>
      <c r="BO109" s="10"/>
    </row>
    <row r="110" spans="1:67" hidden="1">
      <c r="A110" s="1" t="b">
        <f t="shared" si="30"/>
        <v>0</v>
      </c>
      <c r="B110" s="88" t="str">
        <f>[2]陸連登録!N105</f>
        <v/>
      </c>
      <c r="C110" s="1" t="b">
        <f t="shared" si="31"/>
        <v>0</v>
      </c>
      <c r="D110" s="89"/>
      <c r="E110" s="226"/>
      <c r="F110" s="227"/>
      <c r="G110" s="228"/>
      <c r="H110" s="229"/>
      <c r="I110" s="230"/>
      <c r="J110" s="231"/>
      <c r="K110" s="232"/>
      <c r="L110" s="233"/>
      <c r="M110" s="228"/>
      <c r="N110" s="234"/>
      <c r="O110" s="90"/>
      <c r="P110" s="91" t="str">
        <f t="shared" si="37"/>
        <v/>
      </c>
      <c r="Q110" s="114"/>
      <c r="R110" s="115">
        <v>0</v>
      </c>
      <c r="S110" s="116">
        <v>2</v>
      </c>
      <c r="T110" s="90"/>
      <c r="U110" s="91" t="str">
        <f t="shared" si="38"/>
        <v/>
      </c>
      <c r="V110" s="117"/>
      <c r="W110" s="115">
        <v>0</v>
      </c>
      <c r="X110" s="116">
        <v>2</v>
      </c>
      <c r="Y110" s="118"/>
      <c r="Z110" s="119" t="str">
        <f>IF(Y110="","",IF(I110=1,VLOOKUP(Y110,[2]男子種目コード!$A$1:$B$33,2,FALSE),IF(I110=2,VLOOKUP(Y110,[2]女子種目コード!$A$36:$B$66,2,FALSE))))</f>
        <v/>
      </c>
      <c r="AA110" s="114" t="str">
        <f>IF(Y110="","",HLOOKUP(Y110,#REF!,105,FALSE))</f>
        <v/>
      </c>
      <c r="AB110" s="115">
        <v>0</v>
      </c>
      <c r="AC110" s="116">
        <v>2</v>
      </c>
      <c r="AD110" s="97"/>
      <c r="AE110" s="98" t="str">
        <f t="shared" si="36"/>
        <v/>
      </c>
      <c r="AF110" s="120"/>
      <c r="AG110" s="121">
        <v>0</v>
      </c>
      <c r="AH110" s="121">
        <v>2</v>
      </c>
      <c r="AI110" s="101"/>
      <c r="AJ110" s="102" t="str">
        <f t="shared" si="32"/>
        <v/>
      </c>
      <c r="AK110" s="122"/>
      <c r="AL110" s="104">
        <v>0</v>
      </c>
      <c r="AM110" s="123">
        <v>2</v>
      </c>
      <c r="AN110" s="105"/>
      <c r="AO110" s="105"/>
      <c r="AQ110" s="167"/>
      <c r="AS110" s="10"/>
      <c r="AT110" s="10"/>
      <c r="AU110" s="10"/>
      <c r="AV110" s="25"/>
      <c r="AW110" s="25"/>
      <c r="AX110" s="26"/>
      <c r="AY110" s="26"/>
      <c r="AZ110" s="83"/>
      <c r="BA110" s="170"/>
      <c r="BB110" s="10"/>
      <c r="BC110" s="112" t="str">
        <f t="shared" si="39"/>
        <v/>
      </c>
      <c r="BD110" s="112">
        <f t="shared" si="40"/>
        <v>0</v>
      </c>
      <c r="BE110" s="112">
        <f t="shared" si="41"/>
        <v>0</v>
      </c>
      <c r="BF110" s="112">
        <f t="shared" si="42"/>
        <v>0</v>
      </c>
      <c r="BG110" s="112">
        <f t="shared" si="43"/>
        <v>0</v>
      </c>
      <c r="BI110" s="173"/>
      <c r="BJ110" s="15">
        <f t="shared" si="33"/>
        <v>0</v>
      </c>
      <c r="BK110" s="15" t="str">
        <f t="shared" si="28"/>
        <v/>
      </c>
      <c r="BL110" s="15" t="str">
        <f t="shared" si="29"/>
        <v/>
      </c>
      <c r="BM110" s="113" t="str">
        <f t="shared" si="34"/>
        <v/>
      </c>
      <c r="BN110" s="112">
        <f t="shared" si="35"/>
        <v>0</v>
      </c>
      <c r="BO110" s="10"/>
    </row>
    <row r="111" spans="1:67" hidden="1">
      <c r="A111" s="1" t="b">
        <f t="shared" si="30"/>
        <v>0</v>
      </c>
      <c r="B111" s="88" t="str">
        <f>[2]陸連登録!N106</f>
        <v/>
      </c>
      <c r="C111" s="1" t="b">
        <f t="shared" si="31"/>
        <v>0</v>
      </c>
      <c r="D111" s="89"/>
      <c r="E111" s="226"/>
      <c r="F111" s="227"/>
      <c r="G111" s="228"/>
      <c r="H111" s="229"/>
      <c r="I111" s="230"/>
      <c r="J111" s="231"/>
      <c r="K111" s="232"/>
      <c r="L111" s="233"/>
      <c r="M111" s="228"/>
      <c r="N111" s="234"/>
      <c r="O111" s="90"/>
      <c r="P111" s="91" t="str">
        <f t="shared" si="37"/>
        <v/>
      </c>
      <c r="Q111" s="114"/>
      <c r="R111" s="115">
        <v>0</v>
      </c>
      <c r="S111" s="116">
        <v>2</v>
      </c>
      <c r="T111" s="90"/>
      <c r="U111" s="91" t="str">
        <f t="shared" si="38"/>
        <v/>
      </c>
      <c r="V111" s="117"/>
      <c r="W111" s="115">
        <v>0</v>
      </c>
      <c r="X111" s="116">
        <v>2</v>
      </c>
      <c r="Y111" s="118"/>
      <c r="Z111" s="119" t="str">
        <f>IF(Y111="","",IF(I111=1,VLOOKUP(Y111,[2]男子種目コード!$A$1:$B$33,2,FALSE),IF(I111=2,VLOOKUP(Y111,[2]女子種目コード!$A$36:$B$66,2,FALSE))))</f>
        <v/>
      </c>
      <c r="AA111" s="114" t="str">
        <f>IF(Y111="","",HLOOKUP(Y111,#REF!,106,FALSE))</f>
        <v/>
      </c>
      <c r="AB111" s="115">
        <v>0</v>
      </c>
      <c r="AC111" s="116">
        <v>2</v>
      </c>
      <c r="AD111" s="97"/>
      <c r="AE111" s="98" t="str">
        <f t="shared" si="36"/>
        <v/>
      </c>
      <c r="AF111" s="120"/>
      <c r="AG111" s="121">
        <v>0</v>
      </c>
      <c r="AH111" s="121">
        <v>2</v>
      </c>
      <c r="AI111" s="101"/>
      <c r="AJ111" s="102" t="str">
        <f t="shared" si="32"/>
        <v/>
      </c>
      <c r="AK111" s="122"/>
      <c r="AL111" s="104">
        <v>0</v>
      </c>
      <c r="AM111" s="123">
        <v>2</v>
      </c>
      <c r="AN111" s="105"/>
      <c r="AO111" s="105"/>
      <c r="AQ111" s="167"/>
      <c r="AS111" s="10"/>
      <c r="AT111" s="10"/>
      <c r="AU111" s="10"/>
      <c r="AV111" s="25"/>
      <c r="AW111" s="25"/>
      <c r="AX111" s="26"/>
      <c r="AY111" s="26"/>
      <c r="AZ111" s="83"/>
      <c r="BA111" s="170"/>
      <c r="BB111" s="10"/>
      <c r="BC111" s="112" t="str">
        <f t="shared" si="39"/>
        <v/>
      </c>
      <c r="BD111" s="112">
        <f t="shared" si="40"/>
        <v>0</v>
      </c>
      <c r="BE111" s="112">
        <f t="shared" si="41"/>
        <v>0</v>
      </c>
      <c r="BF111" s="112">
        <f t="shared" si="42"/>
        <v>0</v>
      </c>
      <c r="BG111" s="112">
        <f t="shared" si="43"/>
        <v>0</v>
      </c>
      <c r="BI111" s="173"/>
      <c r="BJ111" s="15">
        <f t="shared" si="33"/>
        <v>0</v>
      </c>
      <c r="BK111" s="15" t="str">
        <f t="shared" si="28"/>
        <v/>
      </c>
      <c r="BL111" s="15" t="str">
        <f t="shared" si="29"/>
        <v/>
      </c>
      <c r="BM111" s="113" t="str">
        <f t="shared" si="34"/>
        <v/>
      </c>
      <c r="BN111" s="112">
        <f t="shared" si="35"/>
        <v>0</v>
      </c>
      <c r="BO111" s="10"/>
    </row>
    <row r="112" spans="1:67" hidden="1">
      <c r="A112" s="1" t="b">
        <f t="shared" si="30"/>
        <v>0</v>
      </c>
      <c r="B112" s="88" t="str">
        <f>[2]陸連登録!N107</f>
        <v/>
      </c>
      <c r="C112" s="1" t="b">
        <f t="shared" si="31"/>
        <v>0</v>
      </c>
      <c r="D112" s="89"/>
      <c r="E112" s="226"/>
      <c r="F112" s="227"/>
      <c r="G112" s="228"/>
      <c r="H112" s="229"/>
      <c r="I112" s="230"/>
      <c r="J112" s="231"/>
      <c r="K112" s="232"/>
      <c r="L112" s="233"/>
      <c r="M112" s="228"/>
      <c r="N112" s="234"/>
      <c r="O112" s="90"/>
      <c r="P112" s="91" t="str">
        <f t="shared" si="37"/>
        <v/>
      </c>
      <c r="Q112" s="114"/>
      <c r="R112" s="115">
        <v>0</v>
      </c>
      <c r="S112" s="116">
        <v>2</v>
      </c>
      <c r="T112" s="90"/>
      <c r="U112" s="91" t="str">
        <f t="shared" si="38"/>
        <v/>
      </c>
      <c r="V112" s="117"/>
      <c r="W112" s="115">
        <v>0</v>
      </c>
      <c r="X112" s="116">
        <v>2</v>
      </c>
      <c r="Y112" s="118"/>
      <c r="Z112" s="119" t="str">
        <f>IF(Y112="","",IF(I112=1,VLOOKUP(Y112,[2]男子種目コード!$A$1:$B$33,2,FALSE),IF(I112=2,VLOOKUP(Y112,[2]女子種目コード!$A$36:$B$66,2,FALSE))))</f>
        <v/>
      </c>
      <c r="AA112" s="114" t="str">
        <f>IF(Y112="","",HLOOKUP(Y112,#REF!,107,FALSE))</f>
        <v/>
      </c>
      <c r="AB112" s="115">
        <v>0</v>
      </c>
      <c r="AC112" s="116">
        <v>2</v>
      </c>
      <c r="AD112" s="97"/>
      <c r="AE112" s="98" t="str">
        <f t="shared" si="36"/>
        <v/>
      </c>
      <c r="AF112" s="120"/>
      <c r="AG112" s="121">
        <v>0</v>
      </c>
      <c r="AH112" s="121">
        <v>2</v>
      </c>
      <c r="AI112" s="101"/>
      <c r="AJ112" s="102" t="str">
        <f t="shared" si="32"/>
        <v/>
      </c>
      <c r="AK112" s="122"/>
      <c r="AL112" s="104">
        <v>0</v>
      </c>
      <c r="AM112" s="123">
        <v>2</v>
      </c>
      <c r="AN112" s="105"/>
      <c r="AO112" s="105"/>
      <c r="AQ112" s="167"/>
      <c r="AS112" s="10"/>
      <c r="AT112" s="10"/>
      <c r="AU112" s="10"/>
      <c r="AV112" s="25"/>
      <c r="AW112" s="25"/>
      <c r="AX112" s="26"/>
      <c r="AY112" s="26"/>
      <c r="AZ112" s="83"/>
      <c r="BA112" s="170"/>
      <c r="BB112" s="10"/>
      <c r="BC112" s="112" t="str">
        <f t="shared" si="39"/>
        <v/>
      </c>
      <c r="BD112" s="112">
        <f t="shared" si="40"/>
        <v>0</v>
      </c>
      <c r="BE112" s="112">
        <f t="shared" si="41"/>
        <v>0</v>
      </c>
      <c r="BF112" s="112">
        <f t="shared" si="42"/>
        <v>0</v>
      </c>
      <c r="BG112" s="112">
        <f t="shared" si="43"/>
        <v>0</v>
      </c>
      <c r="BI112" s="173"/>
      <c r="BJ112" s="15">
        <f t="shared" si="33"/>
        <v>0</v>
      </c>
      <c r="BK112" s="15" t="str">
        <f t="shared" si="28"/>
        <v/>
      </c>
      <c r="BL112" s="15" t="str">
        <f t="shared" si="29"/>
        <v/>
      </c>
      <c r="BM112" s="113" t="str">
        <f t="shared" si="34"/>
        <v/>
      </c>
      <c r="BN112" s="112">
        <f t="shared" si="35"/>
        <v>0</v>
      </c>
      <c r="BO112" s="10"/>
    </row>
    <row r="113" spans="1:67" hidden="1">
      <c r="A113" s="1" t="b">
        <f t="shared" si="30"/>
        <v>0</v>
      </c>
      <c r="B113" s="88" t="str">
        <f>[2]陸連登録!N108</f>
        <v/>
      </c>
      <c r="C113" s="1" t="b">
        <f t="shared" si="31"/>
        <v>0</v>
      </c>
      <c r="D113" s="89"/>
      <c r="E113" s="226"/>
      <c r="F113" s="227"/>
      <c r="G113" s="228"/>
      <c r="H113" s="229"/>
      <c r="I113" s="230"/>
      <c r="J113" s="231"/>
      <c r="K113" s="232"/>
      <c r="L113" s="233"/>
      <c r="M113" s="228"/>
      <c r="N113" s="234"/>
      <c r="O113" s="90"/>
      <c r="P113" s="91" t="str">
        <f t="shared" si="37"/>
        <v/>
      </c>
      <c r="Q113" s="114"/>
      <c r="R113" s="115">
        <v>0</v>
      </c>
      <c r="S113" s="116">
        <v>2</v>
      </c>
      <c r="T113" s="90"/>
      <c r="U113" s="91" t="str">
        <f t="shared" si="38"/>
        <v/>
      </c>
      <c r="V113" s="117"/>
      <c r="W113" s="115">
        <v>0</v>
      </c>
      <c r="X113" s="116">
        <v>2</v>
      </c>
      <c r="Y113" s="118"/>
      <c r="Z113" s="119" t="str">
        <f>IF(Y113="","",IF(I113=1,VLOOKUP(Y113,[2]男子種目コード!$A$1:$B$33,2,FALSE),IF(I113=2,VLOOKUP(Y113,[2]女子種目コード!$A$36:$B$66,2,FALSE))))</f>
        <v/>
      </c>
      <c r="AA113" s="114" t="str">
        <f>IF(Y113="","",HLOOKUP(Y113,#REF!,108,FALSE))</f>
        <v/>
      </c>
      <c r="AB113" s="115">
        <v>0</v>
      </c>
      <c r="AC113" s="116">
        <v>2</v>
      </c>
      <c r="AD113" s="97"/>
      <c r="AE113" s="98" t="str">
        <f t="shared" si="36"/>
        <v/>
      </c>
      <c r="AF113" s="120"/>
      <c r="AG113" s="121">
        <v>0</v>
      </c>
      <c r="AH113" s="121">
        <v>2</v>
      </c>
      <c r="AI113" s="101"/>
      <c r="AJ113" s="102" t="str">
        <f t="shared" si="32"/>
        <v/>
      </c>
      <c r="AK113" s="122"/>
      <c r="AL113" s="104">
        <v>0</v>
      </c>
      <c r="AM113" s="123">
        <v>2</v>
      </c>
      <c r="AN113" s="105"/>
      <c r="AO113" s="105"/>
      <c r="AQ113" s="167"/>
      <c r="AS113" s="10"/>
      <c r="AT113" s="10"/>
      <c r="AU113" s="10"/>
      <c r="AV113" s="25"/>
      <c r="AW113" s="25"/>
      <c r="AX113" s="26"/>
      <c r="AY113" s="26"/>
      <c r="AZ113" s="83"/>
      <c r="BA113" s="170"/>
      <c r="BB113" s="10"/>
      <c r="BC113" s="112" t="str">
        <f t="shared" si="39"/>
        <v/>
      </c>
      <c r="BD113" s="112">
        <f t="shared" si="40"/>
        <v>0</v>
      </c>
      <c r="BE113" s="112">
        <f t="shared" si="41"/>
        <v>0</v>
      </c>
      <c r="BF113" s="112">
        <f t="shared" si="42"/>
        <v>0</v>
      </c>
      <c r="BG113" s="112">
        <f t="shared" si="43"/>
        <v>0</v>
      </c>
      <c r="BI113" s="173"/>
      <c r="BJ113" s="15">
        <f t="shared" si="33"/>
        <v>0</v>
      </c>
      <c r="BK113" s="15" t="str">
        <f t="shared" si="28"/>
        <v/>
      </c>
      <c r="BL113" s="15" t="str">
        <f t="shared" si="29"/>
        <v/>
      </c>
      <c r="BM113" s="113" t="str">
        <f t="shared" si="34"/>
        <v/>
      </c>
      <c r="BN113" s="112">
        <f t="shared" si="35"/>
        <v>0</v>
      </c>
      <c r="BO113" s="10"/>
    </row>
    <row r="114" spans="1:67" hidden="1">
      <c r="A114" s="1" t="b">
        <f t="shared" si="30"/>
        <v>0</v>
      </c>
      <c r="B114" s="88" t="str">
        <f>[2]陸連登録!N109</f>
        <v/>
      </c>
      <c r="C114" s="1" t="b">
        <f t="shared" si="31"/>
        <v>0</v>
      </c>
      <c r="D114" s="89"/>
      <c r="E114" s="226"/>
      <c r="F114" s="227"/>
      <c r="G114" s="228"/>
      <c r="H114" s="229"/>
      <c r="I114" s="230"/>
      <c r="J114" s="231"/>
      <c r="K114" s="232"/>
      <c r="L114" s="233"/>
      <c r="M114" s="228"/>
      <c r="N114" s="234"/>
      <c r="O114" s="90"/>
      <c r="P114" s="91" t="str">
        <f t="shared" si="37"/>
        <v/>
      </c>
      <c r="Q114" s="114"/>
      <c r="R114" s="115">
        <v>0</v>
      </c>
      <c r="S114" s="116">
        <v>2</v>
      </c>
      <c r="T114" s="90"/>
      <c r="U114" s="91" t="str">
        <f t="shared" si="38"/>
        <v/>
      </c>
      <c r="V114" s="117"/>
      <c r="W114" s="115">
        <v>0</v>
      </c>
      <c r="X114" s="116">
        <v>2</v>
      </c>
      <c r="Y114" s="118"/>
      <c r="Z114" s="119" t="str">
        <f>IF(Y114="","",IF(I114=1,VLOOKUP(Y114,[2]男子種目コード!$A$1:$B$33,2,FALSE),IF(I114=2,VLOOKUP(Y114,[2]女子種目コード!$A$36:$B$66,2,FALSE))))</f>
        <v/>
      </c>
      <c r="AA114" s="114" t="str">
        <f>IF(Y114="","",HLOOKUP(Y114,#REF!,109,FALSE))</f>
        <v/>
      </c>
      <c r="AB114" s="115">
        <v>0</v>
      </c>
      <c r="AC114" s="116">
        <v>2</v>
      </c>
      <c r="AD114" s="97"/>
      <c r="AE114" s="98" t="str">
        <f t="shared" si="36"/>
        <v/>
      </c>
      <c r="AF114" s="120"/>
      <c r="AG114" s="121">
        <v>0</v>
      </c>
      <c r="AH114" s="121">
        <v>2</v>
      </c>
      <c r="AI114" s="101"/>
      <c r="AJ114" s="102" t="str">
        <f t="shared" si="32"/>
        <v/>
      </c>
      <c r="AK114" s="122"/>
      <c r="AL114" s="104">
        <v>0</v>
      </c>
      <c r="AM114" s="123">
        <v>2</v>
      </c>
      <c r="AN114" s="105"/>
      <c r="AO114" s="105"/>
      <c r="AQ114" s="167"/>
      <c r="AS114" s="10"/>
      <c r="AT114" s="10"/>
      <c r="AU114" s="10"/>
      <c r="AV114" s="25"/>
      <c r="AW114" s="25"/>
      <c r="AX114" s="26"/>
      <c r="AY114" s="26"/>
      <c r="AZ114" s="83"/>
      <c r="BA114" s="170"/>
      <c r="BB114" s="10"/>
      <c r="BC114" s="112" t="str">
        <f t="shared" si="39"/>
        <v/>
      </c>
      <c r="BD114" s="112">
        <f t="shared" si="40"/>
        <v>0</v>
      </c>
      <c r="BE114" s="112">
        <f t="shared" si="41"/>
        <v>0</v>
      </c>
      <c r="BF114" s="112">
        <f t="shared" si="42"/>
        <v>0</v>
      </c>
      <c r="BG114" s="112">
        <f t="shared" si="43"/>
        <v>0</v>
      </c>
      <c r="BI114" s="173"/>
      <c r="BJ114" s="15">
        <f t="shared" si="33"/>
        <v>0</v>
      </c>
      <c r="BK114" s="15" t="str">
        <f t="shared" si="28"/>
        <v/>
      </c>
      <c r="BL114" s="15" t="str">
        <f t="shared" si="29"/>
        <v/>
      </c>
      <c r="BM114" s="113" t="str">
        <f t="shared" si="34"/>
        <v/>
      </c>
      <c r="BN114" s="112">
        <f t="shared" si="35"/>
        <v>0</v>
      </c>
      <c r="BO114" s="10"/>
    </row>
    <row r="115" spans="1:67" hidden="1">
      <c r="A115" s="1" t="b">
        <f t="shared" si="30"/>
        <v>0</v>
      </c>
      <c r="B115" s="88" t="str">
        <f>[2]陸連登録!N110</f>
        <v/>
      </c>
      <c r="C115" s="1" t="b">
        <f t="shared" si="31"/>
        <v>0</v>
      </c>
      <c r="D115" s="89"/>
      <c r="E115" s="226"/>
      <c r="F115" s="227"/>
      <c r="G115" s="228"/>
      <c r="H115" s="229"/>
      <c r="I115" s="230"/>
      <c r="J115" s="231"/>
      <c r="K115" s="232"/>
      <c r="L115" s="233"/>
      <c r="M115" s="228"/>
      <c r="N115" s="234"/>
      <c r="O115" s="90"/>
      <c r="P115" s="91" t="str">
        <f t="shared" si="37"/>
        <v/>
      </c>
      <c r="Q115" s="114"/>
      <c r="R115" s="115">
        <v>0</v>
      </c>
      <c r="S115" s="116">
        <v>2</v>
      </c>
      <c r="T115" s="90"/>
      <c r="U115" s="91" t="str">
        <f t="shared" si="38"/>
        <v/>
      </c>
      <c r="V115" s="117"/>
      <c r="W115" s="115">
        <v>0</v>
      </c>
      <c r="X115" s="116">
        <v>2</v>
      </c>
      <c r="Y115" s="118"/>
      <c r="Z115" s="119" t="str">
        <f>IF(Y115="","",IF(I115=1,VLOOKUP(Y115,[2]男子種目コード!$A$1:$B$33,2,FALSE),IF(I115=2,VLOOKUP(Y115,[2]女子種目コード!$A$36:$B$66,2,FALSE))))</f>
        <v/>
      </c>
      <c r="AA115" s="114" t="str">
        <f>IF(Y115="","",HLOOKUP(Y115,#REF!,110,FALSE))</f>
        <v/>
      </c>
      <c r="AB115" s="115">
        <v>0</v>
      </c>
      <c r="AC115" s="116">
        <v>2</v>
      </c>
      <c r="AD115" s="97"/>
      <c r="AE115" s="98" t="str">
        <f t="shared" si="36"/>
        <v/>
      </c>
      <c r="AF115" s="120"/>
      <c r="AG115" s="121">
        <v>0</v>
      </c>
      <c r="AH115" s="121">
        <v>2</v>
      </c>
      <c r="AI115" s="101"/>
      <c r="AJ115" s="102" t="str">
        <f t="shared" si="32"/>
        <v/>
      </c>
      <c r="AK115" s="122"/>
      <c r="AL115" s="104">
        <v>0</v>
      </c>
      <c r="AM115" s="123">
        <v>2</v>
      </c>
      <c r="AN115" s="105"/>
      <c r="AO115" s="105"/>
      <c r="AQ115" s="167"/>
      <c r="AS115" s="10"/>
      <c r="AT115" s="10"/>
      <c r="AU115" s="10"/>
      <c r="AV115" s="25"/>
      <c r="AW115" s="25"/>
      <c r="AX115" s="26"/>
      <c r="AY115" s="26"/>
      <c r="AZ115" s="83"/>
      <c r="BA115" s="170"/>
      <c r="BB115" s="10"/>
      <c r="BC115" s="112" t="str">
        <f t="shared" si="39"/>
        <v/>
      </c>
      <c r="BD115" s="112">
        <f t="shared" si="40"/>
        <v>0</v>
      </c>
      <c r="BE115" s="112">
        <f t="shared" si="41"/>
        <v>0</v>
      </c>
      <c r="BF115" s="112">
        <f t="shared" si="42"/>
        <v>0</v>
      </c>
      <c r="BG115" s="112">
        <f t="shared" si="43"/>
        <v>0</v>
      </c>
      <c r="BI115" s="173"/>
      <c r="BJ115" s="15">
        <f t="shared" si="33"/>
        <v>0</v>
      </c>
      <c r="BK115" s="15" t="str">
        <f t="shared" si="28"/>
        <v/>
      </c>
      <c r="BL115" s="15" t="str">
        <f t="shared" si="29"/>
        <v/>
      </c>
      <c r="BM115" s="113" t="str">
        <f t="shared" si="34"/>
        <v/>
      </c>
      <c r="BN115" s="112">
        <f t="shared" si="35"/>
        <v>0</v>
      </c>
      <c r="BO115" s="10"/>
    </row>
    <row r="116" spans="1:67" ht="14.25" hidden="1" thickBot="1">
      <c r="A116" s="1" t="b">
        <f t="shared" si="30"/>
        <v>0</v>
      </c>
      <c r="B116" s="88" t="str">
        <f>[2]陸連登録!N111</f>
        <v/>
      </c>
      <c r="C116" s="1" t="b">
        <f t="shared" si="31"/>
        <v>0</v>
      </c>
      <c r="D116" s="89"/>
      <c r="E116" s="235"/>
      <c r="F116" s="236"/>
      <c r="G116" s="237"/>
      <c r="H116" s="238"/>
      <c r="I116" s="239"/>
      <c r="J116" s="240"/>
      <c r="K116" s="241"/>
      <c r="L116" s="242"/>
      <c r="M116" s="237"/>
      <c r="N116" s="243"/>
      <c r="O116" s="175"/>
      <c r="P116" s="176" t="str">
        <f t="shared" si="37"/>
        <v/>
      </c>
      <c r="Q116" s="177"/>
      <c r="R116" s="178">
        <v>0</v>
      </c>
      <c r="S116" s="179">
        <v>2</v>
      </c>
      <c r="T116" s="175"/>
      <c r="U116" s="176" t="str">
        <f t="shared" si="38"/>
        <v/>
      </c>
      <c r="V116" s="180"/>
      <c r="W116" s="178">
        <v>0</v>
      </c>
      <c r="X116" s="179">
        <v>2</v>
      </c>
      <c r="Y116" s="181"/>
      <c r="Z116" s="176" t="str">
        <f>IF(Y116="","",IF(I116=1,VLOOKUP(Y116,[2]男子種目コード!$A$1:$B$33,2,FALSE),IF(I116=2,VLOOKUP(Y116,[2]女子種目コード!$A$36:$B$66,2,FALSE))))</f>
        <v/>
      </c>
      <c r="AA116" s="177" t="str">
        <f>IF(Y116="","",HLOOKUP(Y116,#REF!,111,FALSE))</f>
        <v/>
      </c>
      <c r="AB116" s="178">
        <v>0</v>
      </c>
      <c r="AC116" s="179">
        <v>2</v>
      </c>
      <c r="AD116" s="182"/>
      <c r="AE116" s="183" t="str">
        <f t="shared" si="36"/>
        <v/>
      </c>
      <c r="AF116" s="184">
        <v>0</v>
      </c>
      <c r="AG116" s="185">
        <v>0</v>
      </c>
      <c r="AH116" s="185">
        <v>2</v>
      </c>
      <c r="AI116" s="186"/>
      <c r="AJ116" s="102" t="str">
        <f t="shared" si="32"/>
        <v/>
      </c>
      <c r="AK116" s="122"/>
      <c r="AL116" s="104">
        <v>0</v>
      </c>
      <c r="AM116" s="123">
        <v>2</v>
      </c>
      <c r="AN116" s="15"/>
      <c r="AO116" s="24"/>
      <c r="AP116" s="8"/>
      <c r="AQ116" s="25"/>
      <c r="AR116" s="25"/>
      <c r="AS116" s="10"/>
      <c r="AT116" s="10"/>
      <c r="AU116" s="10"/>
      <c r="AV116" s="26"/>
      <c r="AW116" s="26"/>
      <c r="AX116" s="10"/>
      <c r="AY116" s="187" t="str">
        <f>IF(O116="","",1)</f>
        <v/>
      </c>
      <c r="AZ116" s="188"/>
      <c r="BA116" s="187"/>
      <c r="BB116" s="187"/>
      <c r="BC116" s="112"/>
      <c r="BF116" s="173"/>
      <c r="BG116" s="173"/>
      <c r="BI116" s="15" t="str">
        <f>IF(I116=2,#REF!,"")</f>
        <v/>
      </c>
      <c r="BJ116" s="15">
        <f t="shared" si="33"/>
        <v>0</v>
      </c>
      <c r="BK116" s="15" t="str">
        <f t="shared" si="28"/>
        <v/>
      </c>
      <c r="BL116" s="15" t="str">
        <f t="shared" si="29"/>
        <v/>
      </c>
      <c r="BM116" s="113" t="str">
        <f t="shared" si="34"/>
        <v/>
      </c>
      <c r="BN116" s="112">
        <f t="shared" si="35"/>
        <v>0</v>
      </c>
      <c r="BO116" s="10"/>
    </row>
    <row r="117" spans="1:67" ht="12.75" customHeight="1">
      <c r="B117" s="4"/>
      <c r="C117" s="4"/>
      <c r="D117" s="4"/>
      <c r="E117" s="10"/>
      <c r="F117" s="10"/>
      <c r="G117" s="17"/>
      <c r="H117" s="8"/>
      <c r="I117" s="8"/>
      <c r="J117" s="9"/>
      <c r="K117" s="9"/>
      <c r="L117" s="10"/>
      <c r="M117" s="189"/>
      <c r="N117" s="12"/>
      <c r="O117" s="11"/>
      <c r="P117" s="190"/>
      <c r="Q117" s="12"/>
      <c r="R117" s="11"/>
      <c r="S117" s="190"/>
      <c r="T117" s="12"/>
      <c r="U117" s="11"/>
      <c r="V117" s="190"/>
      <c r="W117" s="12"/>
      <c r="X117" s="11"/>
      <c r="Y117" s="190"/>
      <c r="Z117" s="12"/>
      <c r="AA117" s="11"/>
      <c r="AB117" s="9"/>
      <c r="AC117" s="9"/>
      <c r="AD117" s="10"/>
      <c r="AE117" s="16"/>
      <c r="AF117" s="10"/>
      <c r="AG117" s="24"/>
      <c r="AH117" s="8"/>
      <c r="AI117" s="25"/>
      <c r="AJ117" s="25"/>
      <c r="AK117" s="26"/>
      <c r="AL117" s="26"/>
      <c r="AM117" s="26"/>
      <c r="AN117" s="26"/>
      <c r="AO117" s="10"/>
      <c r="AP117" s="10" t="e">
        <f ca="1">SUM(AY7:AY116)</f>
        <v>#NAME?</v>
      </c>
      <c r="AQ117" s="10" t="e">
        <f ca="1">SUM(AZ7:AZ116)</f>
        <v>#NAME?</v>
      </c>
      <c r="AR117" s="10">
        <f ca="1">SUM(BA7:BA116)</f>
        <v>0</v>
      </c>
      <c r="AS117" s="10"/>
      <c r="AT117" s="10"/>
      <c r="AU117" s="10"/>
      <c r="AV117" s="10"/>
      <c r="AW117" s="10"/>
      <c r="AX117" s="14"/>
      <c r="AY117" s="14"/>
      <c r="AZ117" s="14"/>
      <c r="BA117" s="4"/>
      <c r="BB117" s="10"/>
      <c r="BC117" s="15" t="str">
        <f>IF(H117=2,BA117,"")</f>
        <v/>
      </c>
      <c r="BF117" s="15">
        <f>B117</f>
        <v>0</v>
      </c>
      <c r="BM117" s="191">
        <f>SUM(BM7:BM115)</f>
        <v>0</v>
      </c>
      <c r="BN117" s="191">
        <f>SUM(BN7:BN115)</f>
        <v>0</v>
      </c>
      <c r="BO117" s="10"/>
    </row>
    <row r="118" spans="1:67">
      <c r="B118" s="4"/>
      <c r="C118" s="4"/>
      <c r="D118" s="4"/>
      <c r="E118" s="10"/>
      <c r="F118" s="10"/>
      <c r="G118" s="17"/>
      <c r="H118" s="8"/>
      <c r="I118" s="8"/>
      <c r="J118" s="9"/>
      <c r="K118" s="9"/>
      <c r="L118" s="10"/>
      <c r="M118" s="189"/>
      <c r="N118" s="12"/>
      <c r="O118" s="11"/>
      <c r="P118" s="190"/>
      <c r="Q118" s="12"/>
      <c r="R118" s="11"/>
      <c r="S118" s="190"/>
      <c r="T118" s="12"/>
      <c r="U118" s="11"/>
      <c r="V118" s="190"/>
      <c r="W118" s="12"/>
      <c r="X118" s="11"/>
      <c r="Y118" s="190"/>
      <c r="Z118" s="12"/>
      <c r="AA118" s="11"/>
      <c r="AB118" s="9"/>
      <c r="AC118" s="9"/>
      <c r="AD118" s="10"/>
      <c r="AE118" s="16"/>
      <c r="AF118" s="10"/>
      <c r="AG118" s="24"/>
      <c r="AH118" s="8"/>
      <c r="AI118" s="25"/>
      <c r="AJ118" s="25"/>
      <c r="AK118" s="26"/>
      <c r="AL118" s="26"/>
      <c r="AM118" s="26"/>
      <c r="AN118" s="26"/>
      <c r="AO118" s="10"/>
      <c r="AP118" s="10"/>
      <c r="AQ118" s="10"/>
      <c r="AR118" s="10"/>
      <c r="AS118" s="10"/>
      <c r="AT118" s="10"/>
      <c r="AU118" s="10"/>
      <c r="AV118" s="10"/>
      <c r="AW118" s="10"/>
      <c r="AX118" s="14"/>
      <c r="AY118" s="14"/>
      <c r="AZ118" s="14"/>
      <c r="BA118" s="4"/>
      <c r="BB118" s="10"/>
      <c r="BM118" s="113" t="str">
        <f t="shared" si="34"/>
        <v/>
      </c>
      <c r="BN118" s="112">
        <f t="shared" si="35"/>
        <v>0</v>
      </c>
      <c r="BO118" s="10"/>
    </row>
    <row r="119" spans="1:67">
      <c r="B119" s="4"/>
      <c r="C119" s="4"/>
      <c r="D119" s="4"/>
      <c r="E119" s="10"/>
      <c r="F119" s="10"/>
      <c r="G119" s="17"/>
      <c r="H119" s="8"/>
      <c r="I119" s="8"/>
      <c r="J119" s="9"/>
      <c r="K119" s="9"/>
      <c r="L119" s="10"/>
      <c r="M119" s="189"/>
      <c r="N119" s="12"/>
      <c r="O119" s="11"/>
      <c r="P119" s="190"/>
      <c r="Q119" s="12"/>
      <c r="R119" s="11"/>
      <c r="S119" s="190"/>
      <c r="T119" s="12"/>
      <c r="U119" s="11"/>
      <c r="V119" s="190"/>
      <c r="W119" s="12"/>
      <c r="X119" s="11"/>
      <c r="Y119" s="190"/>
      <c r="Z119" s="12"/>
      <c r="AA119" s="11"/>
      <c r="AB119" s="9"/>
      <c r="AC119" s="9"/>
      <c r="AD119" s="10"/>
      <c r="AE119" s="16"/>
      <c r="AF119" s="10"/>
      <c r="AG119" s="24"/>
      <c r="AH119" s="8"/>
      <c r="AI119" s="25"/>
      <c r="AJ119" s="25"/>
      <c r="AK119" s="26"/>
      <c r="AL119" s="26"/>
      <c r="AM119" s="26"/>
      <c r="AN119" s="26"/>
      <c r="AO119" s="10"/>
      <c r="AP119" s="10"/>
      <c r="AQ119" s="10"/>
      <c r="AR119" s="10"/>
      <c r="AS119" s="10"/>
      <c r="AT119" s="10"/>
      <c r="AU119" s="10"/>
      <c r="AV119" s="10"/>
      <c r="AW119" s="10"/>
      <c r="AX119" s="14"/>
      <c r="AY119" s="14"/>
      <c r="AZ119" s="14"/>
      <c r="BA119" s="4"/>
      <c r="BB119" s="10"/>
      <c r="BM119" s="113" t="str">
        <f t="shared" si="34"/>
        <v/>
      </c>
      <c r="BN119" s="192">
        <f>BM117+BN117</f>
        <v>0</v>
      </c>
      <c r="BO119" s="10"/>
    </row>
    <row r="120" spans="1:67">
      <c r="B120" s="4"/>
      <c r="C120" s="4"/>
      <c r="D120" s="4"/>
      <c r="E120" s="10"/>
      <c r="F120" s="10"/>
      <c r="G120" s="17"/>
      <c r="H120" s="8"/>
      <c r="I120" s="8"/>
      <c r="J120" s="9"/>
      <c r="K120" s="9"/>
      <c r="L120" s="10"/>
      <c r="M120" s="189"/>
      <c r="N120" s="12"/>
      <c r="O120" s="11"/>
      <c r="P120" s="190"/>
      <c r="Q120" s="12"/>
      <c r="R120" s="11"/>
      <c r="S120" s="190"/>
      <c r="T120" s="12"/>
      <c r="U120" s="11"/>
      <c r="V120" s="190"/>
      <c r="W120" s="12"/>
      <c r="X120" s="11"/>
      <c r="Y120" s="190"/>
      <c r="Z120" s="12"/>
      <c r="AA120" s="11"/>
      <c r="AB120" s="9"/>
      <c r="AC120" s="9"/>
      <c r="AD120" s="10"/>
      <c r="AE120" s="16"/>
      <c r="AF120" s="10"/>
      <c r="AG120" s="24"/>
      <c r="AH120" s="8"/>
      <c r="AI120" s="25"/>
      <c r="AJ120" s="25"/>
      <c r="AK120" s="26"/>
      <c r="AL120" s="26"/>
      <c r="AM120" s="26"/>
      <c r="AN120" s="26"/>
      <c r="AO120" s="10"/>
      <c r="AP120" s="10"/>
      <c r="AQ120" s="10"/>
      <c r="AR120" s="10"/>
      <c r="AS120" s="10"/>
      <c r="AT120" s="10"/>
      <c r="AU120" s="10"/>
      <c r="AV120" s="10"/>
      <c r="AW120" s="10"/>
      <c r="AX120" s="14"/>
      <c r="AY120" s="14"/>
      <c r="AZ120" s="14"/>
      <c r="BA120" s="4"/>
      <c r="BB120" s="10"/>
      <c r="BM120" s="113" t="str">
        <f t="shared" si="34"/>
        <v/>
      </c>
      <c r="BN120" s="112">
        <f t="shared" si="35"/>
        <v>0</v>
      </c>
      <c r="BO120" s="10"/>
    </row>
    <row r="121" spans="1:67">
      <c r="B121" s="4"/>
      <c r="C121" s="4"/>
      <c r="D121" s="4"/>
      <c r="E121" s="10"/>
      <c r="F121" s="10"/>
      <c r="G121" s="17"/>
      <c r="H121" s="8"/>
      <c r="I121" s="8"/>
      <c r="J121" s="9"/>
      <c r="K121" s="9"/>
      <c r="L121" s="10"/>
      <c r="M121" s="189"/>
      <c r="N121" s="12"/>
      <c r="O121" s="11"/>
      <c r="P121" s="190"/>
      <c r="Q121" s="12"/>
      <c r="R121" s="11"/>
      <c r="S121" s="190"/>
      <c r="T121" s="12"/>
      <c r="U121" s="11"/>
      <c r="V121" s="190"/>
      <c r="W121" s="12"/>
      <c r="X121" s="11"/>
      <c r="Y121" s="190"/>
      <c r="Z121" s="12"/>
      <c r="AA121" s="11"/>
      <c r="AB121" s="9"/>
      <c r="AC121" s="9"/>
      <c r="AD121" s="10"/>
      <c r="AE121" s="16"/>
      <c r="AF121" s="10"/>
      <c r="AG121" s="24"/>
      <c r="AH121" s="8"/>
      <c r="AI121" s="25"/>
      <c r="AJ121" s="25"/>
      <c r="AK121" s="26"/>
      <c r="AL121" s="26"/>
      <c r="AM121" s="26"/>
      <c r="AN121" s="26"/>
      <c r="AO121" s="10"/>
      <c r="AP121" s="10"/>
      <c r="AQ121" s="10"/>
      <c r="AR121" s="10"/>
      <c r="AS121" s="10"/>
      <c r="AT121" s="10"/>
      <c r="AU121" s="10"/>
      <c r="AV121" s="10"/>
      <c r="AW121" s="10"/>
      <c r="AX121" s="14"/>
      <c r="AY121" s="14"/>
      <c r="AZ121" s="14"/>
      <c r="BA121" s="4"/>
      <c r="BB121" s="10"/>
      <c r="BM121" s="113" t="str">
        <f t="shared" si="34"/>
        <v/>
      </c>
      <c r="BN121" s="112">
        <f t="shared" si="35"/>
        <v>0</v>
      </c>
      <c r="BO121" s="10"/>
    </row>
    <row r="122" spans="1:67">
      <c r="B122" s="4"/>
      <c r="C122" s="4"/>
      <c r="D122" s="4"/>
      <c r="E122" s="10"/>
      <c r="F122" s="10"/>
      <c r="G122" s="17"/>
      <c r="H122" s="8"/>
      <c r="I122" s="8"/>
      <c r="J122" s="9"/>
      <c r="K122" s="9"/>
      <c r="L122" s="10"/>
      <c r="M122" s="189"/>
      <c r="N122" s="12"/>
      <c r="O122" s="11"/>
      <c r="P122" s="190"/>
      <c r="Q122" s="12"/>
      <c r="R122" s="11"/>
      <c r="S122" s="190"/>
      <c r="T122" s="12"/>
      <c r="U122" s="11"/>
      <c r="V122" s="190"/>
      <c r="W122" s="12"/>
      <c r="X122" s="11"/>
      <c r="Y122" s="190"/>
      <c r="Z122" s="12"/>
      <c r="AA122" s="11"/>
      <c r="AB122" s="9"/>
      <c r="AC122" s="9"/>
      <c r="AD122" s="10"/>
      <c r="AE122" s="16"/>
      <c r="AF122" s="10"/>
      <c r="AG122" s="24"/>
      <c r="AH122" s="8"/>
      <c r="AI122" s="25"/>
      <c r="AJ122" s="25"/>
      <c r="AK122" s="26"/>
      <c r="AL122" s="26"/>
      <c r="AM122" s="26"/>
      <c r="AN122" s="26"/>
      <c r="AO122" s="10"/>
      <c r="AP122" s="10"/>
      <c r="AQ122" s="10"/>
      <c r="AR122" s="10"/>
      <c r="AS122" s="10"/>
      <c r="AT122" s="10"/>
      <c r="AU122" s="10"/>
      <c r="AV122" s="10"/>
      <c r="AW122" s="10"/>
      <c r="AX122" s="14"/>
      <c r="AY122" s="14"/>
      <c r="AZ122" s="14"/>
      <c r="BA122" s="4"/>
      <c r="BB122" s="10"/>
      <c r="BM122" s="113" t="str">
        <f t="shared" si="34"/>
        <v/>
      </c>
      <c r="BN122" s="112">
        <f t="shared" si="35"/>
        <v>0</v>
      </c>
      <c r="BO122" s="10"/>
    </row>
    <row r="123" spans="1:67">
      <c r="B123" s="4"/>
      <c r="C123" s="4"/>
      <c r="D123" s="4"/>
      <c r="E123" s="10"/>
      <c r="F123" s="10"/>
      <c r="G123" s="17"/>
      <c r="H123" s="8"/>
      <c r="I123" s="8"/>
      <c r="J123" s="9"/>
      <c r="K123" s="9"/>
      <c r="L123" s="10"/>
      <c r="M123" s="189"/>
      <c r="N123" s="12"/>
      <c r="O123" s="11"/>
      <c r="P123" s="190"/>
      <c r="Q123" s="12"/>
      <c r="R123" s="11"/>
      <c r="S123" s="190"/>
      <c r="T123" s="12"/>
      <c r="U123" s="11"/>
      <c r="V123" s="190"/>
      <c r="W123" s="12"/>
      <c r="X123" s="11"/>
      <c r="Y123" s="190"/>
      <c r="Z123" s="12"/>
      <c r="AA123" s="11"/>
      <c r="AB123" s="9"/>
      <c r="AC123" s="9"/>
      <c r="AD123" s="10"/>
      <c r="AE123" s="16"/>
      <c r="AF123" s="10"/>
      <c r="AG123" s="24"/>
      <c r="AH123" s="8"/>
      <c r="AI123" s="25"/>
      <c r="AJ123" s="25"/>
      <c r="AK123" s="26"/>
      <c r="AL123" s="26"/>
      <c r="AM123" s="26"/>
      <c r="AN123" s="26"/>
      <c r="AO123" s="10"/>
      <c r="AP123" s="10"/>
      <c r="AQ123" s="10"/>
      <c r="AR123" s="10"/>
      <c r="AS123" s="10"/>
      <c r="AT123" s="10"/>
      <c r="AU123" s="10"/>
      <c r="AV123" s="10"/>
      <c r="AW123" s="10"/>
      <c r="AX123" s="14"/>
      <c r="AY123" s="14"/>
      <c r="AZ123" s="14"/>
      <c r="BA123" s="4"/>
      <c r="BB123" s="10"/>
      <c r="BM123" s="113" t="str">
        <f t="shared" si="34"/>
        <v/>
      </c>
      <c r="BN123" s="112">
        <f t="shared" si="35"/>
        <v>0</v>
      </c>
      <c r="BO123" s="10"/>
    </row>
    <row r="124" spans="1:67">
      <c r="B124" s="4"/>
      <c r="C124" s="4"/>
      <c r="D124" s="4"/>
      <c r="E124" s="10"/>
      <c r="F124" s="10"/>
      <c r="G124" s="17"/>
      <c r="H124" s="8"/>
      <c r="I124" s="8"/>
      <c r="J124" s="9"/>
      <c r="K124" s="9"/>
      <c r="L124" s="10"/>
      <c r="M124" s="189"/>
      <c r="N124" s="12"/>
      <c r="O124" s="11"/>
      <c r="P124" s="190"/>
      <c r="Q124" s="12"/>
      <c r="R124" s="11"/>
      <c r="S124" s="190"/>
      <c r="T124" s="12"/>
      <c r="U124" s="11"/>
      <c r="V124" s="190"/>
      <c r="W124" s="12"/>
      <c r="X124" s="11"/>
      <c r="Y124" s="190"/>
      <c r="Z124" s="12"/>
      <c r="AA124" s="11"/>
      <c r="AB124" s="9"/>
      <c r="AC124" s="9"/>
      <c r="AD124" s="10"/>
      <c r="AE124" s="16"/>
      <c r="AF124" s="10"/>
      <c r="AG124" s="24"/>
      <c r="AH124" s="8"/>
      <c r="AI124" s="25"/>
      <c r="AJ124" s="25"/>
      <c r="AK124" s="26"/>
      <c r="AL124" s="26"/>
      <c r="AM124" s="26"/>
      <c r="AN124" s="26"/>
      <c r="AO124" s="10"/>
      <c r="AP124" s="10"/>
      <c r="AQ124" s="10"/>
      <c r="AR124" s="10"/>
      <c r="AS124" s="10"/>
      <c r="AT124" s="10"/>
      <c r="AU124" s="10"/>
      <c r="AV124" s="10"/>
      <c r="AW124" s="10"/>
      <c r="AX124" s="14"/>
      <c r="AY124" s="14"/>
      <c r="AZ124" s="14"/>
      <c r="BA124" s="4"/>
      <c r="BB124" s="10"/>
      <c r="BM124" s="113" t="str">
        <f t="shared" si="34"/>
        <v/>
      </c>
      <c r="BN124" s="112">
        <f t="shared" si="35"/>
        <v>0</v>
      </c>
      <c r="BO124" s="10"/>
    </row>
    <row r="125" spans="1:67">
      <c r="B125" s="4"/>
      <c r="C125" s="4"/>
      <c r="D125" s="4"/>
      <c r="E125" s="10"/>
      <c r="F125" s="10"/>
      <c r="G125" s="17"/>
      <c r="H125" s="8"/>
      <c r="I125" s="8"/>
      <c r="J125" s="9"/>
      <c r="K125" s="9"/>
      <c r="L125" s="10"/>
      <c r="M125" s="189"/>
      <c r="N125" s="12"/>
      <c r="O125" s="11"/>
      <c r="P125" s="190"/>
      <c r="Q125" s="12"/>
      <c r="R125" s="11"/>
      <c r="S125" s="190"/>
      <c r="T125" s="12"/>
      <c r="U125" s="11"/>
      <c r="V125" s="190"/>
      <c r="W125" s="12"/>
      <c r="X125" s="11"/>
      <c r="Y125" s="190"/>
      <c r="Z125" s="12"/>
      <c r="AA125" s="11"/>
      <c r="AB125" s="9"/>
      <c r="AC125" s="9"/>
      <c r="AD125" s="10"/>
      <c r="AE125" s="16"/>
      <c r="AF125" s="10"/>
      <c r="AG125" s="24"/>
      <c r="AH125" s="8"/>
      <c r="AI125" s="25"/>
      <c r="AJ125" s="25"/>
      <c r="AK125" s="26"/>
      <c r="AL125" s="26"/>
      <c r="AM125" s="26"/>
      <c r="AN125" s="26"/>
      <c r="AO125" s="10"/>
      <c r="AP125" s="10"/>
      <c r="AQ125" s="10"/>
      <c r="AR125" s="10"/>
      <c r="AS125" s="10"/>
      <c r="AT125" s="10"/>
      <c r="AU125" s="10"/>
      <c r="AV125" s="10"/>
      <c r="AW125" s="10"/>
      <c r="AX125" s="14"/>
      <c r="AY125" s="14"/>
      <c r="AZ125" s="14"/>
      <c r="BA125" s="4"/>
      <c r="BB125" s="10"/>
      <c r="BM125" s="113" t="str">
        <f t="shared" si="34"/>
        <v/>
      </c>
      <c r="BN125" s="112">
        <f t="shared" si="35"/>
        <v>0</v>
      </c>
      <c r="BO125" s="10"/>
    </row>
    <row r="126" spans="1:67">
      <c r="A126" s="193"/>
      <c r="B126" s="193"/>
      <c r="C126" s="193"/>
      <c r="D126" s="193"/>
      <c r="E126" s="194"/>
      <c r="F126" s="194"/>
      <c r="G126" s="195"/>
      <c r="H126" s="196"/>
      <c r="I126" s="196"/>
      <c r="J126" s="197"/>
      <c r="K126" s="197"/>
      <c r="L126" s="194"/>
      <c r="N126" s="199"/>
      <c r="O126" s="200"/>
      <c r="Q126" s="199"/>
      <c r="R126" s="200"/>
      <c r="T126" s="199"/>
      <c r="U126" s="200"/>
      <c r="W126" s="199"/>
      <c r="X126" s="200"/>
      <c r="Z126" s="199"/>
      <c r="AA126" s="200"/>
      <c r="AB126" s="197"/>
      <c r="AC126" s="197"/>
      <c r="AD126" s="194"/>
      <c r="AE126" s="202"/>
      <c r="AF126" s="194"/>
      <c r="AG126" s="203"/>
      <c r="AH126" s="196"/>
      <c r="AI126" s="204"/>
      <c r="AJ126" s="204"/>
      <c r="AK126" s="205"/>
      <c r="AL126" s="205"/>
      <c r="AM126" s="205"/>
      <c r="AN126" s="205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206"/>
      <c r="AY126" s="206"/>
      <c r="AZ126" s="206"/>
      <c r="BA126" s="193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259" t="str">
        <f t="shared" si="34"/>
        <v/>
      </c>
      <c r="BO126" s="194"/>
    </row>
    <row r="127" spans="1:67">
      <c r="A127" s="193"/>
      <c r="B127" s="193"/>
      <c r="C127" s="193"/>
      <c r="D127" s="193"/>
      <c r="E127" s="194"/>
      <c r="F127" s="194"/>
      <c r="G127" s="195"/>
      <c r="H127" s="196"/>
      <c r="I127" s="196"/>
      <c r="J127" s="197"/>
      <c r="K127" s="197"/>
      <c r="L127" s="194"/>
      <c r="N127" s="199"/>
      <c r="O127" s="200"/>
      <c r="Q127" s="199"/>
      <c r="R127" s="200"/>
      <c r="T127" s="199"/>
      <c r="U127" s="200"/>
      <c r="W127" s="199"/>
      <c r="X127" s="200"/>
      <c r="Z127" s="199"/>
      <c r="AA127" s="200"/>
      <c r="AB127" s="197"/>
      <c r="AC127" s="197"/>
      <c r="AD127" s="194"/>
      <c r="AE127" s="202"/>
      <c r="AF127" s="194"/>
      <c r="AG127" s="203"/>
      <c r="AH127" s="196"/>
      <c r="AI127" s="204"/>
      <c r="AJ127" s="204"/>
      <c r="AK127" s="205"/>
      <c r="AL127" s="205"/>
      <c r="AM127" s="205"/>
      <c r="AN127" s="205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206"/>
      <c r="AY127" s="206"/>
      <c r="AZ127" s="206"/>
      <c r="BA127" s="193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O127" s="194"/>
    </row>
    <row r="128" spans="1:67">
      <c r="A128" s="193"/>
      <c r="B128" s="193"/>
      <c r="C128" s="193"/>
      <c r="D128" s="193"/>
      <c r="E128" s="194"/>
      <c r="F128" s="194"/>
      <c r="G128" s="195"/>
      <c r="H128" s="196"/>
      <c r="I128" s="196"/>
      <c r="J128" s="197"/>
      <c r="K128" s="197"/>
      <c r="L128" s="194"/>
      <c r="N128" s="199"/>
      <c r="O128" s="200"/>
      <c r="Q128" s="199"/>
      <c r="R128" s="200"/>
      <c r="T128" s="199"/>
      <c r="U128" s="200"/>
      <c r="W128" s="199"/>
      <c r="X128" s="200"/>
      <c r="Z128" s="199"/>
      <c r="AA128" s="200"/>
      <c r="AB128" s="197"/>
      <c r="AC128" s="197"/>
      <c r="AD128" s="194"/>
      <c r="AE128" s="202"/>
      <c r="AF128" s="194"/>
      <c r="AG128" s="203"/>
      <c r="AH128" s="196"/>
      <c r="AI128" s="204"/>
      <c r="AJ128" s="204"/>
      <c r="AK128" s="205"/>
      <c r="AL128" s="205"/>
      <c r="AM128" s="205"/>
      <c r="AN128" s="205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206"/>
      <c r="AY128" s="206"/>
      <c r="AZ128" s="206"/>
      <c r="BA128" s="193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O128" s="194"/>
    </row>
    <row r="129" spans="1:53" s="194" customFormat="1">
      <c r="A129" s="193"/>
      <c r="B129" s="193"/>
      <c r="C129" s="193"/>
      <c r="D129" s="193"/>
      <c r="G129" s="195"/>
      <c r="H129" s="196"/>
      <c r="I129" s="196"/>
      <c r="J129" s="197"/>
      <c r="K129" s="197"/>
      <c r="M129" s="198"/>
      <c r="N129" s="199"/>
      <c r="O129" s="200"/>
      <c r="P129" s="201"/>
      <c r="Q129" s="199"/>
      <c r="R129" s="200"/>
      <c r="S129" s="201"/>
      <c r="T129" s="199"/>
      <c r="U129" s="200"/>
      <c r="V129" s="201"/>
      <c r="W129" s="199"/>
      <c r="X129" s="200"/>
      <c r="Y129" s="201"/>
      <c r="Z129" s="199"/>
      <c r="AA129" s="200"/>
      <c r="AB129" s="197"/>
      <c r="AC129" s="197"/>
      <c r="AE129" s="202"/>
      <c r="AG129" s="203"/>
      <c r="AH129" s="196"/>
      <c r="AI129" s="204"/>
      <c r="AJ129" s="204"/>
      <c r="AK129" s="205"/>
      <c r="AL129" s="205"/>
      <c r="AM129" s="205"/>
      <c r="AN129" s="205"/>
      <c r="AX129" s="206"/>
      <c r="AY129" s="206"/>
      <c r="AZ129" s="206"/>
      <c r="BA129" s="193"/>
    </row>
    <row r="130" spans="1:53" s="194" customFormat="1">
      <c r="A130" s="193"/>
      <c r="B130" s="193"/>
      <c r="C130" s="193"/>
      <c r="D130" s="193"/>
      <c r="G130" s="195"/>
      <c r="H130" s="196"/>
      <c r="I130" s="196"/>
      <c r="J130" s="197"/>
      <c r="K130" s="197"/>
      <c r="M130" s="198"/>
      <c r="N130" s="199"/>
      <c r="O130" s="200"/>
      <c r="P130" s="201"/>
      <c r="Q130" s="199"/>
      <c r="R130" s="200"/>
      <c r="S130" s="201"/>
      <c r="T130" s="199"/>
      <c r="U130" s="200"/>
      <c r="V130" s="201"/>
      <c r="W130" s="199"/>
      <c r="X130" s="200"/>
      <c r="Y130" s="201"/>
      <c r="Z130" s="199"/>
      <c r="AA130" s="200"/>
      <c r="AB130" s="197"/>
      <c r="AC130" s="197"/>
      <c r="AE130" s="202"/>
      <c r="AG130" s="203"/>
      <c r="AH130" s="196"/>
      <c r="AI130" s="204"/>
      <c r="AJ130" s="204"/>
      <c r="AK130" s="205"/>
      <c r="AL130" s="205"/>
      <c r="AM130" s="205"/>
      <c r="AN130" s="205"/>
      <c r="AX130" s="206"/>
      <c r="AY130" s="206"/>
      <c r="AZ130" s="206"/>
      <c r="BA130" s="193"/>
    </row>
    <row r="131" spans="1:53" s="194" customFormat="1">
      <c r="A131" s="193"/>
      <c r="B131" s="193"/>
      <c r="C131" s="193"/>
      <c r="D131" s="193"/>
      <c r="G131" s="195"/>
      <c r="H131" s="196"/>
      <c r="I131" s="196"/>
      <c r="J131" s="197"/>
      <c r="K131" s="197"/>
      <c r="M131" s="198"/>
      <c r="N131" s="199"/>
      <c r="O131" s="200"/>
      <c r="P131" s="201"/>
      <c r="Q131" s="199"/>
      <c r="R131" s="200"/>
      <c r="S131" s="201"/>
      <c r="T131" s="199"/>
      <c r="U131" s="200"/>
      <c r="V131" s="201"/>
      <c r="W131" s="199"/>
      <c r="X131" s="200"/>
      <c r="Y131" s="201"/>
      <c r="Z131" s="199"/>
      <c r="AA131" s="200"/>
      <c r="AB131" s="197"/>
      <c r="AC131" s="197"/>
      <c r="AE131" s="202"/>
      <c r="AG131" s="203"/>
      <c r="AH131" s="196"/>
      <c r="AI131" s="204"/>
      <c r="AJ131" s="204"/>
      <c r="AK131" s="205"/>
      <c r="AL131" s="205"/>
      <c r="AM131" s="205"/>
      <c r="AN131" s="205"/>
      <c r="AX131" s="206"/>
      <c r="AY131" s="206"/>
      <c r="AZ131" s="206"/>
      <c r="BA131" s="193"/>
    </row>
    <row r="132" spans="1:53" s="194" customFormat="1">
      <c r="A132" s="193"/>
      <c r="B132" s="193"/>
      <c r="C132" s="193"/>
      <c r="D132" s="193"/>
      <c r="G132" s="195"/>
      <c r="H132" s="196"/>
      <c r="I132" s="196"/>
      <c r="J132" s="197"/>
      <c r="K132" s="197"/>
      <c r="M132" s="198"/>
      <c r="N132" s="199"/>
      <c r="O132" s="200"/>
      <c r="P132" s="201"/>
      <c r="Q132" s="199"/>
      <c r="R132" s="200"/>
      <c r="S132" s="201"/>
      <c r="T132" s="199"/>
      <c r="U132" s="200"/>
      <c r="V132" s="201"/>
      <c r="W132" s="199"/>
      <c r="X132" s="200"/>
      <c r="Y132" s="201"/>
      <c r="Z132" s="199"/>
      <c r="AA132" s="200"/>
      <c r="AB132" s="197"/>
      <c r="AC132" s="197"/>
      <c r="AE132" s="202"/>
      <c r="AG132" s="203"/>
      <c r="AH132" s="196"/>
      <c r="AI132" s="204"/>
      <c r="AJ132" s="204"/>
      <c r="AK132" s="205"/>
      <c r="AL132" s="205"/>
      <c r="AM132" s="205"/>
      <c r="AN132" s="205"/>
      <c r="AX132" s="206"/>
      <c r="AY132" s="206"/>
      <c r="AZ132" s="206"/>
      <c r="BA132" s="193"/>
    </row>
    <row r="133" spans="1:53" s="194" customFormat="1">
      <c r="A133" s="193"/>
      <c r="B133" s="193"/>
      <c r="C133" s="193"/>
      <c r="D133" s="193"/>
      <c r="G133" s="195"/>
      <c r="H133" s="196"/>
      <c r="I133" s="196"/>
      <c r="J133" s="197"/>
      <c r="K133" s="197"/>
      <c r="M133" s="198"/>
      <c r="N133" s="199"/>
      <c r="O133" s="200"/>
      <c r="P133" s="201"/>
      <c r="Q133" s="199"/>
      <c r="R133" s="200"/>
      <c r="S133" s="201"/>
      <c r="T133" s="199"/>
      <c r="U133" s="200"/>
      <c r="V133" s="201"/>
      <c r="W133" s="199"/>
      <c r="X133" s="200"/>
      <c r="Y133" s="201"/>
      <c r="Z133" s="199"/>
      <c r="AA133" s="200"/>
      <c r="AB133" s="197"/>
      <c r="AC133" s="197"/>
      <c r="AE133" s="202"/>
      <c r="AG133" s="203"/>
      <c r="AH133" s="196"/>
      <c r="AI133" s="204"/>
      <c r="AJ133" s="204"/>
      <c r="AK133" s="205"/>
      <c r="AL133" s="205"/>
      <c r="AM133" s="205"/>
      <c r="AN133" s="205"/>
      <c r="AX133" s="206"/>
      <c r="AY133" s="206"/>
      <c r="AZ133" s="206"/>
      <c r="BA133" s="193"/>
    </row>
    <row r="134" spans="1:53" s="194" customFormat="1">
      <c r="A134" s="193"/>
      <c r="B134" s="193"/>
      <c r="C134" s="193"/>
      <c r="D134" s="193"/>
      <c r="G134" s="195"/>
      <c r="H134" s="196"/>
      <c r="I134" s="196"/>
      <c r="J134" s="197"/>
      <c r="K134" s="197"/>
      <c r="M134" s="198"/>
      <c r="N134" s="199"/>
      <c r="O134" s="200"/>
      <c r="P134" s="201"/>
      <c r="Q134" s="199"/>
      <c r="R134" s="200"/>
      <c r="S134" s="201"/>
      <c r="T134" s="199"/>
      <c r="U134" s="200"/>
      <c r="V134" s="201"/>
      <c r="W134" s="199"/>
      <c r="X134" s="200"/>
      <c r="Y134" s="201"/>
      <c r="Z134" s="199"/>
      <c r="AA134" s="200"/>
      <c r="AB134" s="197"/>
      <c r="AC134" s="197"/>
      <c r="AE134" s="202"/>
      <c r="AG134" s="203"/>
      <c r="AH134" s="196"/>
      <c r="AI134" s="204"/>
      <c r="AJ134" s="204"/>
      <c r="AK134" s="205"/>
      <c r="AL134" s="205"/>
      <c r="AM134" s="205"/>
      <c r="AN134" s="205"/>
      <c r="AX134" s="206"/>
      <c r="AY134" s="206"/>
      <c r="AZ134" s="206"/>
      <c r="BA134" s="193"/>
    </row>
    <row r="135" spans="1:53" s="194" customFormat="1">
      <c r="A135" s="193"/>
      <c r="B135" s="193"/>
      <c r="C135" s="193"/>
      <c r="D135" s="193"/>
      <c r="G135" s="195"/>
      <c r="H135" s="196"/>
      <c r="I135" s="196"/>
      <c r="J135" s="197"/>
      <c r="K135" s="197"/>
      <c r="M135" s="198"/>
      <c r="N135" s="199"/>
      <c r="O135" s="200"/>
      <c r="P135" s="201"/>
      <c r="Q135" s="199"/>
      <c r="R135" s="200"/>
      <c r="S135" s="201"/>
      <c r="T135" s="199"/>
      <c r="U135" s="200"/>
      <c r="V135" s="201"/>
      <c r="W135" s="199"/>
      <c r="X135" s="200"/>
      <c r="Y135" s="201"/>
      <c r="Z135" s="199"/>
      <c r="AA135" s="200"/>
      <c r="AB135" s="197"/>
      <c r="AC135" s="197"/>
      <c r="AE135" s="202"/>
      <c r="AG135" s="203"/>
      <c r="AH135" s="196"/>
      <c r="AI135" s="204"/>
      <c r="AJ135" s="204"/>
      <c r="AK135" s="205"/>
      <c r="AL135" s="205"/>
      <c r="AM135" s="205"/>
      <c r="AN135" s="205"/>
      <c r="AS135" s="15"/>
      <c r="AT135" s="15"/>
      <c r="AU135" s="15"/>
      <c r="AX135" s="206"/>
      <c r="AY135" s="206"/>
      <c r="AZ135" s="206"/>
      <c r="BA135" s="193"/>
    </row>
    <row r="136" spans="1:53" s="194" customFormat="1">
      <c r="A136" s="193"/>
      <c r="B136" s="193"/>
      <c r="C136" s="193"/>
      <c r="D136" s="193"/>
      <c r="G136" s="195"/>
      <c r="H136" s="196"/>
      <c r="I136" s="196"/>
      <c r="J136" s="197"/>
      <c r="K136" s="197"/>
      <c r="M136" s="198"/>
      <c r="N136" s="199"/>
      <c r="O136" s="200"/>
      <c r="P136" s="201"/>
      <c r="Q136" s="199"/>
      <c r="R136" s="200"/>
      <c r="S136" s="201"/>
      <c r="T136" s="199"/>
      <c r="U136" s="200"/>
      <c r="V136" s="201"/>
      <c r="W136" s="199"/>
      <c r="X136" s="200"/>
      <c r="Y136" s="201"/>
      <c r="Z136" s="199"/>
      <c r="AA136" s="200"/>
      <c r="AB136" s="197"/>
      <c r="AC136" s="197"/>
      <c r="AE136" s="202"/>
      <c r="AG136" s="203"/>
      <c r="AH136" s="196"/>
      <c r="AI136" s="204"/>
      <c r="AJ136" s="204"/>
      <c r="AK136" s="205"/>
      <c r="AL136" s="205"/>
      <c r="AM136" s="205"/>
      <c r="AN136" s="205"/>
      <c r="AS136" s="15"/>
      <c r="AT136" s="15"/>
      <c r="AU136" s="15"/>
      <c r="AX136" s="206"/>
      <c r="AY136" s="206"/>
      <c r="AZ136" s="206"/>
      <c r="BA136" s="193"/>
    </row>
    <row r="137" spans="1:53" s="194" customFormat="1">
      <c r="A137" s="193"/>
      <c r="B137" s="193"/>
      <c r="C137" s="193"/>
      <c r="D137" s="193"/>
      <c r="G137" s="195"/>
      <c r="H137" s="196"/>
      <c r="I137" s="196"/>
      <c r="J137" s="197"/>
      <c r="K137" s="197"/>
      <c r="M137" s="198"/>
      <c r="N137" s="199"/>
      <c r="O137" s="200"/>
      <c r="P137" s="201"/>
      <c r="Q137" s="199"/>
      <c r="R137" s="200"/>
      <c r="S137" s="201"/>
      <c r="T137" s="199"/>
      <c r="U137" s="200"/>
      <c r="V137" s="201"/>
      <c r="W137" s="199"/>
      <c r="X137" s="200"/>
      <c r="Y137" s="201"/>
      <c r="Z137" s="199"/>
      <c r="AA137" s="200"/>
      <c r="AB137" s="197"/>
      <c r="AC137" s="197"/>
      <c r="AE137" s="202"/>
      <c r="AG137" s="203"/>
      <c r="AH137" s="196"/>
      <c r="AI137" s="204"/>
      <c r="AJ137" s="204"/>
      <c r="AK137" s="205"/>
      <c r="AL137" s="205"/>
      <c r="AM137" s="205"/>
      <c r="AN137" s="205"/>
      <c r="AS137" s="15"/>
      <c r="AT137" s="15"/>
      <c r="AU137" s="15"/>
      <c r="AX137" s="206"/>
      <c r="AY137" s="206"/>
      <c r="AZ137" s="206"/>
      <c r="BA137" s="193"/>
    </row>
    <row r="138" spans="1:53" s="194" customFormat="1">
      <c r="A138" s="193"/>
      <c r="B138" s="193"/>
      <c r="C138" s="193"/>
      <c r="D138" s="193"/>
      <c r="G138" s="195"/>
      <c r="H138" s="196"/>
      <c r="I138" s="196"/>
      <c r="J138" s="197"/>
      <c r="K138" s="197"/>
      <c r="M138" s="198"/>
      <c r="N138" s="199"/>
      <c r="O138" s="200"/>
      <c r="P138" s="201"/>
      <c r="Q138" s="199"/>
      <c r="R138" s="200"/>
      <c r="S138" s="201"/>
      <c r="T138" s="199"/>
      <c r="U138" s="200"/>
      <c r="V138" s="201"/>
      <c r="W138" s="199"/>
      <c r="X138" s="200"/>
      <c r="Y138" s="201"/>
      <c r="Z138" s="199"/>
      <c r="AA138" s="200"/>
      <c r="AB138" s="197"/>
      <c r="AC138" s="197"/>
      <c r="AE138" s="202"/>
      <c r="AG138" s="203"/>
      <c r="AH138" s="196"/>
      <c r="AI138" s="204"/>
      <c r="AJ138" s="204"/>
      <c r="AK138" s="205"/>
      <c r="AL138" s="205"/>
      <c r="AM138" s="205"/>
      <c r="AN138" s="205"/>
      <c r="AS138" s="15"/>
      <c r="AT138" s="15"/>
      <c r="AU138" s="15"/>
      <c r="AX138" s="206"/>
      <c r="AY138" s="206"/>
      <c r="AZ138" s="206"/>
      <c r="BA138" s="193"/>
    </row>
    <row r="139" spans="1:53" s="194" customFormat="1">
      <c r="A139" s="193"/>
      <c r="B139" s="193"/>
      <c r="C139" s="193"/>
      <c r="D139" s="193"/>
      <c r="G139" s="195"/>
      <c r="H139" s="196"/>
      <c r="I139" s="196"/>
      <c r="J139" s="197"/>
      <c r="K139" s="197"/>
      <c r="M139" s="198"/>
      <c r="N139" s="199"/>
      <c r="O139" s="200"/>
      <c r="P139" s="201"/>
      <c r="Q139" s="199"/>
      <c r="R139" s="200"/>
      <c r="S139" s="201"/>
      <c r="T139" s="199"/>
      <c r="U139" s="200"/>
      <c r="V139" s="201"/>
      <c r="W139" s="199"/>
      <c r="X139" s="200"/>
      <c r="Y139" s="201"/>
      <c r="Z139" s="199"/>
      <c r="AA139" s="200"/>
      <c r="AB139" s="197"/>
      <c r="AC139" s="197"/>
      <c r="AE139" s="202"/>
      <c r="AG139" s="203"/>
      <c r="AH139" s="196"/>
      <c r="AI139" s="204"/>
      <c r="AJ139" s="204"/>
      <c r="AK139" s="205"/>
      <c r="AL139" s="205"/>
      <c r="AM139" s="205"/>
      <c r="AN139" s="205"/>
      <c r="AS139" s="15"/>
      <c r="AT139" s="15"/>
      <c r="AU139" s="15"/>
      <c r="AX139" s="206"/>
      <c r="AY139" s="206"/>
      <c r="AZ139" s="206"/>
      <c r="BA139" s="193"/>
    </row>
    <row r="140" spans="1:53" s="194" customFormat="1">
      <c r="A140" s="193"/>
      <c r="B140" s="193"/>
      <c r="C140" s="193"/>
      <c r="D140" s="193"/>
      <c r="G140" s="195"/>
      <c r="H140" s="196"/>
      <c r="I140" s="196"/>
      <c r="J140" s="197"/>
      <c r="K140" s="197"/>
      <c r="M140" s="198"/>
      <c r="N140" s="199"/>
      <c r="O140" s="200"/>
      <c r="P140" s="201"/>
      <c r="Q140" s="199"/>
      <c r="R140" s="200"/>
      <c r="S140" s="201"/>
      <c r="T140" s="199"/>
      <c r="U140" s="200"/>
      <c r="V140" s="201"/>
      <c r="W140" s="199"/>
      <c r="X140" s="200"/>
      <c r="Y140" s="201"/>
      <c r="Z140" s="199"/>
      <c r="AA140" s="200"/>
      <c r="AB140" s="197"/>
      <c r="AC140" s="197"/>
      <c r="AE140" s="202"/>
      <c r="AG140" s="203"/>
      <c r="AH140" s="196"/>
      <c r="AI140" s="204"/>
      <c r="AJ140" s="204"/>
      <c r="AK140" s="205"/>
      <c r="AL140" s="205"/>
      <c r="AM140" s="205"/>
      <c r="AN140" s="205"/>
      <c r="AS140" s="15"/>
      <c r="AT140" s="15"/>
      <c r="AU140" s="15"/>
      <c r="AX140" s="206"/>
      <c r="AY140" s="206"/>
      <c r="AZ140" s="206"/>
      <c r="BA140" s="193"/>
    </row>
    <row r="141" spans="1:53" s="194" customFormat="1">
      <c r="A141" s="193"/>
      <c r="B141" s="193"/>
      <c r="C141" s="193"/>
      <c r="D141" s="193"/>
      <c r="G141" s="195"/>
      <c r="H141" s="196"/>
      <c r="I141" s="196"/>
      <c r="J141" s="197"/>
      <c r="K141" s="197"/>
      <c r="M141" s="198"/>
      <c r="N141" s="199"/>
      <c r="O141" s="200"/>
      <c r="P141" s="201"/>
      <c r="Q141" s="199"/>
      <c r="R141" s="200"/>
      <c r="S141" s="201"/>
      <c r="T141" s="199"/>
      <c r="U141" s="200"/>
      <c r="V141" s="201"/>
      <c r="W141" s="199"/>
      <c r="X141" s="200"/>
      <c r="Y141" s="201"/>
      <c r="Z141" s="199"/>
      <c r="AA141" s="200"/>
      <c r="AB141" s="197"/>
      <c r="AC141" s="197"/>
      <c r="AE141" s="202"/>
      <c r="AG141" s="203"/>
      <c r="AH141" s="196"/>
      <c r="AI141" s="204"/>
      <c r="AJ141" s="204"/>
      <c r="AK141" s="205"/>
      <c r="AL141" s="205"/>
      <c r="AM141" s="205"/>
      <c r="AN141" s="205"/>
      <c r="AS141" s="15"/>
      <c r="AT141" s="15"/>
      <c r="AU141" s="15"/>
      <c r="AX141" s="206"/>
      <c r="AY141" s="206"/>
      <c r="AZ141" s="206"/>
      <c r="BA141" s="193"/>
    </row>
    <row r="142" spans="1:53" s="194" customFormat="1">
      <c r="A142" s="193"/>
      <c r="B142" s="193"/>
      <c r="C142" s="193"/>
      <c r="D142" s="193"/>
      <c r="G142" s="195"/>
      <c r="H142" s="196"/>
      <c r="I142" s="196"/>
      <c r="J142" s="197"/>
      <c r="K142" s="197"/>
      <c r="M142" s="198"/>
      <c r="N142" s="199"/>
      <c r="O142" s="200"/>
      <c r="P142" s="201"/>
      <c r="Q142" s="199"/>
      <c r="R142" s="200"/>
      <c r="S142" s="201"/>
      <c r="T142" s="199"/>
      <c r="U142" s="200"/>
      <c r="V142" s="201"/>
      <c r="W142" s="199"/>
      <c r="X142" s="200"/>
      <c r="Y142" s="201"/>
      <c r="Z142" s="199"/>
      <c r="AA142" s="200"/>
      <c r="AB142" s="197"/>
      <c r="AC142" s="197"/>
      <c r="AE142" s="202"/>
      <c r="AG142" s="203"/>
      <c r="AH142" s="196"/>
      <c r="AI142" s="204"/>
      <c r="AJ142" s="204"/>
      <c r="AK142" s="205"/>
      <c r="AL142" s="205"/>
      <c r="AM142" s="205"/>
      <c r="AN142" s="205"/>
      <c r="AS142" s="15"/>
      <c r="AT142" s="15"/>
      <c r="AU142" s="15"/>
      <c r="AX142" s="206"/>
      <c r="AY142" s="206"/>
      <c r="AZ142" s="206"/>
      <c r="BA142" s="193"/>
    </row>
    <row r="143" spans="1:53" s="194" customFormat="1">
      <c r="A143" s="193"/>
      <c r="B143" s="193"/>
      <c r="C143" s="193"/>
      <c r="D143" s="193"/>
      <c r="G143" s="195"/>
      <c r="H143" s="196"/>
      <c r="I143" s="196"/>
      <c r="J143" s="197"/>
      <c r="K143" s="197"/>
      <c r="M143" s="198"/>
      <c r="N143" s="199"/>
      <c r="O143" s="200"/>
      <c r="P143" s="201"/>
      <c r="Q143" s="199"/>
      <c r="R143" s="200"/>
      <c r="S143" s="201"/>
      <c r="T143" s="199"/>
      <c r="U143" s="200"/>
      <c r="V143" s="201"/>
      <c r="W143" s="199"/>
      <c r="X143" s="200"/>
      <c r="Y143" s="201"/>
      <c r="Z143" s="199"/>
      <c r="AA143" s="200"/>
      <c r="AB143" s="197"/>
      <c r="AC143" s="197"/>
      <c r="AE143" s="202"/>
      <c r="AG143" s="203"/>
      <c r="AH143" s="196"/>
      <c r="AI143" s="204"/>
      <c r="AJ143" s="204"/>
      <c r="AK143" s="205"/>
      <c r="AL143" s="205"/>
      <c r="AM143" s="205"/>
      <c r="AN143" s="205"/>
      <c r="AS143" s="15"/>
      <c r="AT143" s="15"/>
      <c r="AU143" s="15"/>
      <c r="AX143" s="206"/>
      <c r="AY143" s="206"/>
      <c r="AZ143" s="206"/>
      <c r="BA143" s="193"/>
    </row>
    <row r="144" spans="1:53" s="194" customFormat="1">
      <c r="A144" s="193"/>
      <c r="B144" s="193"/>
      <c r="C144" s="193"/>
      <c r="D144" s="193"/>
      <c r="G144" s="195"/>
      <c r="H144" s="196"/>
      <c r="I144" s="196"/>
      <c r="J144" s="197"/>
      <c r="K144" s="197"/>
      <c r="M144" s="198"/>
      <c r="N144" s="199"/>
      <c r="O144" s="200"/>
      <c r="P144" s="201"/>
      <c r="Q144" s="199"/>
      <c r="R144" s="200"/>
      <c r="S144" s="201"/>
      <c r="T144" s="199"/>
      <c r="U144" s="200"/>
      <c r="V144" s="201"/>
      <c r="W144" s="199"/>
      <c r="X144" s="200"/>
      <c r="Y144" s="201"/>
      <c r="Z144" s="199"/>
      <c r="AA144" s="200"/>
      <c r="AB144" s="197"/>
      <c r="AC144" s="197"/>
      <c r="AE144" s="202"/>
      <c r="AG144" s="203"/>
      <c r="AH144" s="196"/>
      <c r="AI144" s="204"/>
      <c r="AJ144" s="204"/>
      <c r="AK144" s="205"/>
      <c r="AL144" s="205"/>
      <c r="AM144" s="205"/>
      <c r="AN144" s="205"/>
      <c r="AS144" s="15"/>
      <c r="AT144" s="15"/>
      <c r="AU144" s="15"/>
      <c r="AX144" s="206"/>
      <c r="AY144" s="206"/>
      <c r="AZ144" s="206"/>
      <c r="BA144" s="193"/>
    </row>
  </sheetData>
  <sheetProtection password="83D4" sheet="1" objects="1" scenarios="1"/>
  <mergeCells count="19">
    <mergeCell ref="AV38:AV43"/>
    <mergeCell ref="AW25:AX25"/>
    <mergeCell ref="AW26:AX26"/>
    <mergeCell ref="AV27:AV32"/>
    <mergeCell ref="AW35:AX35"/>
    <mergeCell ref="AW36:AX36"/>
    <mergeCell ref="AW37:AX37"/>
    <mergeCell ref="AW24:AX24"/>
    <mergeCell ref="O1:AT1"/>
    <mergeCell ref="U2:V2"/>
    <mergeCell ref="AS6:AT6"/>
    <mergeCell ref="AW6:AX6"/>
    <mergeCell ref="AW7:AX7"/>
    <mergeCell ref="AW8:AX8"/>
    <mergeCell ref="AV9:AV14"/>
    <mergeCell ref="AW15:AX15"/>
    <mergeCell ref="AW16:AX16"/>
    <mergeCell ref="AW17:AX17"/>
    <mergeCell ref="AV18:AV23"/>
  </mergeCells>
  <phoneticPr fontId="3"/>
  <conditionalFormatting sqref="F7:F116">
    <cfRule type="expression" dxfId="83" priority="96" stopIfTrue="1">
      <formula>I7=2</formula>
    </cfRule>
  </conditionalFormatting>
  <conditionalFormatting sqref="G7:G116">
    <cfRule type="expression" dxfId="82" priority="95" stopIfTrue="1">
      <formula>I7=2</formula>
    </cfRule>
  </conditionalFormatting>
  <conditionalFormatting sqref="AW9:AZ14">
    <cfRule type="expression" dxfId="81" priority="94" stopIfTrue="1">
      <formula>BB7=2</formula>
    </cfRule>
  </conditionalFormatting>
  <conditionalFormatting sqref="I7:I116">
    <cfRule type="cellIs" dxfId="80" priority="93" stopIfTrue="1" operator="equal">
      <formula>2</formula>
    </cfRule>
  </conditionalFormatting>
  <conditionalFormatting sqref="Q22:Q116">
    <cfRule type="expression" dxfId="79" priority="92" stopIfTrue="1">
      <formula>I22=""</formula>
    </cfRule>
  </conditionalFormatting>
  <conditionalFormatting sqref="Q22 V22 AA22">
    <cfRule type="expression" dxfId="78" priority="79" stopIfTrue="1">
      <formula>$I$22=""</formula>
    </cfRule>
  </conditionalFormatting>
  <conditionalFormatting sqref="Q23 V23 AA23">
    <cfRule type="expression" dxfId="77" priority="78" stopIfTrue="1">
      <formula>$I$23=""</formula>
    </cfRule>
  </conditionalFormatting>
  <conditionalFormatting sqref="Q24 V24 AA24">
    <cfRule type="expression" dxfId="76" priority="77" stopIfTrue="1">
      <formula>$I$24=""</formula>
    </cfRule>
  </conditionalFormatting>
  <conditionalFormatting sqref="Q25 V25 AA25">
    <cfRule type="expression" dxfId="75" priority="76" stopIfTrue="1">
      <formula>$I$25=""</formula>
    </cfRule>
  </conditionalFormatting>
  <conditionalFormatting sqref="Q26 V26 AA26">
    <cfRule type="expression" dxfId="74" priority="75" stopIfTrue="1">
      <formula>$I$26=""</formula>
    </cfRule>
  </conditionalFormatting>
  <conditionalFormatting sqref="Q27 V27 AA27">
    <cfRule type="expression" dxfId="73" priority="74" stopIfTrue="1">
      <formula>$I$27=""</formula>
    </cfRule>
  </conditionalFormatting>
  <conditionalFormatting sqref="Q28 V28 AA28">
    <cfRule type="expression" dxfId="72" priority="73" stopIfTrue="1">
      <formula>$I$28=""</formula>
    </cfRule>
  </conditionalFormatting>
  <conditionalFormatting sqref="Q29 V29 AA29">
    <cfRule type="expression" dxfId="71" priority="72" stopIfTrue="1">
      <formula>$I$29=""</formula>
    </cfRule>
  </conditionalFormatting>
  <conditionalFormatting sqref="Q30 V30 AA30">
    <cfRule type="expression" dxfId="70" priority="71" stopIfTrue="1">
      <formula>$I$30=""</formula>
    </cfRule>
  </conditionalFormatting>
  <conditionalFormatting sqref="Q31 V31 AA31">
    <cfRule type="expression" dxfId="69" priority="70" stopIfTrue="1">
      <formula>$I$31=""</formula>
    </cfRule>
  </conditionalFormatting>
  <conditionalFormatting sqref="Q32 V32 AA32">
    <cfRule type="expression" dxfId="68" priority="69" stopIfTrue="1">
      <formula>$I$32=""</formula>
    </cfRule>
  </conditionalFormatting>
  <conditionalFormatting sqref="Q33 V33 AA33">
    <cfRule type="expression" dxfId="67" priority="68" stopIfTrue="1">
      <formula>$I$33=""</formula>
    </cfRule>
  </conditionalFormatting>
  <conditionalFormatting sqref="Q34 V34 AA34">
    <cfRule type="expression" dxfId="66" priority="67" stopIfTrue="1">
      <formula>$I$34=""</formula>
    </cfRule>
  </conditionalFormatting>
  <conditionalFormatting sqref="Q35 V35 AA35">
    <cfRule type="expression" dxfId="65" priority="66" stopIfTrue="1">
      <formula>$I$35=""</formula>
    </cfRule>
  </conditionalFormatting>
  <conditionalFormatting sqref="AD22:AD116">
    <cfRule type="expression" dxfId="64" priority="64" stopIfTrue="1">
      <formula>OR(COUNTIF($AW$8,7),COUNTIF($AW$17,7))</formula>
    </cfRule>
    <cfRule type="expression" dxfId="63" priority="65" stopIfTrue="1">
      <formula>I22=""</formula>
    </cfRule>
  </conditionalFormatting>
  <conditionalFormatting sqref="AI22:AI116">
    <cfRule type="expression" dxfId="62" priority="61" stopIfTrue="1">
      <formula>OR(COUNTIF($AW$17,7),COUNTIF($AW$37,7))</formula>
    </cfRule>
    <cfRule type="expression" dxfId="61" priority="62" stopIfTrue="1">
      <formula>OR(COUNTIF($AX$8,7),COUNTIF($AZ$8,7))</formula>
    </cfRule>
    <cfRule type="expression" dxfId="60" priority="63" stopIfTrue="1">
      <formula>I22=""</formula>
    </cfRule>
  </conditionalFormatting>
  <conditionalFormatting sqref="V22:V116">
    <cfRule type="expression" dxfId="59" priority="60" stopIfTrue="1">
      <formula>I22=""</formula>
    </cfRule>
  </conditionalFormatting>
  <conditionalFormatting sqref="AA22:AA116">
    <cfRule type="expression" dxfId="58" priority="59" stopIfTrue="1">
      <formula>I22=""</formula>
    </cfRule>
  </conditionalFormatting>
  <conditionalFormatting sqref="AV9:AV15">
    <cfRule type="expression" dxfId="57" priority="58" stopIfTrue="1">
      <formula>AZ7=2</formula>
    </cfRule>
  </conditionalFormatting>
  <conditionalFormatting sqref="AW18">
    <cfRule type="expression" dxfId="56" priority="57" stopIfTrue="1">
      <formula>BB16=2</formula>
    </cfRule>
  </conditionalFormatting>
  <conditionalFormatting sqref="AW29:AW30">
    <cfRule type="expression" dxfId="55" priority="56" stopIfTrue="1">
      <formula>BB25=2</formula>
    </cfRule>
  </conditionalFormatting>
  <conditionalFormatting sqref="AW38">
    <cfRule type="expression" dxfId="54" priority="55" stopIfTrue="1">
      <formula>BB34=2</formula>
    </cfRule>
  </conditionalFormatting>
  <conditionalFormatting sqref="AV18:AV23">
    <cfRule type="expression" dxfId="53" priority="54" stopIfTrue="1">
      <formula>AZ16=2</formula>
    </cfRule>
  </conditionalFormatting>
  <conditionalFormatting sqref="AV26">
    <cfRule type="expression" dxfId="52" priority="53" stopIfTrue="1">
      <formula>AZ22=2</formula>
    </cfRule>
  </conditionalFormatting>
  <conditionalFormatting sqref="AV29:AV34">
    <cfRule type="expression" dxfId="51" priority="52" stopIfTrue="1">
      <formula>AZ25=2</formula>
    </cfRule>
  </conditionalFormatting>
  <conditionalFormatting sqref="AV35">
    <cfRule type="expression" dxfId="50" priority="51" stopIfTrue="1">
      <formula>AZ31=2</formula>
    </cfRule>
  </conditionalFormatting>
  <conditionalFormatting sqref="AV38">
    <cfRule type="expression" dxfId="49" priority="50" stopIfTrue="1">
      <formula>AZ34=2</formula>
    </cfRule>
  </conditionalFormatting>
  <conditionalFormatting sqref="AX18">
    <cfRule type="expression" dxfId="48" priority="49" stopIfTrue="1">
      <formula>BC16=2</formula>
    </cfRule>
  </conditionalFormatting>
  <conditionalFormatting sqref="AX29:AX30">
    <cfRule type="expression" dxfId="47" priority="48" stopIfTrue="1">
      <formula>BC25=2</formula>
    </cfRule>
  </conditionalFormatting>
  <conditionalFormatting sqref="AX38">
    <cfRule type="expression" dxfId="46" priority="47" stopIfTrue="1">
      <formula>BC34=2</formula>
    </cfRule>
  </conditionalFormatting>
  <conditionalFormatting sqref="AV29">
    <cfRule type="expression" dxfId="45" priority="46" stopIfTrue="1">
      <formula>AZ25=2</formula>
    </cfRule>
  </conditionalFormatting>
  <conditionalFormatting sqref="AV18">
    <cfRule type="expression" dxfId="44" priority="45" stopIfTrue="1">
      <formula>AZ16=2</formula>
    </cfRule>
  </conditionalFormatting>
  <conditionalFormatting sqref="AV9">
    <cfRule type="expression" dxfId="43" priority="44" stopIfTrue="1">
      <formula>AZ7=2</formula>
    </cfRule>
  </conditionalFormatting>
  <conditionalFormatting sqref="AW29:AZ34">
    <cfRule type="expression" dxfId="42" priority="43" stopIfTrue="1">
      <formula>BB27=2</formula>
    </cfRule>
  </conditionalFormatting>
  <conditionalFormatting sqref="AY29:AZ34">
    <cfRule type="expression" dxfId="41" priority="42" stopIfTrue="1">
      <formula>BD27=2</formula>
    </cfRule>
  </conditionalFormatting>
  <conditionalFormatting sqref="AW18:AX23">
    <cfRule type="expression" dxfId="40" priority="41" stopIfTrue="1">
      <formula>BB16=2</formula>
    </cfRule>
  </conditionalFormatting>
  <conditionalFormatting sqref="AW38:AX43">
    <cfRule type="expression" dxfId="39" priority="40" stopIfTrue="1">
      <formula>BB36=2</formula>
    </cfRule>
  </conditionalFormatting>
  <conditionalFormatting sqref="AF22:AF115">
    <cfRule type="expression" dxfId="38" priority="39" stopIfTrue="1">
      <formula>COUNTIF(#REF!,7)</formula>
    </cfRule>
  </conditionalFormatting>
  <conditionalFormatting sqref="Q22:Q116">
    <cfRule type="expression" dxfId="37" priority="38" stopIfTrue="1">
      <formula>I22=""</formula>
    </cfRule>
  </conditionalFormatting>
  <conditionalFormatting sqref="AA22:AA116">
    <cfRule type="expression" dxfId="36" priority="37" stopIfTrue="1">
      <formula>S22=""</formula>
    </cfRule>
  </conditionalFormatting>
  <conditionalFormatting sqref="AA22:AA116">
    <cfRule type="expression" dxfId="35" priority="36" stopIfTrue="1">
      <formula>S22=""</formula>
    </cfRule>
  </conditionalFormatting>
  <conditionalFormatting sqref="AW18:AW19">
    <cfRule type="expression" dxfId="34" priority="35" stopIfTrue="1">
      <formula>BB14=2</formula>
    </cfRule>
  </conditionalFormatting>
  <conditionalFormatting sqref="AV15">
    <cfRule type="expression" dxfId="33" priority="34" stopIfTrue="1">
      <formula>AZ11=2</formula>
    </cfRule>
  </conditionalFormatting>
  <conditionalFormatting sqref="AV18:AV23">
    <cfRule type="expression" dxfId="32" priority="33" stopIfTrue="1">
      <formula>AZ14=2</formula>
    </cfRule>
  </conditionalFormatting>
  <conditionalFormatting sqref="AX18:AX19">
    <cfRule type="expression" dxfId="31" priority="32" stopIfTrue="1">
      <formula>BC14=2</formula>
    </cfRule>
  </conditionalFormatting>
  <conditionalFormatting sqref="AV18">
    <cfRule type="expression" dxfId="30" priority="31" stopIfTrue="1">
      <formula>AZ14=2</formula>
    </cfRule>
  </conditionalFormatting>
  <conditionalFormatting sqref="AW18:AX23">
    <cfRule type="expression" dxfId="29" priority="30" stopIfTrue="1">
      <formula>BB16=2</formula>
    </cfRule>
  </conditionalFormatting>
  <conditionalFormatting sqref="AY18:AZ23">
    <cfRule type="expression" dxfId="28" priority="29" stopIfTrue="1">
      <formula>BD16=2</formula>
    </cfRule>
  </conditionalFormatting>
  <conditionalFormatting sqref="AY18:AZ23">
    <cfRule type="expression" dxfId="27" priority="28" stopIfTrue="1">
      <formula>BD16=2</formula>
    </cfRule>
  </conditionalFormatting>
  <conditionalFormatting sqref="AW17:AX17 AW8:AX8 AW26:AX26">
    <cfRule type="cellIs" dxfId="26" priority="27" operator="greaterThan">
      <formula>6</formula>
    </cfRule>
  </conditionalFormatting>
  <conditionalFormatting sqref="O22:O116">
    <cfRule type="expression" dxfId="25" priority="24" stopIfTrue="1">
      <formula>OR(COUNTIF(#REF!,4),COUNTIF(#REF!,4))</formula>
    </cfRule>
    <cfRule type="expression" dxfId="24" priority="25" stopIfTrue="1">
      <formula>ISNA(P22)</formula>
    </cfRule>
    <cfRule type="expression" dxfId="23" priority="26" stopIfTrue="1">
      <formula>I22=""</formula>
    </cfRule>
  </conditionalFormatting>
  <conditionalFormatting sqref="T22:T116">
    <cfRule type="expression" dxfId="22" priority="21" stopIfTrue="1">
      <formula>OR(COUNTIF(#REF!,4),COUNTIF(#REF!,4))</formula>
    </cfRule>
    <cfRule type="expression" dxfId="21" priority="22" stopIfTrue="1">
      <formula>ISNA(U22)</formula>
    </cfRule>
    <cfRule type="expression" dxfId="20" priority="23" stopIfTrue="1">
      <formula>I22=""</formula>
    </cfRule>
  </conditionalFormatting>
  <conditionalFormatting sqref="Y22:Y116">
    <cfRule type="expression" dxfId="19" priority="18" stopIfTrue="1">
      <formula>OR(COUNTIF(#REF!,4),COUNTIF(#REF!,4))</formula>
    </cfRule>
    <cfRule type="expression" dxfId="18" priority="19" stopIfTrue="1">
      <formula>ISNA(Z22)</formula>
    </cfRule>
    <cfRule type="expression" dxfId="17" priority="20" stopIfTrue="1">
      <formula>I22=""</formula>
    </cfRule>
  </conditionalFormatting>
  <conditionalFormatting sqref="AV24">
    <cfRule type="expression" dxfId="16" priority="17" stopIfTrue="1">
      <formula>AZ22=2</formula>
    </cfRule>
  </conditionalFormatting>
  <conditionalFormatting sqref="AV24">
    <cfRule type="expression" dxfId="15" priority="16" stopIfTrue="1">
      <formula>AZ20=2</formula>
    </cfRule>
  </conditionalFormatting>
  <conditionalFormatting sqref="AW27">
    <cfRule type="expression" dxfId="14" priority="15" stopIfTrue="1">
      <formula>BB25=2</formula>
    </cfRule>
  </conditionalFormatting>
  <conditionalFormatting sqref="AX27">
    <cfRule type="expression" dxfId="13" priority="14" stopIfTrue="1">
      <formula>BC25=2</formula>
    </cfRule>
  </conditionalFormatting>
  <conditionalFormatting sqref="AW27:AX32">
    <cfRule type="expression" dxfId="12" priority="13" stopIfTrue="1">
      <formula>BB25=2</formula>
    </cfRule>
  </conditionalFormatting>
  <conditionalFormatting sqref="AW27:AW28">
    <cfRule type="expression" dxfId="11" priority="12" stopIfTrue="1">
      <formula>BB23=2</formula>
    </cfRule>
  </conditionalFormatting>
  <conditionalFormatting sqref="AX27:AX28">
    <cfRule type="expression" dxfId="10" priority="11" stopIfTrue="1">
      <formula>BC23=2</formula>
    </cfRule>
  </conditionalFormatting>
  <conditionalFormatting sqref="AW27:AX32">
    <cfRule type="expression" dxfId="9" priority="10" stopIfTrue="1">
      <formula>BB25=2</formula>
    </cfRule>
  </conditionalFormatting>
  <conditionalFormatting sqref="AY27:AZ32">
    <cfRule type="expression" dxfId="8" priority="9" stopIfTrue="1">
      <formula>BD25=2</formula>
    </cfRule>
  </conditionalFormatting>
  <conditionalFormatting sqref="AY27:AZ32">
    <cfRule type="expression" dxfId="7" priority="8" stopIfTrue="1">
      <formula>BD25=2</formula>
    </cfRule>
  </conditionalFormatting>
  <conditionalFormatting sqref="AV27:AV32">
    <cfRule type="expression" dxfId="6" priority="7" stopIfTrue="1">
      <formula>AZ25=2</formula>
    </cfRule>
  </conditionalFormatting>
  <conditionalFormatting sqref="AV27">
    <cfRule type="expression" dxfId="5" priority="6" stopIfTrue="1">
      <formula>AZ25=2</formula>
    </cfRule>
  </conditionalFormatting>
  <conditionalFormatting sqref="AV27:AV32">
    <cfRule type="expression" dxfId="4" priority="5" stopIfTrue="1">
      <formula>AZ23=2</formula>
    </cfRule>
  </conditionalFormatting>
  <conditionalFormatting sqref="AV27">
    <cfRule type="expression" dxfId="3" priority="4" stopIfTrue="1">
      <formula>AZ23=2</formula>
    </cfRule>
  </conditionalFormatting>
  <conditionalFormatting sqref="T22:T116">
    <cfRule type="expression" dxfId="2" priority="1" stopIfTrue="1">
      <formula>OR(COUNTIF(#REF!,4),COUNTIF(#REF!,4))</formula>
    </cfRule>
    <cfRule type="expression" dxfId="1" priority="2" stopIfTrue="1">
      <formula>ISNA(U22)</formula>
    </cfRule>
    <cfRule type="expression" dxfId="0" priority="3" stopIfTrue="1">
      <formula>N22=""</formula>
    </cfRule>
  </conditionalFormatting>
  <dataValidations count="12">
    <dataValidation type="list" allowBlank="1" showErrorMessage="1" prompt="種目を選択して下さい" sqref="Y7:Y116">
      <formula1>IF(I7=1,#REF!,#REF!)</formula1>
    </dataValidation>
    <dataValidation type="list" allowBlank="1" showErrorMessage="1" prompt="ここは400Rです" sqref="AD7:AD116">
      <formula1>IF(I7=1,$AS$21,$AS$22)</formula1>
    </dataValidation>
    <dataValidation type="list" allowBlank="1" showInputMessage="1" showErrorMessage="1" prompt="ここは1600Rです" sqref="AI7:AI116">
      <formula1>$AW$24</formula1>
    </dataValidation>
    <dataValidation imeMode="disabled" allowBlank="1" showErrorMessage="1" sqref="AW25:AX25 AW16:AX16 AW7:AZ7 AW36"/>
    <dataValidation allowBlank="1" showInputMessage="1" showErrorMessage="1" prompt="ここでの選手変更はできません_x000a_一覧表を訂正の上、リレー選手確認ボタンを押して下さい" sqref="AY15:AZ15 AY24:AZ24"/>
    <dataValidation imeMode="disabled" allowBlank="1" showInputMessage="1" prompt="記録は半角英数字で_x000a_例_x000a_11秒11→11.11_x000a_1分50秒00→1.50.00_x000a_15m50→15m50_x000a__x000a_" sqref="Q6 V6 U117:U65536 R117:R65536 O117:O65536 AA6"/>
    <dataValidation allowBlank="1" showErrorMessage="1" sqref="A1:A4 P2:AU4 AV1:AZ4 J1:O4 BD1:IU5 D1:D2 A5:AZ5 F2 I2:I4 G1:H4 C2"/>
    <dataValidation allowBlank="1" showInputMessage="1" showErrorMessage="1" prompt="記録は半角英数字で_x000a_例_x000a_11秒11→11.11_x000a_1分50秒00→1.50.00_x000a_15m50→15m50_x000a__x000a_" sqref="AF7:AF115 AK7:AK116"/>
    <dataValidation imeMode="disabled" allowBlank="1" prompt="記録は半角英数字で_x000a_例_x000a_11秒11→11.11_x000a_1分50秒00→1.50.00_x000a_15m50→15m50_x000a__x000a_" sqref="AG6:AH116 R6:S116 W6:X116 AB6:AC116 AL6:AM116"/>
    <dataValidation imeMode="disabled" allowBlank="1" showInputMessage="1" prompt="トラックはドットで区切り_x000a_フィールドはmで区切って下さい_x000a_11秒11→11.11_x000a_1分50秒00→1.50.00_x000a_15m50→15m50_x000a__x000a_" sqref="Q7:Q116 V7:V116 AA7:AA116"/>
    <dataValidation type="list" allowBlank="1" showErrorMessage="1" prompt="種目を選択して下さい_x000a_" sqref="T7:T116">
      <formula1>IF(I7=1,$AS$7:$AS$10,$AS$13:$AS$16)</formula1>
    </dataValidation>
    <dataValidation type="list" allowBlank="1" showErrorMessage="1" prompt="種目を選択して下さい_x000a_" sqref="O7:O116">
      <formula1>IF(I7=1,$AS$7:$AS$10,$AS$13:$AS$16)</formula1>
    </dataValidation>
  </dataValidations>
  <printOptions horizontalCentered="1"/>
  <pageMargins left="0.39370078740157483" right="0.39370078740157483" top="0.59055118110236227" bottom="0.59055118110236227" header="0.31496062992125984" footer="0.35433070866141736"/>
  <pageSetup paperSize="9" scale="78" fitToHeight="0" orientation="portrait" verticalDpi="300" r:id="rId1"/>
  <headerFooter alignWithMargins="0">
    <oddHeader>&amp;R&amp;D　&amp;T</oddHeader>
    <oddFooter>&amp;L&amp;P&amp;R三重陸上競技協会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SF</vt:lpstr>
      <vt:lpstr>SF!Print_Area</vt:lpstr>
      <vt:lpstr>SF!Print_Titles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dcterms:created xsi:type="dcterms:W3CDTF">2019-07-08T00:43:47Z</dcterms:created>
  <dcterms:modified xsi:type="dcterms:W3CDTF">2019-07-22T02:38:25Z</dcterms:modified>
</cp:coreProperties>
</file>