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vbaProject.bin" ContentType="application/vnd.ms-office.vbaProject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/>
  <bookViews>
    <workbookView showSheetTabs="0" xWindow="3300" yWindow="45" windowWidth="7680" windowHeight="8970" tabRatio="0"/>
  </bookViews>
  <sheets>
    <sheet name="注意" sheetId="38" r:id="rId1"/>
    <sheet name="説明" sheetId="11" r:id="rId2"/>
    <sheet name="メニュー" sheetId="35" r:id="rId3"/>
    <sheet name="大会申込" sheetId="34" r:id="rId4"/>
    <sheet name="前年度登録" sheetId="49" r:id="rId5"/>
    <sheet name="名簿" sheetId="10" r:id="rId6"/>
    <sheet name="国体1次" sheetId="36" r:id="rId7"/>
    <sheet name="リレーカー二バル" sheetId="7" r:id="rId8"/>
    <sheet name="県選" sheetId="37" r:id="rId9"/>
    <sheet name="ジュニアO" sheetId="21" r:id="rId10"/>
    <sheet name="所属コード" sheetId="5" state="hidden" r:id="rId11"/>
    <sheet name="タスキリレー" sheetId="40" r:id="rId12"/>
    <sheet name="タスキリレーオーダー" sheetId="41" r:id="rId13"/>
    <sheet name="ロードレース" sheetId="25" r:id="rId14"/>
    <sheet name="振込票貼付用紙" sheetId="27" r:id="rId15"/>
    <sheet name="1" sheetId="30" r:id="rId16"/>
    <sheet name="男子種目コード" sheetId="8" state="hidden" r:id="rId17"/>
    <sheet name="女子種目コード" sheetId="9" state="hidden" r:id="rId18"/>
  </sheets>
  <functionGroups/>
  <definedNames>
    <definedName name="_xlnm._FilterDatabase" localSheetId="15" hidden="1">'1'!$A$1:$D$112</definedName>
    <definedName name="_xlnm._FilterDatabase" localSheetId="9" hidden="1">ジュニアO!$F$6:$AI$6</definedName>
    <definedName name="_xlnm._FilterDatabase" localSheetId="7" hidden="1">リレーカー二バル!$J$6:$AH$6</definedName>
    <definedName name="_xlnm._FilterDatabase" localSheetId="13" hidden="1">ロードレース!$C$6:$AC$6</definedName>
    <definedName name="_xlnm._FilterDatabase" localSheetId="8" hidden="1">県選!$F$6:$AJ$6</definedName>
    <definedName name="_xlnm._FilterDatabase" localSheetId="6" hidden="1">国体1次!$E$6:$AH$6</definedName>
    <definedName name="_xlnm._FilterDatabase" localSheetId="10" hidden="1">所属コード!$B$1:$D$1</definedName>
    <definedName name="_xlnm._FilterDatabase" localSheetId="4" hidden="1">前年度登録!$E$2:$U$113</definedName>
    <definedName name="_xlnm._FilterDatabase" localSheetId="5" hidden="1">名簿!$E$2:$U$113</definedName>
    <definedName name="_xlnm.Print_Area" localSheetId="9">ジュニアO!$E$1:$AS$116</definedName>
    <definedName name="_xlnm.Print_Area" localSheetId="11">タスキリレー!$A$1:$Q$77</definedName>
    <definedName name="_xlnm.Print_Area" localSheetId="7">リレーカー二バル!$E$1:$BB$116</definedName>
    <definedName name="_xlnm.Print_Area" localSheetId="13">ロードレース!$B$1:$AI$116</definedName>
    <definedName name="_xlnm.Print_Area" localSheetId="8">県選!$E$1:$BF$116</definedName>
    <definedName name="_xlnm.Print_Area" localSheetId="6">国体1次!$B$1:$AM$116</definedName>
    <definedName name="_xlnm.Print_Area" localSheetId="14">振込票貼付用紙!$A$1:$J$49</definedName>
    <definedName name="_xlnm.Print_Area" localSheetId="1">説明!$A$1:$M$102</definedName>
    <definedName name="_xlnm.Print_Area" localSheetId="4">前年度登録!$A$2:$Q$113</definedName>
    <definedName name="_xlnm.Print_Area" localSheetId="5">名簿!$A$2:$Q$113</definedName>
    <definedName name="_xlnm.Print_Titles" localSheetId="9">ジュニアO!$6:$6</definedName>
    <definedName name="_xlnm.Print_Titles" localSheetId="7">リレーカー二バル!$6:$6</definedName>
    <definedName name="_xlnm.Print_Titles" localSheetId="13">ロードレース!$6:$6</definedName>
    <definedName name="_xlnm.Print_Titles" localSheetId="8">県選!$6:$6</definedName>
    <definedName name="_xlnm.Print_Titles" localSheetId="6">国体1次!$6:$6</definedName>
    <definedName name="_xlnm.Print_Titles" localSheetId="4">前年度登録!$2:$2</definedName>
    <definedName name="_xlnm.Print_Titles" localSheetId="5">名簿!$2:$2</definedName>
  </definedNames>
  <calcPr calcId="125725"/>
</workbook>
</file>

<file path=xl/calcChain.xml><?xml version="1.0" encoding="utf-8"?>
<calcChain xmlns="http://schemas.openxmlformats.org/spreadsheetml/2006/main">
  <c r="M8" i="25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7"/>
  <c r="N8" i="21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7"/>
  <c r="N8" i="37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7"/>
  <c r="N8" i="7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7"/>
  <c r="N8" i="36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7"/>
  <c r="C5" i="10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4"/>
  <c r="C5" i="49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4"/>
  <c r="U8" i="37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I1" i="10"/>
  <c r="D1"/>
  <c r="CS5" i="49" l="1"/>
  <c r="CU5" s="1"/>
  <c r="L8" i="7" s="1"/>
  <c r="CT5" i="49"/>
  <c r="CS6"/>
  <c r="CT6"/>
  <c r="CS7"/>
  <c r="CT7"/>
  <c r="CS8"/>
  <c r="CT8"/>
  <c r="CU8"/>
  <c r="L11" i="7" s="1"/>
  <c r="CS9" i="49"/>
  <c r="CU9" s="1"/>
  <c r="L12" i="7" s="1"/>
  <c r="CT9" i="49"/>
  <c r="CS10"/>
  <c r="CT10"/>
  <c r="CS11"/>
  <c r="CT11"/>
  <c r="CS12"/>
  <c r="CT12"/>
  <c r="CU12" s="1"/>
  <c r="L15" i="7" s="1"/>
  <c r="CS13" i="49"/>
  <c r="CT13"/>
  <c r="CS14"/>
  <c r="CU14" s="1"/>
  <c r="L17" i="7" s="1"/>
  <c r="CT14" i="49"/>
  <c r="CS15"/>
  <c r="CT15"/>
  <c r="CU15" s="1"/>
  <c r="L18" i="7" s="1"/>
  <c r="CS16" i="49"/>
  <c r="CU16" s="1"/>
  <c r="L19" i="7" s="1"/>
  <c r="CT16" i="49"/>
  <c r="CS17"/>
  <c r="CT17"/>
  <c r="CU17"/>
  <c r="CS18"/>
  <c r="CT18"/>
  <c r="CU18"/>
  <c r="CS19"/>
  <c r="CT19"/>
  <c r="CU19"/>
  <c r="CS20"/>
  <c r="CT20"/>
  <c r="CU20"/>
  <c r="CS21"/>
  <c r="CT21"/>
  <c r="CU21"/>
  <c r="CS22"/>
  <c r="CT22"/>
  <c r="CU22"/>
  <c r="CS23"/>
  <c r="CT23"/>
  <c r="CU23"/>
  <c r="CS24"/>
  <c r="CT24"/>
  <c r="CU24"/>
  <c r="CS25"/>
  <c r="CT25"/>
  <c r="CU25"/>
  <c r="CS26"/>
  <c r="CT26"/>
  <c r="CU26"/>
  <c r="CS27"/>
  <c r="CT27"/>
  <c r="CU27"/>
  <c r="CS28"/>
  <c r="CT28"/>
  <c r="CU28"/>
  <c r="CS29"/>
  <c r="CT29"/>
  <c r="CU29"/>
  <c r="CS30"/>
  <c r="CT30"/>
  <c r="CU30"/>
  <c r="CS31"/>
  <c r="CT31"/>
  <c r="CU31"/>
  <c r="CS32"/>
  <c r="CT32"/>
  <c r="CU32"/>
  <c r="CS33"/>
  <c r="CT33"/>
  <c r="CU33"/>
  <c r="CS34"/>
  <c r="CT34"/>
  <c r="CU34"/>
  <c r="CS35"/>
  <c r="CT35"/>
  <c r="CU35"/>
  <c r="CS36"/>
  <c r="CT36"/>
  <c r="CU36"/>
  <c r="CS37"/>
  <c r="CT37"/>
  <c r="CU37"/>
  <c r="CS38"/>
  <c r="CT38"/>
  <c r="CU38"/>
  <c r="CS39"/>
  <c r="CT39"/>
  <c r="CU39"/>
  <c r="CS40"/>
  <c r="CT40"/>
  <c r="CU40"/>
  <c r="CS41"/>
  <c r="CT41"/>
  <c r="CU41"/>
  <c r="CS42"/>
  <c r="CT42"/>
  <c r="CU42"/>
  <c r="CS43"/>
  <c r="CT43"/>
  <c r="CU43"/>
  <c r="CS44"/>
  <c r="CT44"/>
  <c r="CU44"/>
  <c r="CS45"/>
  <c r="CT45"/>
  <c r="CU45"/>
  <c r="CS46"/>
  <c r="CT46"/>
  <c r="CU46"/>
  <c r="CS47"/>
  <c r="CT47"/>
  <c r="CU47"/>
  <c r="CS48"/>
  <c r="CT48"/>
  <c r="CU48"/>
  <c r="CS49"/>
  <c r="CT49"/>
  <c r="CU49"/>
  <c r="CS50"/>
  <c r="CT50"/>
  <c r="CU50"/>
  <c r="CS51"/>
  <c r="CT51"/>
  <c r="CU51"/>
  <c r="CS52"/>
  <c r="CT52"/>
  <c r="CU52"/>
  <c r="CS53"/>
  <c r="CT53"/>
  <c r="CU53"/>
  <c r="CS54"/>
  <c r="CT54"/>
  <c r="CU54"/>
  <c r="CS55"/>
  <c r="CT55"/>
  <c r="CU55"/>
  <c r="CS56"/>
  <c r="CT56"/>
  <c r="CU56"/>
  <c r="CS57"/>
  <c r="CT57"/>
  <c r="CU57"/>
  <c r="CS58"/>
  <c r="CT58"/>
  <c r="CU58"/>
  <c r="CS59"/>
  <c r="CT59"/>
  <c r="CU59"/>
  <c r="CS60"/>
  <c r="CT60"/>
  <c r="CU60"/>
  <c r="CS61"/>
  <c r="CT61"/>
  <c r="CU61"/>
  <c r="CS62"/>
  <c r="CT62"/>
  <c r="CU62"/>
  <c r="CS63"/>
  <c r="CT63"/>
  <c r="CU63"/>
  <c r="CS64"/>
  <c r="CT64"/>
  <c r="CU64"/>
  <c r="CS65"/>
  <c r="CT65"/>
  <c r="CU65"/>
  <c r="CS66"/>
  <c r="CT66"/>
  <c r="CU66"/>
  <c r="CS67"/>
  <c r="CT67"/>
  <c r="CU67"/>
  <c r="CS68"/>
  <c r="CT68"/>
  <c r="CU68"/>
  <c r="CS69"/>
  <c r="CT69"/>
  <c r="CU69"/>
  <c r="CS70"/>
  <c r="CT70"/>
  <c r="CU70"/>
  <c r="CS71"/>
  <c r="CT71"/>
  <c r="CU71"/>
  <c r="CS72"/>
  <c r="CT72"/>
  <c r="CU72"/>
  <c r="CS73"/>
  <c r="CT73"/>
  <c r="CU73"/>
  <c r="CS74"/>
  <c r="CT74"/>
  <c r="CU74"/>
  <c r="CS75"/>
  <c r="CT75"/>
  <c r="CU75"/>
  <c r="CS76"/>
  <c r="CT76"/>
  <c r="CU76"/>
  <c r="CS77"/>
  <c r="CT77"/>
  <c r="CU77"/>
  <c r="CS78"/>
  <c r="CT78"/>
  <c r="CU78"/>
  <c r="CS79"/>
  <c r="CT79"/>
  <c r="CU79"/>
  <c r="CS80"/>
  <c r="CT80"/>
  <c r="CU80"/>
  <c r="CS81"/>
  <c r="CT81"/>
  <c r="CU81"/>
  <c r="CS82"/>
  <c r="CT82"/>
  <c r="CU82"/>
  <c r="CS83"/>
  <c r="CT83"/>
  <c r="CU83"/>
  <c r="CS84"/>
  <c r="CT84"/>
  <c r="CU84"/>
  <c r="CS85"/>
  <c r="CT85"/>
  <c r="CU85"/>
  <c r="CS86"/>
  <c r="CT86"/>
  <c r="CU86"/>
  <c r="CS87"/>
  <c r="CT87"/>
  <c r="CU87"/>
  <c r="CS88"/>
  <c r="CT88"/>
  <c r="CU88"/>
  <c r="CS89"/>
  <c r="CT89"/>
  <c r="CU89"/>
  <c r="CS90"/>
  <c r="CT90"/>
  <c r="CU90"/>
  <c r="CS91"/>
  <c r="CT91"/>
  <c r="CU91"/>
  <c r="CS92"/>
  <c r="CT92"/>
  <c r="CU92"/>
  <c r="CS93"/>
  <c r="CT93"/>
  <c r="CU93"/>
  <c r="CS94"/>
  <c r="CT94"/>
  <c r="CU94"/>
  <c r="CS95"/>
  <c r="CT95"/>
  <c r="CU95"/>
  <c r="CS96"/>
  <c r="CT96"/>
  <c r="CU96"/>
  <c r="CS97"/>
  <c r="CT97"/>
  <c r="CU97"/>
  <c r="CS98"/>
  <c r="CT98"/>
  <c r="CU98"/>
  <c r="CS99"/>
  <c r="CT99"/>
  <c r="CU99"/>
  <c r="CS100"/>
  <c r="CT100"/>
  <c r="CU100"/>
  <c r="CS101"/>
  <c r="CT101"/>
  <c r="CU101"/>
  <c r="CS102"/>
  <c r="CT102"/>
  <c r="CU102"/>
  <c r="CS103"/>
  <c r="CT103"/>
  <c r="CU103"/>
  <c r="CS104"/>
  <c r="CT104"/>
  <c r="CU104"/>
  <c r="CS105"/>
  <c r="CT105"/>
  <c r="CU105"/>
  <c r="CS106"/>
  <c r="CT106"/>
  <c r="CU106"/>
  <c r="CS107"/>
  <c r="CT107"/>
  <c r="CU107"/>
  <c r="CS108"/>
  <c r="CT108"/>
  <c r="CU108"/>
  <c r="CS109"/>
  <c r="CT109"/>
  <c r="CU109"/>
  <c r="CS110"/>
  <c r="CT110"/>
  <c r="CU110"/>
  <c r="CS111"/>
  <c r="CT111"/>
  <c r="CU111"/>
  <c r="CS112"/>
  <c r="CT112"/>
  <c r="CU112"/>
  <c r="CS113"/>
  <c r="CT113"/>
  <c r="CU113"/>
  <c r="L20" i="7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CT4" i="49"/>
  <c r="CS4"/>
  <c r="CS5" i="10"/>
  <c r="CU5" s="1"/>
  <c r="CT5"/>
  <c r="CS6"/>
  <c r="CT6"/>
  <c r="CU6" s="1"/>
  <c r="CS7"/>
  <c r="CU7" s="1"/>
  <c r="CT7"/>
  <c r="CS8"/>
  <c r="CU8" s="1"/>
  <c r="CT8"/>
  <c r="CS9"/>
  <c r="CT9"/>
  <c r="CS10"/>
  <c r="CT10"/>
  <c r="CS11"/>
  <c r="CT11"/>
  <c r="CU11"/>
  <c r="CS12"/>
  <c r="CU12" s="1"/>
  <c r="CT12"/>
  <c r="CS13"/>
  <c r="CT13"/>
  <c r="CS14"/>
  <c r="CT14"/>
  <c r="CS15"/>
  <c r="CT15"/>
  <c r="CU15" s="1"/>
  <c r="CS16"/>
  <c r="CT16"/>
  <c r="CS17"/>
  <c r="CT17"/>
  <c r="CU17"/>
  <c r="CS18"/>
  <c r="CT18"/>
  <c r="CU18"/>
  <c r="CS19"/>
  <c r="CT19"/>
  <c r="CU19"/>
  <c r="CS20"/>
  <c r="CT20"/>
  <c r="CU20"/>
  <c r="CS21"/>
  <c r="CT21"/>
  <c r="CU21"/>
  <c r="CS22"/>
  <c r="CT22"/>
  <c r="CU22"/>
  <c r="CS23"/>
  <c r="CT23"/>
  <c r="CU23"/>
  <c r="CS24"/>
  <c r="CT24"/>
  <c r="CU24"/>
  <c r="CS25"/>
  <c r="CT25"/>
  <c r="CU25"/>
  <c r="CS26"/>
  <c r="CT26"/>
  <c r="CU26"/>
  <c r="CS27"/>
  <c r="CT27"/>
  <c r="CU27"/>
  <c r="CS28"/>
  <c r="CT28"/>
  <c r="CU28"/>
  <c r="CS29"/>
  <c r="CT29"/>
  <c r="CU29"/>
  <c r="CS30"/>
  <c r="CT30"/>
  <c r="CU30"/>
  <c r="CS31"/>
  <c r="CT31"/>
  <c r="CU31"/>
  <c r="CS32"/>
  <c r="CT32"/>
  <c r="CU32"/>
  <c r="CS33"/>
  <c r="CT33"/>
  <c r="CU33"/>
  <c r="CS34"/>
  <c r="CT34"/>
  <c r="CU34"/>
  <c r="CS35"/>
  <c r="CT35"/>
  <c r="CU35"/>
  <c r="CS36"/>
  <c r="CT36"/>
  <c r="CU36"/>
  <c r="CS37"/>
  <c r="CT37"/>
  <c r="CU37"/>
  <c r="CS38"/>
  <c r="CT38"/>
  <c r="CU38"/>
  <c r="CS39"/>
  <c r="CT39"/>
  <c r="CU39"/>
  <c r="CS40"/>
  <c r="CT40"/>
  <c r="CU40"/>
  <c r="CS41"/>
  <c r="CT41"/>
  <c r="CU41"/>
  <c r="CS42"/>
  <c r="CT42"/>
  <c r="CU42"/>
  <c r="CS43"/>
  <c r="CT43"/>
  <c r="CU43"/>
  <c r="CS44"/>
  <c r="CT44"/>
  <c r="CU44"/>
  <c r="CS45"/>
  <c r="CT45"/>
  <c r="CU45"/>
  <c r="CS46"/>
  <c r="CT46"/>
  <c r="CU46"/>
  <c r="CS47"/>
  <c r="CT47"/>
  <c r="CU47"/>
  <c r="CS48"/>
  <c r="CT48"/>
  <c r="CU48"/>
  <c r="CS49"/>
  <c r="CT49"/>
  <c r="CU49"/>
  <c r="CS50"/>
  <c r="CT50"/>
  <c r="CU50"/>
  <c r="CS51"/>
  <c r="CT51"/>
  <c r="CU51"/>
  <c r="CS52"/>
  <c r="CT52"/>
  <c r="CU52"/>
  <c r="CS53"/>
  <c r="CT53"/>
  <c r="CU53"/>
  <c r="CS54"/>
  <c r="CT54"/>
  <c r="CU54"/>
  <c r="CS55"/>
  <c r="CT55"/>
  <c r="CU55"/>
  <c r="CS56"/>
  <c r="CT56"/>
  <c r="CU56"/>
  <c r="CS57"/>
  <c r="CT57"/>
  <c r="CU57"/>
  <c r="CS58"/>
  <c r="CT58"/>
  <c r="CU58"/>
  <c r="CS59"/>
  <c r="CT59"/>
  <c r="CU59"/>
  <c r="CS60"/>
  <c r="CT60"/>
  <c r="CU60"/>
  <c r="CS61"/>
  <c r="CT61"/>
  <c r="CU61"/>
  <c r="CS62"/>
  <c r="CT62"/>
  <c r="CU62"/>
  <c r="CS63"/>
  <c r="CT63"/>
  <c r="CU63"/>
  <c r="CS64"/>
  <c r="CT64"/>
  <c r="CU64"/>
  <c r="CS65"/>
  <c r="CT65"/>
  <c r="CU65"/>
  <c r="CS66"/>
  <c r="CT66"/>
  <c r="CU66"/>
  <c r="CS67"/>
  <c r="CT67"/>
  <c r="CU67"/>
  <c r="CS68"/>
  <c r="CT68"/>
  <c r="CU68"/>
  <c r="CS69"/>
  <c r="CT69"/>
  <c r="CU69"/>
  <c r="CS70"/>
  <c r="CT70"/>
  <c r="CU70"/>
  <c r="CS71"/>
  <c r="CT71"/>
  <c r="CU71"/>
  <c r="CS72"/>
  <c r="CT72"/>
  <c r="CU72"/>
  <c r="CS73"/>
  <c r="CT73"/>
  <c r="CU73"/>
  <c r="CS74"/>
  <c r="CT74"/>
  <c r="CU74"/>
  <c r="CS75"/>
  <c r="CT75"/>
  <c r="CU75"/>
  <c r="CS76"/>
  <c r="CT76"/>
  <c r="CU76"/>
  <c r="CS77"/>
  <c r="CT77"/>
  <c r="CU77"/>
  <c r="CS78"/>
  <c r="CT78"/>
  <c r="CU78"/>
  <c r="CS79"/>
  <c r="CT79"/>
  <c r="CU79"/>
  <c r="CS80"/>
  <c r="CT80"/>
  <c r="CU80"/>
  <c r="CS81"/>
  <c r="CT81"/>
  <c r="CU81"/>
  <c r="CS82"/>
  <c r="CT82"/>
  <c r="CU82"/>
  <c r="CS83"/>
  <c r="CT83"/>
  <c r="CU83"/>
  <c r="CS84"/>
  <c r="CT84"/>
  <c r="CU84"/>
  <c r="CS85"/>
  <c r="CT85"/>
  <c r="CU85"/>
  <c r="CS86"/>
  <c r="CT86"/>
  <c r="CU86"/>
  <c r="CS87"/>
  <c r="CT87"/>
  <c r="CU87"/>
  <c r="CS88"/>
  <c r="CT88"/>
  <c r="CU88"/>
  <c r="CS89"/>
  <c r="CT89"/>
  <c r="CU89"/>
  <c r="CS90"/>
  <c r="CT90"/>
  <c r="CU90"/>
  <c r="CS91"/>
  <c r="CT91"/>
  <c r="CU91"/>
  <c r="CS92"/>
  <c r="CT92"/>
  <c r="CU92"/>
  <c r="CS93"/>
  <c r="CT93"/>
  <c r="CU93"/>
  <c r="CS94"/>
  <c r="CT94"/>
  <c r="CU94"/>
  <c r="CS95"/>
  <c r="CT95"/>
  <c r="CU95"/>
  <c r="CS96"/>
  <c r="CT96"/>
  <c r="CU96"/>
  <c r="CS97"/>
  <c r="CT97"/>
  <c r="CU97"/>
  <c r="CS98"/>
  <c r="CT98"/>
  <c r="CU98"/>
  <c r="CS99"/>
  <c r="CT99"/>
  <c r="CU99"/>
  <c r="CS100"/>
  <c r="CT100"/>
  <c r="CU100"/>
  <c r="CS101"/>
  <c r="CT101"/>
  <c r="CU101"/>
  <c r="CS102"/>
  <c r="CT102"/>
  <c r="CU102"/>
  <c r="CS103"/>
  <c r="CT103"/>
  <c r="CU103"/>
  <c r="CS104"/>
  <c r="CT104"/>
  <c r="CU104"/>
  <c r="CS105"/>
  <c r="CT105"/>
  <c r="CU105"/>
  <c r="CS106"/>
  <c r="CT106"/>
  <c r="CU106"/>
  <c r="CS107"/>
  <c r="CT107"/>
  <c r="CU107"/>
  <c r="CS108"/>
  <c r="CT108"/>
  <c r="CU108"/>
  <c r="CS109"/>
  <c r="CT109"/>
  <c r="CU109"/>
  <c r="CS110"/>
  <c r="CT110"/>
  <c r="CU110"/>
  <c r="CS111"/>
  <c r="CT111"/>
  <c r="CU111"/>
  <c r="CS112"/>
  <c r="CT112"/>
  <c r="CU112"/>
  <c r="CS113"/>
  <c r="CT113"/>
  <c r="CU113"/>
  <c r="CT4"/>
  <c r="CS4"/>
  <c r="CU4" s="1"/>
  <c r="CP5"/>
  <c r="J8" i="25" s="1"/>
  <c r="CP6" i="10"/>
  <c r="J9" i="25" s="1"/>
  <c r="CP7" i="10"/>
  <c r="J10" i="25" s="1"/>
  <c r="CP8" i="10"/>
  <c r="J11" i="25" s="1"/>
  <c r="CP9" i="10"/>
  <c r="J12" i="25" s="1"/>
  <c r="CP10" i="10"/>
  <c r="J13" i="25" s="1"/>
  <c r="CP11" i="10"/>
  <c r="J14" i="25" s="1"/>
  <c r="CP12" i="10"/>
  <c r="J15" i="25" s="1"/>
  <c r="CP13" i="10"/>
  <c r="J16" i="25" s="1"/>
  <c r="CP14" i="10"/>
  <c r="J17" i="25" s="1"/>
  <c r="CP15" i="10"/>
  <c r="J18" i="25" s="1"/>
  <c r="CP16" i="10"/>
  <c r="J19" i="25" s="1"/>
  <c r="CP17" i="10"/>
  <c r="J20" i="25" s="1"/>
  <c r="CP18" i="10"/>
  <c r="J21" i="25" s="1"/>
  <c r="CP19" i="10"/>
  <c r="J22" i="25" s="1"/>
  <c r="CP20" i="10"/>
  <c r="J23" i="25" s="1"/>
  <c r="CP21" i="10"/>
  <c r="J24" i="25" s="1"/>
  <c r="CP22" i="10"/>
  <c r="J25" i="25" s="1"/>
  <c r="CP23" i="10"/>
  <c r="J26" i="25" s="1"/>
  <c r="CP24" i="10"/>
  <c r="J27" i="25" s="1"/>
  <c r="CP25" i="10"/>
  <c r="J28" i="25" s="1"/>
  <c r="CP26" i="10"/>
  <c r="J29" i="25" s="1"/>
  <c r="CP27" i="10"/>
  <c r="J30" i="25" s="1"/>
  <c r="CP28" i="10"/>
  <c r="J31" i="25" s="1"/>
  <c r="CP29" i="10"/>
  <c r="J32" i="25" s="1"/>
  <c r="CP30" i="10"/>
  <c r="J33" i="25" s="1"/>
  <c r="CP31" i="10"/>
  <c r="J34" i="25" s="1"/>
  <c r="CP32" i="10"/>
  <c r="J35" i="25" s="1"/>
  <c r="CP33" i="10"/>
  <c r="J36" i="25" s="1"/>
  <c r="CP34" i="10"/>
  <c r="J37" i="25" s="1"/>
  <c r="CP35" i="10"/>
  <c r="J38" i="25" s="1"/>
  <c r="CP36" i="10"/>
  <c r="J39" i="25" s="1"/>
  <c r="CP37" i="10"/>
  <c r="J40" i="25" s="1"/>
  <c r="CP38" i="10"/>
  <c r="J41" i="25" s="1"/>
  <c r="CP39" i="10"/>
  <c r="J42" i="25" s="1"/>
  <c r="CP40" i="10"/>
  <c r="J43" i="25" s="1"/>
  <c r="CP41" i="10"/>
  <c r="J44" i="25" s="1"/>
  <c r="CP42" i="10"/>
  <c r="J45" i="25" s="1"/>
  <c r="CP43" i="10"/>
  <c r="J46" i="25" s="1"/>
  <c r="CP44" i="10"/>
  <c r="J47" i="25" s="1"/>
  <c r="CP45" i="10"/>
  <c r="J48" i="25" s="1"/>
  <c r="CP46" i="10"/>
  <c r="J49" i="25" s="1"/>
  <c r="CP47" i="10"/>
  <c r="J50" i="25" s="1"/>
  <c r="CP48" i="10"/>
  <c r="J51" i="25" s="1"/>
  <c r="CP49" i="10"/>
  <c r="J52" i="25" s="1"/>
  <c r="CP50" i="10"/>
  <c r="J53" i="25" s="1"/>
  <c r="CP51" i="10"/>
  <c r="J54" i="25" s="1"/>
  <c r="CP52" i="10"/>
  <c r="J55" i="25" s="1"/>
  <c r="CP53" i="10"/>
  <c r="J56" i="25" s="1"/>
  <c r="CP54" i="10"/>
  <c r="J57" i="25" s="1"/>
  <c r="CP55" i="10"/>
  <c r="J58" i="25" s="1"/>
  <c r="CP56" i="10"/>
  <c r="J59" i="25" s="1"/>
  <c r="CP57" i="10"/>
  <c r="J60" i="25" s="1"/>
  <c r="CP58" i="10"/>
  <c r="J61" i="25" s="1"/>
  <c r="CP59" i="10"/>
  <c r="J62" i="25" s="1"/>
  <c r="CP60" i="10"/>
  <c r="J63" i="25" s="1"/>
  <c r="CP61" i="10"/>
  <c r="J64" i="25" s="1"/>
  <c r="CP62" i="10"/>
  <c r="J65" i="25" s="1"/>
  <c r="CP63" i="10"/>
  <c r="J66" i="25" s="1"/>
  <c r="CP64" i="10"/>
  <c r="J67" i="25" s="1"/>
  <c r="CP65" i="10"/>
  <c r="J68" i="25" s="1"/>
  <c r="CP66" i="10"/>
  <c r="J69" i="25" s="1"/>
  <c r="CP67" i="10"/>
  <c r="J70" i="25" s="1"/>
  <c r="CP68" i="10"/>
  <c r="J71" i="25" s="1"/>
  <c r="CP69" i="10"/>
  <c r="J72" i="25" s="1"/>
  <c r="CP70" i="10"/>
  <c r="J73" i="25" s="1"/>
  <c r="CP71" i="10"/>
  <c r="J74" i="25" s="1"/>
  <c r="CP72" i="10"/>
  <c r="J75" i="25" s="1"/>
  <c r="CP73" i="10"/>
  <c r="J76" i="25" s="1"/>
  <c r="CP74" i="10"/>
  <c r="J77" i="25" s="1"/>
  <c r="CP75" i="10"/>
  <c r="J78" i="25" s="1"/>
  <c r="CP76" i="10"/>
  <c r="J79" i="25" s="1"/>
  <c r="CP77" i="10"/>
  <c r="J80" i="25" s="1"/>
  <c r="CP78" i="10"/>
  <c r="J81" i="25" s="1"/>
  <c r="CP79" i="10"/>
  <c r="J82" i="25" s="1"/>
  <c r="CP80" i="10"/>
  <c r="J83" i="25" s="1"/>
  <c r="CP81" i="10"/>
  <c r="J84" i="25" s="1"/>
  <c r="CP82" i="10"/>
  <c r="J85" i="25" s="1"/>
  <c r="CP83" i="10"/>
  <c r="J86" i="25" s="1"/>
  <c r="CP84" i="10"/>
  <c r="J87" i="25" s="1"/>
  <c r="CP85" i="10"/>
  <c r="J88" i="25" s="1"/>
  <c r="CP86" i="10"/>
  <c r="J89" i="25" s="1"/>
  <c r="CP87" i="10"/>
  <c r="J90" i="25" s="1"/>
  <c r="CP88" i="10"/>
  <c r="J91" i="25" s="1"/>
  <c r="CP89" i="10"/>
  <c r="J92" i="25" s="1"/>
  <c r="CP90" i="10"/>
  <c r="J93" i="25" s="1"/>
  <c r="CP91" i="10"/>
  <c r="J94" i="25" s="1"/>
  <c r="CP92" i="10"/>
  <c r="J95" i="25" s="1"/>
  <c r="CP93" i="10"/>
  <c r="J96" i="25" s="1"/>
  <c r="CP94" i="10"/>
  <c r="J97" i="25" s="1"/>
  <c r="CP95" i="10"/>
  <c r="J98" i="25" s="1"/>
  <c r="CP96" i="10"/>
  <c r="J99" i="25" s="1"/>
  <c r="CP97" i="10"/>
  <c r="J100" i="25" s="1"/>
  <c r="CP98" i="10"/>
  <c r="J101" i="25" s="1"/>
  <c r="CP99" i="10"/>
  <c r="J102" i="25" s="1"/>
  <c r="CP100" i="10"/>
  <c r="J103" i="25" s="1"/>
  <c r="CP101" i="10"/>
  <c r="J104" i="25" s="1"/>
  <c r="CP102" i="10"/>
  <c r="J105" i="25" s="1"/>
  <c r="CP103" i="10"/>
  <c r="J106" i="25" s="1"/>
  <c r="CP104" i="10"/>
  <c r="J107" i="25" s="1"/>
  <c r="CP105" i="10"/>
  <c r="J108" i="25" s="1"/>
  <c r="CP106" i="10"/>
  <c r="J109" i="25" s="1"/>
  <c r="CP107" i="10"/>
  <c r="J110" i="25" s="1"/>
  <c r="CP108" i="10"/>
  <c r="J111" i="25" s="1"/>
  <c r="CP109" i="10"/>
  <c r="J112" i="25" s="1"/>
  <c r="CP110" i="10"/>
  <c r="J113" i="25" s="1"/>
  <c r="CP111" i="10"/>
  <c r="J114" i="25" s="1"/>
  <c r="CP112" i="10"/>
  <c r="J115" i="25" s="1"/>
  <c r="CP113" i="10"/>
  <c r="J116" i="25" s="1"/>
  <c r="CP4" i="10"/>
  <c r="W116" i="21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Q7" i="7"/>
  <c r="CP5" i="49"/>
  <c r="K8" i="7" s="1"/>
  <c r="CP6" i="49"/>
  <c r="K9" i="7" s="1"/>
  <c r="CP7" i="49"/>
  <c r="CP8"/>
  <c r="K11" i="36" s="1"/>
  <c r="CP9" i="49"/>
  <c r="K12" i="7" s="1"/>
  <c r="CP10" i="49"/>
  <c r="K13" i="36" s="1"/>
  <c r="CP11" i="49"/>
  <c r="CP12"/>
  <c r="K15" i="7" s="1"/>
  <c r="CP13" i="49"/>
  <c r="K16" i="36" s="1"/>
  <c r="CP14" i="49"/>
  <c r="K17" i="7" s="1"/>
  <c r="CP15" i="49"/>
  <c r="CP16"/>
  <c r="K19" i="36" s="1"/>
  <c r="CP17" i="49"/>
  <c r="CP18"/>
  <c r="CP19"/>
  <c r="CP20"/>
  <c r="CP21"/>
  <c r="CP22"/>
  <c r="CP23"/>
  <c r="CP24"/>
  <c r="CP25"/>
  <c r="CP26"/>
  <c r="CP27"/>
  <c r="CP28"/>
  <c r="CP29"/>
  <c r="CP30"/>
  <c r="CP31"/>
  <c r="CP32"/>
  <c r="CP33"/>
  <c r="CP34"/>
  <c r="CP35"/>
  <c r="CP36"/>
  <c r="CP37"/>
  <c r="CP38"/>
  <c r="CP39"/>
  <c r="CP40"/>
  <c r="CP41"/>
  <c r="CP42"/>
  <c r="CP43"/>
  <c r="CP44"/>
  <c r="CP45"/>
  <c r="CP46"/>
  <c r="CP47"/>
  <c r="CP48"/>
  <c r="CP49"/>
  <c r="CP50"/>
  <c r="CP51"/>
  <c r="CP52"/>
  <c r="CP53"/>
  <c r="CP54"/>
  <c r="CP55"/>
  <c r="CP56"/>
  <c r="CP57"/>
  <c r="CP58"/>
  <c r="CP59"/>
  <c r="CP60"/>
  <c r="CP61"/>
  <c r="CP62"/>
  <c r="CP63"/>
  <c r="CP64"/>
  <c r="CP65"/>
  <c r="CP66"/>
  <c r="CP67"/>
  <c r="CP68"/>
  <c r="CP69"/>
  <c r="CP70"/>
  <c r="CP71"/>
  <c r="CP72"/>
  <c r="CP73"/>
  <c r="CP74"/>
  <c r="CP75"/>
  <c r="CP76"/>
  <c r="CP77"/>
  <c r="CP78"/>
  <c r="CP79"/>
  <c r="CP80"/>
  <c r="CP81"/>
  <c r="CP82"/>
  <c r="CP83"/>
  <c r="CP84"/>
  <c r="CP85"/>
  <c r="CP86"/>
  <c r="CP87"/>
  <c r="CP88"/>
  <c r="CP89"/>
  <c r="CP90"/>
  <c r="CP91"/>
  <c r="CP92"/>
  <c r="CP93"/>
  <c r="CP94"/>
  <c r="CP95"/>
  <c r="CP96"/>
  <c r="CP97"/>
  <c r="CP98"/>
  <c r="CP99"/>
  <c r="CP100"/>
  <c r="CP101"/>
  <c r="CP102"/>
  <c r="CP103"/>
  <c r="CP104"/>
  <c r="CP105"/>
  <c r="CP106"/>
  <c r="CP107"/>
  <c r="CP108"/>
  <c r="CP109"/>
  <c r="CP110"/>
  <c r="CP111"/>
  <c r="CP112"/>
  <c r="CP113"/>
  <c r="CP4"/>
  <c r="K7" i="36" s="1"/>
  <c r="Q8" i="37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O4" i="49"/>
  <c r="P4" s="1"/>
  <c r="O4" i="10"/>
  <c r="Q116" i="7"/>
  <c r="E116"/>
  <c r="Q115"/>
  <c r="E115"/>
  <c r="Q114"/>
  <c r="E114"/>
  <c r="Q113"/>
  <c r="E113"/>
  <c r="Q112"/>
  <c r="E112"/>
  <c r="Q111"/>
  <c r="E111"/>
  <c r="Q110"/>
  <c r="E110"/>
  <c r="Q109"/>
  <c r="E109"/>
  <c r="Q108"/>
  <c r="E108"/>
  <c r="Q107"/>
  <c r="E107"/>
  <c r="Q106"/>
  <c r="E106"/>
  <c r="Q105"/>
  <c r="E105"/>
  <c r="Q104"/>
  <c r="E104"/>
  <c r="Q103"/>
  <c r="E103"/>
  <c r="Q102"/>
  <c r="E102"/>
  <c r="Q101"/>
  <c r="E101"/>
  <c r="Q100"/>
  <c r="E100"/>
  <c r="Q99"/>
  <c r="E99"/>
  <c r="Q98"/>
  <c r="E98"/>
  <c r="Q97"/>
  <c r="E97"/>
  <c r="Q96"/>
  <c r="E96"/>
  <c r="Q95"/>
  <c r="E95"/>
  <c r="Q94"/>
  <c r="E94"/>
  <c r="Q93"/>
  <c r="E93"/>
  <c r="Q92"/>
  <c r="E92"/>
  <c r="Q91"/>
  <c r="E91"/>
  <c r="Q90"/>
  <c r="E90"/>
  <c r="Q89"/>
  <c r="E89"/>
  <c r="Q88"/>
  <c r="E88"/>
  <c r="Q87"/>
  <c r="E87"/>
  <c r="Q86"/>
  <c r="E86"/>
  <c r="Q85"/>
  <c r="E85"/>
  <c r="Q84"/>
  <c r="E84"/>
  <c r="Q83"/>
  <c r="E83"/>
  <c r="Q82"/>
  <c r="E82"/>
  <c r="Q81"/>
  <c r="E81"/>
  <c r="Q80"/>
  <c r="E80"/>
  <c r="Q79"/>
  <c r="E79"/>
  <c r="Q78"/>
  <c r="E78"/>
  <c r="Q77"/>
  <c r="E77"/>
  <c r="Q76"/>
  <c r="E76"/>
  <c r="Q75"/>
  <c r="E75"/>
  <c r="Q74"/>
  <c r="E74"/>
  <c r="Q73"/>
  <c r="E73"/>
  <c r="Q72"/>
  <c r="E72"/>
  <c r="Q71"/>
  <c r="E71"/>
  <c r="Q70"/>
  <c r="E70"/>
  <c r="Q69"/>
  <c r="E69"/>
  <c r="Q68"/>
  <c r="E68"/>
  <c r="Q67"/>
  <c r="E67"/>
  <c r="Q66"/>
  <c r="E66"/>
  <c r="Q65"/>
  <c r="E65"/>
  <c r="Q64"/>
  <c r="E64"/>
  <c r="Q63"/>
  <c r="E63"/>
  <c r="Q62"/>
  <c r="E62"/>
  <c r="Q61"/>
  <c r="E61"/>
  <c r="Q60"/>
  <c r="E60"/>
  <c r="Q59"/>
  <c r="E59"/>
  <c r="Q58"/>
  <c r="E58"/>
  <c r="Q57"/>
  <c r="E57"/>
  <c r="Q56"/>
  <c r="E56"/>
  <c r="Q55"/>
  <c r="E55"/>
  <c r="Q54"/>
  <c r="E54"/>
  <c r="Q53"/>
  <c r="E53"/>
  <c r="Q52"/>
  <c r="E52"/>
  <c r="Q51"/>
  <c r="E51"/>
  <c r="Q50"/>
  <c r="E50"/>
  <c r="Q49"/>
  <c r="E49"/>
  <c r="Q48"/>
  <c r="E48"/>
  <c r="Q47"/>
  <c r="E47"/>
  <c r="Q46"/>
  <c r="E46"/>
  <c r="Q45"/>
  <c r="E45"/>
  <c r="Q44"/>
  <c r="E44"/>
  <c r="Q43"/>
  <c r="E43"/>
  <c r="Q42"/>
  <c r="E42"/>
  <c r="Q41"/>
  <c r="E41"/>
  <c r="Q40"/>
  <c r="E40"/>
  <c r="Q39"/>
  <c r="E39"/>
  <c r="Q38"/>
  <c r="E38"/>
  <c r="Q37"/>
  <c r="E37"/>
  <c r="Q36"/>
  <c r="E36"/>
  <c r="Q35"/>
  <c r="E35"/>
  <c r="Q34"/>
  <c r="E34"/>
  <c r="Q33"/>
  <c r="E33"/>
  <c r="Q32"/>
  <c r="E32"/>
  <c r="Q31"/>
  <c r="E31"/>
  <c r="Q30"/>
  <c r="E30"/>
  <c r="Q29"/>
  <c r="E29"/>
  <c r="Q28"/>
  <c r="E28"/>
  <c r="Q27"/>
  <c r="E27"/>
  <c r="Q26"/>
  <c r="E26"/>
  <c r="Q25"/>
  <c r="E25"/>
  <c r="Q24"/>
  <c r="E24"/>
  <c r="Q23"/>
  <c r="E23"/>
  <c r="Q22"/>
  <c r="E22"/>
  <c r="Q21"/>
  <c r="E21"/>
  <c r="Q20"/>
  <c r="E20"/>
  <c r="Q19"/>
  <c r="E19"/>
  <c r="Q18"/>
  <c r="E18"/>
  <c r="Q17"/>
  <c r="E17"/>
  <c r="Q16"/>
  <c r="E16"/>
  <c r="Q15"/>
  <c r="E15"/>
  <c r="Q14"/>
  <c r="E14"/>
  <c r="Q13"/>
  <c r="E13"/>
  <c r="Q12"/>
  <c r="E12"/>
  <c r="Q11"/>
  <c r="E11"/>
  <c r="Q10"/>
  <c r="E10"/>
  <c r="Q9"/>
  <c r="E9"/>
  <c r="Q8"/>
  <c r="E8"/>
  <c r="E7"/>
  <c r="F4"/>
  <c r="F3"/>
  <c r="V116" i="36"/>
  <c r="Q116"/>
  <c r="E116"/>
  <c r="V115"/>
  <c r="Q115"/>
  <c r="E115"/>
  <c r="V114"/>
  <c r="Q114"/>
  <c r="E114"/>
  <c r="V113"/>
  <c r="Q113"/>
  <c r="E113"/>
  <c r="V112"/>
  <c r="Q112"/>
  <c r="E112"/>
  <c r="V111"/>
  <c r="Q111"/>
  <c r="E111"/>
  <c r="V110"/>
  <c r="Q110"/>
  <c r="E110"/>
  <c r="V109"/>
  <c r="Q109"/>
  <c r="E109"/>
  <c r="V108"/>
  <c r="Q108"/>
  <c r="E108"/>
  <c r="V107"/>
  <c r="Q107"/>
  <c r="E107"/>
  <c r="V106"/>
  <c r="Q106"/>
  <c r="E106"/>
  <c r="V105"/>
  <c r="Q105"/>
  <c r="E105"/>
  <c r="V104"/>
  <c r="Q104"/>
  <c r="E104"/>
  <c r="V103"/>
  <c r="Q103"/>
  <c r="E103"/>
  <c r="V102"/>
  <c r="Q102"/>
  <c r="E102"/>
  <c r="V101"/>
  <c r="Q101"/>
  <c r="E101"/>
  <c r="V100"/>
  <c r="Q100"/>
  <c r="E100"/>
  <c r="V99"/>
  <c r="Q99"/>
  <c r="E99"/>
  <c r="V98"/>
  <c r="Q98"/>
  <c r="E98"/>
  <c r="V97"/>
  <c r="Q97"/>
  <c r="E97"/>
  <c r="V96"/>
  <c r="Q96"/>
  <c r="E96"/>
  <c r="V95"/>
  <c r="Q95"/>
  <c r="E95"/>
  <c r="V94"/>
  <c r="Q94"/>
  <c r="E94"/>
  <c r="V93"/>
  <c r="Q93"/>
  <c r="E93"/>
  <c r="V92"/>
  <c r="Q92"/>
  <c r="E92"/>
  <c r="V91"/>
  <c r="Q91"/>
  <c r="E91"/>
  <c r="V90"/>
  <c r="Q90"/>
  <c r="E90"/>
  <c r="V89"/>
  <c r="Q89"/>
  <c r="E89"/>
  <c r="V88"/>
  <c r="Q88"/>
  <c r="E88"/>
  <c r="V87"/>
  <c r="Q87"/>
  <c r="E87"/>
  <c r="V86"/>
  <c r="Q86"/>
  <c r="E86"/>
  <c r="V85"/>
  <c r="Q85"/>
  <c r="E85"/>
  <c r="V84"/>
  <c r="Q84"/>
  <c r="E84"/>
  <c r="V83"/>
  <c r="Q83"/>
  <c r="E83"/>
  <c r="V82"/>
  <c r="Q82"/>
  <c r="E82"/>
  <c r="V81"/>
  <c r="Q81"/>
  <c r="E81"/>
  <c r="V80"/>
  <c r="Q80"/>
  <c r="E80"/>
  <c r="V79"/>
  <c r="Q79"/>
  <c r="E79"/>
  <c r="V78"/>
  <c r="Q78"/>
  <c r="E78"/>
  <c r="V77"/>
  <c r="Q77"/>
  <c r="E77"/>
  <c r="V76"/>
  <c r="Q76"/>
  <c r="E76"/>
  <c r="V75"/>
  <c r="Q75"/>
  <c r="E75"/>
  <c r="V74"/>
  <c r="Q74"/>
  <c r="E74"/>
  <c r="V73"/>
  <c r="Q73"/>
  <c r="E73"/>
  <c r="V72"/>
  <c r="Q72"/>
  <c r="E72"/>
  <c r="V71"/>
  <c r="Q71"/>
  <c r="E71"/>
  <c r="V70"/>
  <c r="Q70"/>
  <c r="E70"/>
  <c r="V69"/>
  <c r="Q69"/>
  <c r="E69"/>
  <c r="V68"/>
  <c r="Q68"/>
  <c r="E68"/>
  <c r="V67"/>
  <c r="Q67"/>
  <c r="E67"/>
  <c r="V66"/>
  <c r="Q66"/>
  <c r="E66"/>
  <c r="V65"/>
  <c r="Q65"/>
  <c r="E65"/>
  <c r="V64"/>
  <c r="Q64"/>
  <c r="E64"/>
  <c r="V63"/>
  <c r="Q63"/>
  <c r="E63"/>
  <c r="V62"/>
  <c r="Q62"/>
  <c r="E62"/>
  <c r="V61"/>
  <c r="Q61"/>
  <c r="E61"/>
  <c r="V60"/>
  <c r="Q60"/>
  <c r="E60"/>
  <c r="V59"/>
  <c r="Q59"/>
  <c r="E59"/>
  <c r="V58"/>
  <c r="Q58"/>
  <c r="E58"/>
  <c r="V57"/>
  <c r="Q57"/>
  <c r="E57"/>
  <c r="V56"/>
  <c r="Q56"/>
  <c r="E56"/>
  <c r="V55"/>
  <c r="Q55"/>
  <c r="E55"/>
  <c r="V54"/>
  <c r="Q54"/>
  <c r="E54"/>
  <c r="V53"/>
  <c r="Q53"/>
  <c r="E53"/>
  <c r="V52"/>
  <c r="Q52"/>
  <c r="E52"/>
  <c r="V51"/>
  <c r="Q51"/>
  <c r="E51"/>
  <c r="V50"/>
  <c r="Q50"/>
  <c r="E50"/>
  <c r="V49"/>
  <c r="Q49"/>
  <c r="E49"/>
  <c r="V48"/>
  <c r="Q48"/>
  <c r="E48"/>
  <c r="V47"/>
  <c r="Q47"/>
  <c r="E47"/>
  <c r="V46"/>
  <c r="Q46"/>
  <c r="E46"/>
  <c r="V45"/>
  <c r="Q45"/>
  <c r="E45"/>
  <c r="V44"/>
  <c r="Q44"/>
  <c r="E44"/>
  <c r="V43"/>
  <c r="Q43"/>
  <c r="E43"/>
  <c r="V42"/>
  <c r="Q42"/>
  <c r="E42"/>
  <c r="V41"/>
  <c r="Q41"/>
  <c r="E41"/>
  <c r="V40"/>
  <c r="Q40"/>
  <c r="E40"/>
  <c r="V39"/>
  <c r="Q39"/>
  <c r="E39"/>
  <c r="V38"/>
  <c r="Q38"/>
  <c r="E38"/>
  <c r="V37"/>
  <c r="Q37"/>
  <c r="E37"/>
  <c r="V36"/>
  <c r="Q36"/>
  <c r="E36"/>
  <c r="V35"/>
  <c r="Q35"/>
  <c r="E35"/>
  <c r="V34"/>
  <c r="Q34"/>
  <c r="E34"/>
  <c r="V33"/>
  <c r="Q33"/>
  <c r="E33"/>
  <c r="V32"/>
  <c r="Q32"/>
  <c r="E32"/>
  <c r="V31"/>
  <c r="Q31"/>
  <c r="E31"/>
  <c r="V30"/>
  <c r="Q30"/>
  <c r="E30"/>
  <c r="V29"/>
  <c r="Q29"/>
  <c r="E29"/>
  <c r="V28"/>
  <c r="Q28"/>
  <c r="E28"/>
  <c r="V27"/>
  <c r="Q27"/>
  <c r="E27"/>
  <c r="V26"/>
  <c r="Q26"/>
  <c r="E26"/>
  <c r="V25"/>
  <c r="Q25"/>
  <c r="E25"/>
  <c r="V24"/>
  <c r="Q24"/>
  <c r="E24"/>
  <c r="V23"/>
  <c r="Q23"/>
  <c r="E23"/>
  <c r="V22"/>
  <c r="Q22"/>
  <c r="E22"/>
  <c r="V21"/>
  <c r="Q21"/>
  <c r="E21"/>
  <c r="V20"/>
  <c r="Q20"/>
  <c r="E20"/>
  <c r="V19"/>
  <c r="Q19"/>
  <c r="E19"/>
  <c r="V18"/>
  <c r="Q18"/>
  <c r="E18"/>
  <c r="V17"/>
  <c r="Q17"/>
  <c r="E17"/>
  <c r="V16"/>
  <c r="Q16"/>
  <c r="E16"/>
  <c r="V15"/>
  <c r="Q15"/>
  <c r="E15"/>
  <c r="V14"/>
  <c r="Q14"/>
  <c r="E14"/>
  <c r="V13"/>
  <c r="Q13"/>
  <c r="E13"/>
  <c r="V12"/>
  <c r="Q12"/>
  <c r="E12"/>
  <c r="V11"/>
  <c r="Q11"/>
  <c r="E11"/>
  <c r="V10"/>
  <c r="Q10"/>
  <c r="E10"/>
  <c r="V9"/>
  <c r="Q9"/>
  <c r="E9"/>
  <c r="V8"/>
  <c r="Q8"/>
  <c r="E8"/>
  <c r="V7"/>
  <c r="E7"/>
  <c r="F4"/>
  <c r="F3"/>
  <c r="CM118" i="49"/>
  <c r="CL118"/>
  <c r="CK118"/>
  <c r="CJ118"/>
  <c r="CI118"/>
  <c r="CH118"/>
  <c r="CM117"/>
  <c r="CL117"/>
  <c r="CK117"/>
  <c r="CJ117"/>
  <c r="CI117"/>
  <c r="CH117"/>
  <c r="CM116"/>
  <c r="CL116"/>
  <c r="CK116"/>
  <c r="CJ116"/>
  <c r="CI116"/>
  <c r="CH116"/>
  <c r="CM115"/>
  <c r="CL115"/>
  <c r="CK115"/>
  <c r="CJ115"/>
  <c r="CI115"/>
  <c r="CH115"/>
  <c r="CM114"/>
  <c r="CL114"/>
  <c r="CK114"/>
  <c r="CJ114"/>
  <c r="CI114"/>
  <c r="CH114"/>
  <c r="CO113"/>
  <c r="CN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Z113"/>
  <c r="Y113"/>
  <c r="CO112"/>
  <c r="CN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Z112"/>
  <c r="Y112"/>
  <c r="CO111"/>
  <c r="CN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Z111"/>
  <c r="Y111"/>
  <c r="CO110"/>
  <c r="CN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Z110"/>
  <c r="Y110"/>
  <c r="CO109"/>
  <c r="CN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Z109"/>
  <c r="Y109"/>
  <c r="CO108"/>
  <c r="CN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Z108"/>
  <c r="Y108"/>
  <c r="CO107"/>
  <c r="CN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Z107"/>
  <c r="Y107"/>
  <c r="CO106"/>
  <c r="CN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Z106"/>
  <c r="Y106"/>
  <c r="CO105"/>
  <c r="CN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Z105"/>
  <c r="Y105"/>
  <c r="CO104"/>
  <c r="CN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Z104"/>
  <c r="Y104"/>
  <c r="CO103"/>
  <c r="CN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Z103"/>
  <c r="Y103"/>
  <c r="CO102"/>
  <c r="CN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Z102"/>
  <c r="Y102"/>
  <c r="CO101"/>
  <c r="CN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Z101"/>
  <c r="Y101"/>
  <c r="CO100"/>
  <c r="CN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Z100"/>
  <c r="Y100"/>
  <c r="CO99"/>
  <c r="CN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Z99"/>
  <c r="Y99"/>
  <c r="CO98"/>
  <c r="CN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Z98"/>
  <c r="Y98"/>
  <c r="CO97"/>
  <c r="CN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Z97"/>
  <c r="Y97"/>
  <c r="CO96"/>
  <c r="CN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Z96"/>
  <c r="Y96"/>
  <c r="CO95"/>
  <c r="CN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Z95"/>
  <c r="Y95"/>
  <c r="CO94"/>
  <c r="CN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Z94"/>
  <c r="Y94"/>
  <c r="CO93"/>
  <c r="CN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Z93"/>
  <c r="Y93"/>
  <c r="CO92"/>
  <c r="CN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Z92"/>
  <c r="Y92"/>
  <c r="CO91"/>
  <c r="CN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Z91"/>
  <c r="Y91"/>
  <c r="CO90"/>
  <c r="CN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Z90"/>
  <c r="Y90"/>
  <c r="CO89"/>
  <c r="CN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Z89"/>
  <c r="Y89"/>
  <c r="CO88"/>
  <c r="CN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Z88"/>
  <c r="Y88"/>
  <c r="CO87"/>
  <c r="CN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Z87"/>
  <c r="Y87"/>
  <c r="CO86"/>
  <c r="CN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Z86"/>
  <c r="Y86"/>
  <c r="CO85"/>
  <c r="CN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Z85"/>
  <c r="Y85"/>
  <c r="CO84"/>
  <c r="CN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Z84"/>
  <c r="Y84"/>
  <c r="CO83"/>
  <c r="CN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Z83"/>
  <c r="Y83"/>
  <c r="CO82"/>
  <c r="CN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Z82"/>
  <c r="Y82"/>
  <c r="CO81"/>
  <c r="CN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Z81"/>
  <c r="Y81"/>
  <c r="CO80"/>
  <c r="CN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Z80"/>
  <c r="Y80"/>
  <c r="CO79"/>
  <c r="CN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Z79"/>
  <c r="Y79"/>
  <c r="CO78"/>
  <c r="CN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Z78"/>
  <c r="Y78"/>
  <c r="CO77"/>
  <c r="CN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Z77"/>
  <c r="Y77"/>
  <c r="CO76"/>
  <c r="CN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Z76"/>
  <c r="Y76"/>
  <c r="CO75"/>
  <c r="CN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Z75"/>
  <c r="Y75"/>
  <c r="CO74"/>
  <c r="CN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Z74"/>
  <c r="Y74"/>
  <c r="CO73"/>
  <c r="CN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Z73"/>
  <c r="Y73"/>
  <c r="CO72"/>
  <c r="CN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Z72"/>
  <c r="Y72"/>
  <c r="CO71"/>
  <c r="CN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Z71"/>
  <c r="Y71"/>
  <c r="CO70"/>
  <c r="CN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Z70"/>
  <c r="Y70"/>
  <c r="CO69"/>
  <c r="CN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Z69"/>
  <c r="Y69"/>
  <c r="CO68"/>
  <c r="CN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Z68"/>
  <c r="Y68"/>
  <c r="CO67"/>
  <c r="CN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Z67"/>
  <c r="Y67"/>
  <c r="CO66"/>
  <c r="CN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Z66"/>
  <c r="Y66"/>
  <c r="CO65"/>
  <c r="CN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Z65"/>
  <c r="Y65"/>
  <c r="CO64"/>
  <c r="CN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Z64"/>
  <c r="Y64"/>
  <c r="CO63"/>
  <c r="CN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Z63"/>
  <c r="Y63"/>
  <c r="CO62"/>
  <c r="CN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Z62"/>
  <c r="Y62"/>
  <c r="CO61"/>
  <c r="CN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Z61"/>
  <c r="Y61"/>
  <c r="CO60"/>
  <c r="CN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Z60"/>
  <c r="Y60"/>
  <c r="CO59"/>
  <c r="CN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Z59"/>
  <c r="Y59"/>
  <c r="CO58"/>
  <c r="CN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Z58"/>
  <c r="Y58"/>
  <c r="CO57"/>
  <c r="CN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Z57"/>
  <c r="Y57"/>
  <c r="CO56"/>
  <c r="CN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Z56"/>
  <c r="Y56"/>
  <c r="CO55"/>
  <c r="CN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Z55"/>
  <c r="Y55"/>
  <c r="CO54"/>
  <c r="CN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Z54"/>
  <c r="Y54"/>
  <c r="CO53"/>
  <c r="CN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Z53"/>
  <c r="Y53"/>
  <c r="CO52"/>
  <c r="CN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Z52"/>
  <c r="Y52"/>
  <c r="CO51"/>
  <c r="CN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Z51"/>
  <c r="Y51"/>
  <c r="CO50"/>
  <c r="CN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Z50"/>
  <c r="Y50"/>
  <c r="CO49"/>
  <c r="CN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Z49"/>
  <c r="Y49"/>
  <c r="CO48"/>
  <c r="CN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Z48"/>
  <c r="Y48"/>
  <c r="CO47"/>
  <c r="CN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Z47"/>
  <c r="Y47"/>
  <c r="CO46"/>
  <c r="CN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Z46"/>
  <c r="Y46"/>
  <c r="CO45"/>
  <c r="CN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Z45"/>
  <c r="Y45"/>
  <c r="CO44"/>
  <c r="CN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Z44"/>
  <c r="Y44"/>
  <c r="CO43"/>
  <c r="CN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Z43"/>
  <c r="Y43"/>
  <c r="CO42"/>
  <c r="CN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Z42"/>
  <c r="Y42"/>
  <c r="CO41"/>
  <c r="CN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Z41"/>
  <c r="Y41"/>
  <c r="CO40"/>
  <c r="CN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Z40"/>
  <c r="Y40"/>
  <c r="CO39"/>
  <c r="CN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Z39"/>
  <c r="Y39"/>
  <c r="CO38"/>
  <c r="CN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Z38"/>
  <c r="Y38"/>
  <c r="CO37"/>
  <c r="CN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Z37"/>
  <c r="Y37"/>
  <c r="CO36"/>
  <c r="CN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Z36"/>
  <c r="Y36"/>
  <c r="CO35"/>
  <c r="CN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Z35"/>
  <c r="Y35"/>
  <c r="CO34"/>
  <c r="CN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Z34"/>
  <c r="Y34"/>
  <c r="CO33"/>
  <c r="CN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Z33"/>
  <c r="Y33"/>
  <c r="CO32"/>
  <c r="CN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Z32"/>
  <c r="Y32"/>
  <c r="CO31"/>
  <c r="CN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Z31"/>
  <c r="Y31"/>
  <c r="CO30"/>
  <c r="CN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Z30"/>
  <c r="Y30"/>
  <c r="CO29"/>
  <c r="CN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Z29"/>
  <c r="Y29"/>
  <c r="CO28"/>
  <c r="CN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Z28"/>
  <c r="Y28"/>
  <c r="CO27"/>
  <c r="CN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Z27"/>
  <c r="Y27"/>
  <c r="CO26"/>
  <c r="CN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Z26"/>
  <c r="Y26"/>
  <c r="CO25"/>
  <c r="CN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Z25"/>
  <c r="Y25"/>
  <c r="CO24"/>
  <c r="CN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Z24"/>
  <c r="Y24"/>
  <c r="CO23"/>
  <c r="CN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Z23"/>
  <c r="Y23"/>
  <c r="CO22"/>
  <c r="CN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Z22"/>
  <c r="Y22"/>
  <c r="CO21"/>
  <c r="CN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Z21"/>
  <c r="Y21"/>
  <c r="CO20"/>
  <c r="CN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Z20"/>
  <c r="Y20"/>
  <c r="CO19"/>
  <c r="CN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Z19"/>
  <c r="Y19"/>
  <c r="CO18"/>
  <c r="CN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Z18"/>
  <c r="Y18"/>
  <c r="CO17"/>
  <c r="CN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Z17"/>
  <c r="Y17"/>
  <c r="CO16"/>
  <c r="CN16"/>
  <c r="J19" i="7" s="1"/>
  <c r="CG16" i="49"/>
  <c r="CJ16" s="1"/>
  <c r="CL16" s="1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Z16"/>
  <c r="G19" i="36" s="1"/>
  <c r="Y16" i="49"/>
  <c r="CO15"/>
  <c r="CN15"/>
  <c r="J18" i="36" s="1"/>
  <c r="CG15" i="49"/>
  <c r="CI15" s="1"/>
  <c r="CK15" s="1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Z15"/>
  <c r="Y15"/>
  <c r="CO14"/>
  <c r="CN14"/>
  <c r="J17" i="36" s="1"/>
  <c r="CG14" i="49"/>
  <c r="CI14" s="1"/>
  <c r="CJ14" s="1"/>
  <c r="CL14" s="1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Z14"/>
  <c r="G17" i="7" s="1"/>
  <c r="Y14" i="49"/>
  <c r="CO13"/>
  <c r="CN13"/>
  <c r="J16" i="36" s="1"/>
  <c r="CG13" i="49"/>
  <c r="CK13" s="1"/>
  <c r="CM13" s="1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Z13"/>
  <c r="G16" i="36" s="1"/>
  <c r="Y13" i="49"/>
  <c r="CO12"/>
  <c r="CN12"/>
  <c r="J15" i="36" s="1"/>
  <c r="CG12" i="49"/>
  <c r="CK12" s="1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Z12"/>
  <c r="G15" i="36" s="1"/>
  <c r="Y12" i="49"/>
  <c r="CO11"/>
  <c r="CN11"/>
  <c r="J14" i="7" s="1"/>
  <c r="CG11" i="49"/>
  <c r="CM11" s="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Z11"/>
  <c r="G14" i="36" s="1"/>
  <c r="Y11" i="49"/>
  <c r="CO10"/>
  <c r="CN10"/>
  <c r="J13" i="7" s="1"/>
  <c r="CG10" i="49"/>
  <c r="CH10" s="1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Z10"/>
  <c r="G13" i="36" s="1"/>
  <c r="Y10" i="49"/>
  <c r="CO9"/>
  <c r="CN9"/>
  <c r="J12" i="7" s="1"/>
  <c r="CG9" i="49"/>
  <c r="CH9" s="1"/>
  <c r="CJ9" s="1"/>
  <c r="CL9" s="1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Z9"/>
  <c r="G12" i="36" s="1"/>
  <c r="Y9" i="49"/>
  <c r="CO8"/>
  <c r="CN8"/>
  <c r="J11" i="7" s="1"/>
  <c r="CG8" i="49"/>
  <c r="CI8" s="1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Z8"/>
  <c r="G11" i="7" s="1"/>
  <c r="Y8" i="49"/>
  <c r="CO7"/>
  <c r="CN7"/>
  <c r="J10" i="36" s="1"/>
  <c r="CG7" i="49"/>
  <c r="CH7" s="1"/>
  <c r="CM7" s="1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Z7"/>
  <c r="G10" i="7" s="1"/>
  <c r="Y7" i="49"/>
  <c r="CO6"/>
  <c r="CN6"/>
  <c r="J9" i="36" s="1"/>
  <c r="CG6" i="49"/>
  <c r="CJ6" s="1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Z6"/>
  <c r="G9" i="7" s="1"/>
  <c r="Y6" i="49"/>
  <c r="CO5"/>
  <c r="CN5"/>
  <c r="J8" i="36" s="1"/>
  <c r="CG5" i="49"/>
  <c r="CK5" s="1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Z5"/>
  <c r="G8" i="7" s="1"/>
  <c r="Y5" i="49"/>
  <c r="CO4"/>
  <c r="CN4"/>
  <c r="J7" i="36" s="1"/>
  <c r="CG4" i="49"/>
  <c r="CI4" s="1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Q7" i="36" s="1"/>
  <c r="AY4" i="49"/>
  <c r="AX4"/>
  <c r="Z4"/>
  <c r="Y4"/>
  <c r="I7" i="36" s="1"/>
  <c r="P7" s="1"/>
  <c r="L58" i="40"/>
  <c r="L55" i="41" s="1"/>
  <c r="K58" i="40"/>
  <c r="K55" i="41" s="1"/>
  <c r="J58" i="40"/>
  <c r="L57"/>
  <c r="L54" i="41" s="1"/>
  <c r="K57" i="40"/>
  <c r="K54" i="41" s="1"/>
  <c r="J57" i="40"/>
  <c r="J54" i="41" s="1"/>
  <c r="L56" i="40"/>
  <c r="K56"/>
  <c r="K53" i="41" s="1"/>
  <c r="J56" i="40"/>
  <c r="J53" i="41" s="1"/>
  <c r="L55" i="40"/>
  <c r="L52" i="41" s="1"/>
  <c r="K55" i="40"/>
  <c r="K52" i="41" s="1"/>
  <c r="J55" i="40"/>
  <c r="L54"/>
  <c r="K54"/>
  <c r="K51" i="41" s="1"/>
  <c r="J54" i="40"/>
  <c r="L53"/>
  <c r="L50" i="41" s="1"/>
  <c r="K53" i="40"/>
  <c r="K50" i="41" s="1"/>
  <c r="J53" i="40"/>
  <c r="J50" i="41" s="1"/>
  <c r="L52" i="40"/>
  <c r="L49" i="41" s="1"/>
  <c r="K52" i="40"/>
  <c r="K49" i="41" s="1"/>
  <c r="J52" i="40"/>
  <c r="J49" i="41" s="1"/>
  <c r="L51" i="40"/>
  <c r="L48" i="41" s="1"/>
  <c r="K51" i="40"/>
  <c r="K48" i="41" s="1"/>
  <c r="J51" i="40"/>
  <c r="O51" s="1"/>
  <c r="E58"/>
  <c r="E55" i="41" s="1"/>
  <c r="D58" i="40"/>
  <c r="D55" i="41" s="1"/>
  <c r="C58" i="40"/>
  <c r="E57"/>
  <c r="E54" i="41" s="1"/>
  <c r="D57" i="40"/>
  <c r="C57"/>
  <c r="C54" i="41" s="1"/>
  <c r="E56" i="40"/>
  <c r="E53" i="41" s="1"/>
  <c r="D56" i="40"/>
  <c r="D53" i="41" s="1"/>
  <c r="C56" i="40"/>
  <c r="C53" i="41" s="1"/>
  <c r="E55" i="40"/>
  <c r="E52" i="41" s="1"/>
  <c r="D55" i="40"/>
  <c r="D52" i="41" s="1"/>
  <c r="C55" i="40"/>
  <c r="E54"/>
  <c r="D54"/>
  <c r="D51" i="41" s="1"/>
  <c r="C54" i="40"/>
  <c r="C51" i="41" s="1"/>
  <c r="E53" i="40"/>
  <c r="E50" i="41" s="1"/>
  <c r="D53" i="40"/>
  <c r="C53"/>
  <c r="C50" i="41" s="1"/>
  <c r="E52" i="40"/>
  <c r="D52"/>
  <c r="D49" i="41" s="1"/>
  <c r="C52" i="40"/>
  <c r="C49" i="41" s="1"/>
  <c r="E51" i="40"/>
  <c r="E48" i="41" s="1"/>
  <c r="D51" i="40"/>
  <c r="D48" i="41" s="1"/>
  <c r="C51" i="40"/>
  <c r="L46"/>
  <c r="L44" i="41" s="1"/>
  <c r="K46" i="40"/>
  <c r="K44" i="41" s="1"/>
  <c r="J46" i="40"/>
  <c r="J44" i="41" s="1"/>
  <c r="L45" i="40"/>
  <c r="L43" i="41" s="1"/>
  <c r="K45" i="40"/>
  <c r="K43" i="41" s="1"/>
  <c r="J45" i="40"/>
  <c r="J43" i="41" s="1"/>
  <c r="L44" i="40"/>
  <c r="L42" i="41" s="1"/>
  <c r="K44" i="40"/>
  <c r="K42" i="41" s="1"/>
  <c r="J44" i="40"/>
  <c r="J42" i="41" s="1"/>
  <c r="L43" i="40"/>
  <c r="L41" i="41" s="1"/>
  <c r="K43" i="40"/>
  <c r="K41" i="41" s="1"/>
  <c r="J43" i="40"/>
  <c r="L42"/>
  <c r="L40" i="41" s="1"/>
  <c r="K42" i="40"/>
  <c r="K40" i="41" s="1"/>
  <c r="J42" i="40"/>
  <c r="J40" i="41" s="1"/>
  <c r="L41" i="40"/>
  <c r="L39" i="41" s="1"/>
  <c r="K41" i="40"/>
  <c r="K39" i="41" s="1"/>
  <c r="J41" i="40"/>
  <c r="J39" i="41" s="1"/>
  <c r="L40" i="40"/>
  <c r="K40"/>
  <c r="K38" i="41" s="1"/>
  <c r="J40" i="40"/>
  <c r="L39"/>
  <c r="L37" i="41" s="1"/>
  <c r="K39" i="40"/>
  <c r="K37" i="41" s="1"/>
  <c r="J39" i="40"/>
  <c r="J37" i="41" s="1"/>
  <c r="E46" i="40"/>
  <c r="D46"/>
  <c r="D44" i="41" s="1"/>
  <c r="C46" i="40"/>
  <c r="C44" i="41" s="1"/>
  <c r="E45" i="40"/>
  <c r="E43" i="41" s="1"/>
  <c r="D45" i="40"/>
  <c r="D43" i="41" s="1"/>
  <c r="C45" i="40"/>
  <c r="C43" i="41" s="1"/>
  <c r="E44" i="40"/>
  <c r="E42" i="41" s="1"/>
  <c r="D44" i="40"/>
  <c r="D42" i="41" s="1"/>
  <c r="C44" i="40"/>
  <c r="C42" i="41" s="1"/>
  <c r="E43" i="40"/>
  <c r="D43"/>
  <c r="D41" i="41" s="1"/>
  <c r="C43" i="40"/>
  <c r="C41" i="41" s="1"/>
  <c r="E42" i="40"/>
  <c r="E40" i="41" s="1"/>
  <c r="D42" i="40"/>
  <c r="D40" i="41" s="1"/>
  <c r="C42" i="40"/>
  <c r="C40" i="41" s="1"/>
  <c r="E41" i="40"/>
  <c r="E39" i="41" s="1"/>
  <c r="D41" i="40"/>
  <c r="D39" i="41" s="1"/>
  <c r="C41" i="40"/>
  <c r="C39" i="41" s="1"/>
  <c r="E40" i="40"/>
  <c r="D40"/>
  <c r="D38" i="41" s="1"/>
  <c r="C40" i="40"/>
  <c r="C38" i="41" s="1"/>
  <c r="E39" i="40"/>
  <c r="E37" i="41" s="1"/>
  <c r="D39" i="40"/>
  <c r="D37" i="41" s="1"/>
  <c r="C39" i="40"/>
  <c r="C37" i="41" s="1"/>
  <c r="L34" i="40"/>
  <c r="K34"/>
  <c r="K33" i="41" s="1"/>
  <c r="J34" i="40"/>
  <c r="L33"/>
  <c r="L32" i="41" s="1"/>
  <c r="K33" i="40"/>
  <c r="K32" i="41" s="1"/>
  <c r="J33" i="40"/>
  <c r="J32" i="41" s="1"/>
  <c r="L32" i="40"/>
  <c r="K32"/>
  <c r="K31" i="41" s="1"/>
  <c r="J32" i="40"/>
  <c r="J31" i="41" s="1"/>
  <c r="L31" i="40"/>
  <c r="L30" i="41" s="1"/>
  <c r="K31" i="40"/>
  <c r="K30" i="41" s="1"/>
  <c r="J31" i="40"/>
  <c r="J30" i="41" s="1"/>
  <c r="L30" i="40"/>
  <c r="L29" i="41" s="1"/>
  <c r="K30" i="40"/>
  <c r="K29" i="41" s="1"/>
  <c r="J30" i="40"/>
  <c r="L29"/>
  <c r="K29"/>
  <c r="K28" i="41" s="1"/>
  <c r="J29" i="40"/>
  <c r="J28" i="41" s="1"/>
  <c r="L28" i="40"/>
  <c r="L27" i="41" s="1"/>
  <c r="K28" i="40"/>
  <c r="K27" i="41" s="1"/>
  <c r="J28" i="40"/>
  <c r="L27"/>
  <c r="K27"/>
  <c r="K26" i="41" s="1"/>
  <c r="J27" i="40"/>
  <c r="J26" i="41" s="1"/>
  <c r="E34" i="40"/>
  <c r="E33" i="41" s="1"/>
  <c r="D34" i="40"/>
  <c r="D33" i="41" s="1"/>
  <c r="C34" i="40"/>
  <c r="E33"/>
  <c r="D33"/>
  <c r="D32" i="41" s="1"/>
  <c r="C33" i="40"/>
  <c r="C32" i="41" s="1"/>
  <c r="E32" i="40"/>
  <c r="E31" i="41" s="1"/>
  <c r="D32" i="40"/>
  <c r="D31" i="41" s="1"/>
  <c r="C32" i="40"/>
  <c r="E31"/>
  <c r="E30" i="41" s="1"/>
  <c r="D31" i="40"/>
  <c r="D30" i="41" s="1"/>
  <c r="C31" i="40"/>
  <c r="C30" i="41" s="1"/>
  <c r="E30" i="40"/>
  <c r="D30"/>
  <c r="D29" i="41" s="1"/>
  <c r="C30" i="40"/>
  <c r="E29"/>
  <c r="D29"/>
  <c r="C29"/>
  <c r="C28" i="41" s="1"/>
  <c r="E28" i="40"/>
  <c r="E27" i="41" s="1"/>
  <c r="D28" i="40"/>
  <c r="D27" i="41" s="1"/>
  <c r="C28" i="40"/>
  <c r="E27"/>
  <c r="E26" i="41" s="1"/>
  <c r="D27" i="40"/>
  <c r="D26" i="41" s="1"/>
  <c r="C27" i="40"/>
  <c r="C26" i="41" s="1"/>
  <c r="L22" i="40"/>
  <c r="L22" i="41" s="1"/>
  <c r="K22" i="40"/>
  <c r="K22" i="41" s="1"/>
  <c r="J22" i="40"/>
  <c r="J22" i="41" s="1"/>
  <c r="L21" i="40"/>
  <c r="K21"/>
  <c r="J21"/>
  <c r="J21" i="41" s="1"/>
  <c r="L20" i="40"/>
  <c r="L20" i="41" s="1"/>
  <c r="K20" i="40"/>
  <c r="K20" i="41" s="1"/>
  <c r="J20" i="40"/>
  <c r="J20" i="41" s="1"/>
  <c r="L19" i="40"/>
  <c r="L19" i="41" s="1"/>
  <c r="K19" i="40"/>
  <c r="K19" i="41" s="1"/>
  <c r="J19" i="40"/>
  <c r="L18"/>
  <c r="L18" i="41" s="1"/>
  <c r="K18" i="40"/>
  <c r="K18" i="41" s="1"/>
  <c r="J18" i="40"/>
  <c r="J18" i="41" s="1"/>
  <c r="L17" i="40"/>
  <c r="K17"/>
  <c r="K17" i="41" s="1"/>
  <c r="J17" i="40"/>
  <c r="J17" i="41" s="1"/>
  <c r="L16" i="40"/>
  <c r="L16" i="41" s="1"/>
  <c r="K16" i="40"/>
  <c r="K16" i="41" s="1"/>
  <c r="J16" i="40"/>
  <c r="J16" i="41" s="1"/>
  <c r="L15" i="40"/>
  <c r="L15" i="41" s="1"/>
  <c r="K15" i="40"/>
  <c r="K15" i="41" s="1"/>
  <c r="J15" i="40"/>
  <c r="O15" s="1"/>
  <c r="D16"/>
  <c r="D16" i="41" s="1"/>
  <c r="D17" i="40"/>
  <c r="D17" i="41" s="1"/>
  <c r="D18" i="40"/>
  <c r="D18" i="41" s="1"/>
  <c r="D19" i="40"/>
  <c r="D19" i="41" s="1"/>
  <c r="D20" i="40"/>
  <c r="D20" i="41" s="1"/>
  <c r="D21" i="40"/>
  <c r="D21" i="41" s="1"/>
  <c r="D22" i="40"/>
  <c r="D22" i="41" s="1"/>
  <c r="D15" i="40"/>
  <c r="D15" i="41" s="1"/>
  <c r="C7" i="27"/>
  <c r="V9" i="37"/>
  <c r="V8"/>
  <c r="Y35" i="10"/>
  <c r="Y113"/>
  <c r="Y112"/>
  <c r="Y111"/>
  <c r="Y110"/>
  <c r="Y109"/>
  <c r="H112" i="25"/>
  <c r="Y108" i="10"/>
  <c r="Y107"/>
  <c r="Y106"/>
  <c r="Y105"/>
  <c r="Y104"/>
  <c r="Y103"/>
  <c r="Y102"/>
  <c r="Y101"/>
  <c r="Y100"/>
  <c r="Y99"/>
  <c r="Y98"/>
  <c r="Y97"/>
  <c r="Y96"/>
  <c r="Y95"/>
  <c r="Y94"/>
  <c r="Y93"/>
  <c r="I96" i="37"/>
  <c r="Y92" i="10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I74" i="21"/>
  <c r="Y70" i="1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I19" i="21" s="1"/>
  <c r="Y15" i="10"/>
  <c r="H18" i="25" s="1"/>
  <c r="Y14" i="10"/>
  <c r="Y13"/>
  <c r="I16" i="21" s="1"/>
  <c r="BD16" s="1"/>
  <c r="Y12" i="10"/>
  <c r="I15" i="21" s="1"/>
  <c r="BD15" s="1"/>
  <c r="Y11" i="10"/>
  <c r="I14" i="21" s="1"/>
  <c r="BE14" s="1"/>
  <c r="Y10" i="10"/>
  <c r="Y9"/>
  <c r="I12" i="21" s="1"/>
  <c r="Y8" i="10"/>
  <c r="H11" i="25" s="1"/>
  <c r="Y7" i="10"/>
  <c r="I10" i="37" s="1"/>
  <c r="Y6" i="10"/>
  <c r="Y5"/>
  <c r="I8" i="21" s="1"/>
  <c r="Y4" i="10"/>
  <c r="H7" i="25" s="1"/>
  <c r="CG4" i="10"/>
  <c r="CK4" s="1"/>
  <c r="Z4"/>
  <c r="CN4"/>
  <c r="I7" i="25" s="1"/>
  <c r="CO4" i="10"/>
  <c r="CG5"/>
  <c r="Z5"/>
  <c r="CN5"/>
  <c r="J8" i="37" s="1"/>
  <c r="CO5" i="10"/>
  <c r="CG6"/>
  <c r="CI6" s="1"/>
  <c r="CK6" s="1"/>
  <c r="Z6"/>
  <c r="CN6"/>
  <c r="J9" i="21" s="1"/>
  <c r="CO6" i="10"/>
  <c r="CG7"/>
  <c r="CH7" s="1"/>
  <c r="Z7"/>
  <c r="CN7"/>
  <c r="J10" i="37" s="1"/>
  <c r="CO7" i="10"/>
  <c r="CG8"/>
  <c r="CI8" s="1"/>
  <c r="CJ8" s="1"/>
  <c r="CL8" s="1"/>
  <c r="BI8"/>
  <c r="Z8"/>
  <c r="E11" i="25" s="1"/>
  <c r="CN8" i="10"/>
  <c r="CO8"/>
  <c r="CG9"/>
  <c r="CH9" s="1"/>
  <c r="Z9"/>
  <c r="G12" i="37" s="1"/>
  <c r="CN9" i="10"/>
  <c r="J12" i="37" s="1"/>
  <c r="CO9" i="10"/>
  <c r="CG10"/>
  <c r="CJ10" s="1"/>
  <c r="CL10" s="1"/>
  <c r="BI10"/>
  <c r="Z10"/>
  <c r="E13" i="25" s="1"/>
  <c r="CN10" i="10"/>
  <c r="J13" i="37" s="1"/>
  <c r="CO10" i="10"/>
  <c r="CG11"/>
  <c r="CM11" s="1"/>
  <c r="CH11"/>
  <c r="CJ11" s="1"/>
  <c r="CL11" s="1"/>
  <c r="Z11"/>
  <c r="E14" i="25" s="1"/>
  <c r="CN11" i="10"/>
  <c r="CO11"/>
  <c r="CG12"/>
  <c r="CI12" s="1"/>
  <c r="Z12"/>
  <c r="G15" i="37" s="1"/>
  <c r="CN12" i="10"/>
  <c r="CO12"/>
  <c r="CG13"/>
  <c r="CH13" s="1"/>
  <c r="Z13"/>
  <c r="E16" i="25" s="1"/>
  <c r="CN13" i="10"/>
  <c r="CO13"/>
  <c r="CG14"/>
  <c r="CH14" s="1"/>
  <c r="CM14" s="1"/>
  <c r="Z14"/>
  <c r="G17" i="37" s="1"/>
  <c r="CN14" i="10"/>
  <c r="CO14"/>
  <c r="CG15"/>
  <c r="CJ15" s="1"/>
  <c r="CL15" s="1"/>
  <c r="BI15"/>
  <c r="Z15"/>
  <c r="CN15"/>
  <c r="I18" i="25" s="1"/>
  <c r="CO15" i="10"/>
  <c r="CG16"/>
  <c r="CI16" s="1"/>
  <c r="CK16" s="1"/>
  <c r="Z16"/>
  <c r="E19" i="25" s="1"/>
  <c r="CN16" i="10"/>
  <c r="J19" i="37" s="1"/>
  <c r="CO16" i="10"/>
  <c r="CG17"/>
  <c r="CH17"/>
  <c r="CM17"/>
  <c r="Z17"/>
  <c r="CN17"/>
  <c r="CO17"/>
  <c r="CG18"/>
  <c r="CH18"/>
  <c r="Z18"/>
  <c r="CN18"/>
  <c r="CO18"/>
  <c r="CG19"/>
  <c r="BI19"/>
  <c r="Z19"/>
  <c r="CN19"/>
  <c r="CO19"/>
  <c r="CG20"/>
  <c r="BI20"/>
  <c r="Z20"/>
  <c r="CN20"/>
  <c r="CO20"/>
  <c r="CG21"/>
  <c r="Z21"/>
  <c r="CN21"/>
  <c r="CO21"/>
  <c r="CG22"/>
  <c r="BI22"/>
  <c r="Z22"/>
  <c r="CN22"/>
  <c r="CO22"/>
  <c r="CG23"/>
  <c r="CH23"/>
  <c r="Z23"/>
  <c r="CN23"/>
  <c r="CO23"/>
  <c r="CG24"/>
  <c r="Z24"/>
  <c r="CN24"/>
  <c r="CO24"/>
  <c r="CG25"/>
  <c r="BI25"/>
  <c r="Z25"/>
  <c r="CN25"/>
  <c r="CO25"/>
  <c r="CG26"/>
  <c r="CH26"/>
  <c r="Z26"/>
  <c r="CN26"/>
  <c r="I29" i="25"/>
  <c r="CO26" i="10"/>
  <c r="CG27"/>
  <c r="CH27"/>
  <c r="CI27"/>
  <c r="CJ27"/>
  <c r="CL27"/>
  <c r="BI27"/>
  <c r="CM27"/>
  <c r="Z27"/>
  <c r="CN27"/>
  <c r="CO27"/>
  <c r="CG28"/>
  <c r="Z28"/>
  <c r="CN28"/>
  <c r="CO28"/>
  <c r="CG29"/>
  <c r="CH29"/>
  <c r="Z29"/>
  <c r="CN29"/>
  <c r="CO29"/>
  <c r="CG30"/>
  <c r="CH30"/>
  <c r="Z30"/>
  <c r="CN30"/>
  <c r="CO30"/>
  <c r="CG31"/>
  <c r="CH31"/>
  <c r="Z31"/>
  <c r="CN31"/>
  <c r="CO31"/>
  <c r="CG32"/>
  <c r="BI32"/>
  <c r="Z32"/>
  <c r="CN32"/>
  <c r="CO32"/>
  <c r="CG33"/>
  <c r="CI33"/>
  <c r="BI33"/>
  <c r="Z33"/>
  <c r="CN33"/>
  <c r="CO33"/>
  <c r="CG34"/>
  <c r="BI34"/>
  <c r="Z34"/>
  <c r="CN34"/>
  <c r="J37" i="37"/>
  <c r="CO34" i="10"/>
  <c r="CG35"/>
  <c r="Z35"/>
  <c r="CN35"/>
  <c r="CO35"/>
  <c r="AX35"/>
  <c r="CG36"/>
  <c r="Z36"/>
  <c r="CN36"/>
  <c r="CO36"/>
  <c r="CG37"/>
  <c r="CH37"/>
  <c r="Z37"/>
  <c r="CN37"/>
  <c r="CO37"/>
  <c r="CG38"/>
  <c r="CI38"/>
  <c r="BI38"/>
  <c r="Z38"/>
  <c r="CN38"/>
  <c r="CO38"/>
  <c r="CG39"/>
  <c r="CH39"/>
  <c r="Z39"/>
  <c r="CN39"/>
  <c r="CO39"/>
  <c r="CG40"/>
  <c r="Z40"/>
  <c r="CN40"/>
  <c r="CO40"/>
  <c r="CG41"/>
  <c r="CH41"/>
  <c r="Z41"/>
  <c r="CN41"/>
  <c r="CO41"/>
  <c r="CG42"/>
  <c r="CH42"/>
  <c r="Z42"/>
  <c r="CN42"/>
  <c r="CO42"/>
  <c r="CG43"/>
  <c r="CI43"/>
  <c r="BI43"/>
  <c r="Z43"/>
  <c r="CN43"/>
  <c r="CO43"/>
  <c r="CG44"/>
  <c r="BI44"/>
  <c r="Z44"/>
  <c r="CN44"/>
  <c r="CO44"/>
  <c r="CG45"/>
  <c r="Z45"/>
  <c r="CN45"/>
  <c r="CO45"/>
  <c r="CG46"/>
  <c r="Z46"/>
  <c r="CN46"/>
  <c r="J49" i="21"/>
  <c r="CO46" i="10"/>
  <c r="CG47"/>
  <c r="Z47"/>
  <c r="CN47"/>
  <c r="CO47"/>
  <c r="CG48"/>
  <c r="Z48"/>
  <c r="CN48"/>
  <c r="CO48"/>
  <c r="CG49"/>
  <c r="Z49"/>
  <c r="CN49"/>
  <c r="CO49"/>
  <c r="CG50"/>
  <c r="Z50"/>
  <c r="CN50"/>
  <c r="CO50"/>
  <c r="CG51"/>
  <c r="Z51"/>
  <c r="CN51"/>
  <c r="CO51"/>
  <c r="CG52"/>
  <c r="Z52"/>
  <c r="CN52"/>
  <c r="CO52"/>
  <c r="CG53"/>
  <c r="Z53"/>
  <c r="CN53"/>
  <c r="CO53"/>
  <c r="CG54"/>
  <c r="Z54"/>
  <c r="CN54"/>
  <c r="CO54"/>
  <c r="CG55"/>
  <c r="Z55"/>
  <c r="CN55"/>
  <c r="CO55"/>
  <c r="CG56"/>
  <c r="Z56"/>
  <c r="CN56"/>
  <c r="CO56"/>
  <c r="CG57"/>
  <c r="Z57"/>
  <c r="CN57"/>
  <c r="CO57"/>
  <c r="CG58"/>
  <c r="Z58"/>
  <c r="CN58"/>
  <c r="CO58"/>
  <c r="CG59"/>
  <c r="Z59"/>
  <c r="CN59"/>
  <c r="CO59"/>
  <c r="CG60"/>
  <c r="Z60"/>
  <c r="CN60"/>
  <c r="CO60"/>
  <c r="CG61"/>
  <c r="Z61"/>
  <c r="CN61"/>
  <c r="CO61"/>
  <c r="CG62"/>
  <c r="Z62"/>
  <c r="CN62"/>
  <c r="CO62"/>
  <c r="CG63"/>
  <c r="Z63"/>
  <c r="CN63"/>
  <c r="CO63"/>
  <c r="CG64"/>
  <c r="Z64"/>
  <c r="CN64"/>
  <c r="CO64"/>
  <c r="CG65"/>
  <c r="Z65"/>
  <c r="CN65"/>
  <c r="CO65"/>
  <c r="CG66"/>
  <c r="Z66"/>
  <c r="CN66"/>
  <c r="CO66"/>
  <c r="CG67"/>
  <c r="Z67"/>
  <c r="CN67"/>
  <c r="J70" i="21"/>
  <c r="CO67" i="10"/>
  <c r="CG68"/>
  <c r="Z68"/>
  <c r="CN68"/>
  <c r="CO68"/>
  <c r="CG69"/>
  <c r="CI69"/>
  <c r="Z69"/>
  <c r="CN69"/>
  <c r="CO69"/>
  <c r="CG70"/>
  <c r="Z70"/>
  <c r="CN70"/>
  <c r="CO70"/>
  <c r="CG71"/>
  <c r="Z71"/>
  <c r="CN71"/>
  <c r="CO71"/>
  <c r="CG72"/>
  <c r="CI72"/>
  <c r="Z72"/>
  <c r="CN72"/>
  <c r="I75" i="25"/>
  <c r="CO72" i="10"/>
  <c r="CG73"/>
  <c r="Z73"/>
  <c r="CN73"/>
  <c r="CO73"/>
  <c r="CG74"/>
  <c r="Z74"/>
  <c r="CN74"/>
  <c r="I77" i="25"/>
  <c r="CO74" i="10"/>
  <c r="CG75"/>
  <c r="Z75"/>
  <c r="CN75"/>
  <c r="CO75"/>
  <c r="CG76"/>
  <c r="Z76"/>
  <c r="CN76"/>
  <c r="CO76"/>
  <c r="CG77"/>
  <c r="Z77"/>
  <c r="CN77"/>
  <c r="CO77"/>
  <c r="CG78"/>
  <c r="Z78"/>
  <c r="CN78"/>
  <c r="CO78"/>
  <c r="CG79"/>
  <c r="Z79"/>
  <c r="CN79"/>
  <c r="CO79"/>
  <c r="CG80"/>
  <c r="Z80"/>
  <c r="CN80"/>
  <c r="CO80"/>
  <c r="CG81"/>
  <c r="Z81"/>
  <c r="CN81"/>
  <c r="CO81"/>
  <c r="CG82"/>
  <c r="Z82"/>
  <c r="CN82"/>
  <c r="CO82"/>
  <c r="CG83"/>
  <c r="Z83"/>
  <c r="CN83"/>
  <c r="CO83"/>
  <c r="CG84"/>
  <c r="Z84"/>
  <c r="CN84"/>
  <c r="CO84"/>
  <c r="CG85"/>
  <c r="Z85"/>
  <c r="CN85"/>
  <c r="CO85"/>
  <c r="CG86"/>
  <c r="Z86"/>
  <c r="CN86"/>
  <c r="CO86"/>
  <c r="CG87"/>
  <c r="Z87"/>
  <c r="CN87"/>
  <c r="CO87"/>
  <c r="CG88"/>
  <c r="Z88"/>
  <c r="CN88"/>
  <c r="CO88"/>
  <c r="O89"/>
  <c r="Q89" s="1"/>
  <c r="CG89"/>
  <c r="Z89"/>
  <c r="CN89"/>
  <c r="CO89"/>
  <c r="O90"/>
  <c r="Q90" s="1"/>
  <c r="CG90"/>
  <c r="CI90"/>
  <c r="Z90"/>
  <c r="CN90"/>
  <c r="CO90"/>
  <c r="O91"/>
  <c r="P91" s="1"/>
  <c r="CG91"/>
  <c r="Z91"/>
  <c r="CN91"/>
  <c r="CO91"/>
  <c r="O92"/>
  <c r="Q92" s="1"/>
  <c r="CG92"/>
  <c r="Z92"/>
  <c r="CN92"/>
  <c r="CO92"/>
  <c r="O93"/>
  <c r="Q93" s="1"/>
  <c r="CG93"/>
  <c r="Z93"/>
  <c r="CN93"/>
  <c r="CO93"/>
  <c r="O94"/>
  <c r="Q94" s="1"/>
  <c r="M97" i="21" s="1"/>
  <c r="CG94" i="10"/>
  <c r="Z94"/>
  <c r="CN94"/>
  <c r="CO94"/>
  <c r="O95"/>
  <c r="Q95" s="1"/>
  <c r="CG95"/>
  <c r="Z95"/>
  <c r="CN95"/>
  <c r="CO95"/>
  <c r="O96"/>
  <c r="P96" s="1"/>
  <c r="B99" i="37" s="1"/>
  <c r="CG96" i="10"/>
  <c r="Z96"/>
  <c r="CN96"/>
  <c r="CO96"/>
  <c r="O97"/>
  <c r="Q97" s="1"/>
  <c r="M100" i="21" s="1"/>
  <c r="CG97" i="10"/>
  <c r="Z97"/>
  <c r="CN97"/>
  <c r="CO97"/>
  <c r="O98"/>
  <c r="CG98"/>
  <c r="Z98"/>
  <c r="CN98"/>
  <c r="CO98"/>
  <c r="O99"/>
  <c r="Q99" s="1"/>
  <c r="M102" i="37" s="1"/>
  <c r="CG99" i="10"/>
  <c r="CH99"/>
  <c r="Z99"/>
  <c r="CN99"/>
  <c r="CO99"/>
  <c r="O100"/>
  <c r="P100" s="1"/>
  <c r="CG100"/>
  <c r="Z100"/>
  <c r="CN100"/>
  <c r="CO100"/>
  <c r="O101"/>
  <c r="CG101"/>
  <c r="Z101"/>
  <c r="CN101"/>
  <c r="CO101"/>
  <c r="O102"/>
  <c r="Q102" s="1"/>
  <c r="M105" i="37" s="1"/>
  <c r="CG102" i="10"/>
  <c r="Z102"/>
  <c r="CN102"/>
  <c r="CO102"/>
  <c r="O103"/>
  <c r="P103" s="1"/>
  <c r="CG103"/>
  <c r="Z103"/>
  <c r="CN103"/>
  <c r="CO103"/>
  <c r="O104"/>
  <c r="P104" s="1"/>
  <c r="F107" i="25" s="1"/>
  <c r="CG104" i="10"/>
  <c r="Z104"/>
  <c r="CN104"/>
  <c r="CO104"/>
  <c r="O105"/>
  <c r="P105" s="1"/>
  <c r="B108" i="21" s="1"/>
  <c r="CG105" i="10"/>
  <c r="Z105"/>
  <c r="G108" i="37"/>
  <c r="CN105" i="10"/>
  <c r="CO105"/>
  <c r="O106"/>
  <c r="P106" s="1"/>
  <c r="CG106"/>
  <c r="Z106"/>
  <c r="CN106"/>
  <c r="CO106"/>
  <c r="O107"/>
  <c r="Q107" s="1"/>
  <c r="M110" i="21" s="1"/>
  <c r="CG107" i="10"/>
  <c r="Z107"/>
  <c r="CN107"/>
  <c r="J110" i="37"/>
  <c r="CO107" i="10"/>
  <c r="O108"/>
  <c r="P108" s="1"/>
  <c r="CG108"/>
  <c r="Z108"/>
  <c r="CN108"/>
  <c r="CO108"/>
  <c r="O109"/>
  <c r="P109" s="1"/>
  <c r="CG109"/>
  <c r="Z109"/>
  <c r="CN109"/>
  <c r="CO109"/>
  <c r="O110"/>
  <c r="Q110" s="1"/>
  <c r="M113" i="37" s="1"/>
  <c r="CG110" i="10"/>
  <c r="Z110"/>
  <c r="CN110"/>
  <c r="CO110"/>
  <c r="O111"/>
  <c r="Q111" s="1"/>
  <c r="CG111"/>
  <c r="CH111"/>
  <c r="Z111"/>
  <c r="CN111"/>
  <c r="CO111"/>
  <c r="O112"/>
  <c r="CG112"/>
  <c r="Z112"/>
  <c r="G115" i="37"/>
  <c r="CN112" i="10"/>
  <c r="CO112"/>
  <c r="O113"/>
  <c r="CG113"/>
  <c r="Z113"/>
  <c r="CN113"/>
  <c r="CO113"/>
  <c r="I9" i="25"/>
  <c r="I14"/>
  <c r="I15"/>
  <c r="I20"/>
  <c r="I24"/>
  <c r="I26"/>
  <c r="I27"/>
  <c r="I28"/>
  <c r="I30"/>
  <c r="I32"/>
  <c r="I33"/>
  <c r="I37"/>
  <c r="I40"/>
  <c r="I41"/>
  <c r="I45"/>
  <c r="I50"/>
  <c r="I51"/>
  <c r="I55"/>
  <c r="I56"/>
  <c r="I57"/>
  <c r="I60"/>
  <c r="I61"/>
  <c r="I62"/>
  <c r="I65"/>
  <c r="I67"/>
  <c r="I69"/>
  <c r="I72"/>
  <c r="I73"/>
  <c r="I74"/>
  <c r="I76"/>
  <c r="I79"/>
  <c r="I80"/>
  <c r="I81"/>
  <c r="I83"/>
  <c r="I84"/>
  <c r="I85"/>
  <c r="I87"/>
  <c r="I88"/>
  <c r="I91"/>
  <c r="I92"/>
  <c r="I93"/>
  <c r="I94"/>
  <c r="I95"/>
  <c r="I96"/>
  <c r="I99"/>
  <c r="I100"/>
  <c r="I101"/>
  <c r="I104"/>
  <c r="I105"/>
  <c r="I106"/>
  <c r="D54" i="41"/>
  <c r="D50"/>
  <c r="J38"/>
  <c r="E44"/>
  <c r="E29"/>
  <c r="D28"/>
  <c r="J27"/>
  <c r="K21"/>
  <c r="C16" i="40"/>
  <c r="E16"/>
  <c r="E16" i="41" s="1"/>
  <c r="C17" i="40"/>
  <c r="E17"/>
  <c r="E17" i="41" s="1"/>
  <c r="C18" i="40"/>
  <c r="E18"/>
  <c r="E18" i="41" s="1"/>
  <c r="C19" i="40"/>
  <c r="C19" i="41" s="1"/>
  <c r="E19" i="40"/>
  <c r="E19" i="41" s="1"/>
  <c r="C20" i="40"/>
  <c r="E20"/>
  <c r="E20" i="41" s="1"/>
  <c r="C21" i="40"/>
  <c r="E21"/>
  <c r="E21" i="41" s="1"/>
  <c r="C22" i="40"/>
  <c r="C22" i="41" s="1"/>
  <c r="E22" i="40"/>
  <c r="E22" i="41" s="1"/>
  <c r="E15" i="40"/>
  <c r="C15"/>
  <c r="C15" i="41" s="1"/>
  <c r="J9" i="37"/>
  <c r="J14"/>
  <c r="J15"/>
  <c r="J20"/>
  <c r="J24"/>
  <c r="J25"/>
  <c r="J26"/>
  <c r="J27"/>
  <c r="J28"/>
  <c r="J29"/>
  <c r="J30"/>
  <c r="J34"/>
  <c r="J35"/>
  <c r="J40"/>
  <c r="J41"/>
  <c r="J43"/>
  <c r="J45"/>
  <c r="J48"/>
  <c r="J50"/>
  <c r="J51"/>
  <c r="J54"/>
  <c r="J55"/>
  <c r="J56"/>
  <c r="J59"/>
  <c r="J60"/>
  <c r="J62"/>
  <c r="J64"/>
  <c r="J67"/>
  <c r="J68"/>
  <c r="J72"/>
  <c r="J74"/>
  <c r="J75"/>
  <c r="J76"/>
  <c r="J79"/>
  <c r="J80"/>
  <c r="J83"/>
  <c r="J84"/>
  <c r="J86"/>
  <c r="J87"/>
  <c r="J88"/>
  <c r="J90"/>
  <c r="J91"/>
  <c r="J92"/>
  <c r="J95"/>
  <c r="J96"/>
  <c r="J99"/>
  <c r="J100"/>
  <c r="J102"/>
  <c r="J103"/>
  <c r="J104"/>
  <c r="J106"/>
  <c r="J107"/>
  <c r="P74" i="21"/>
  <c r="I57"/>
  <c r="P5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P116" i="3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CF5" i="10"/>
  <c r="CF6"/>
  <c r="CF7"/>
  <c r="CF8"/>
  <c r="CF9"/>
  <c r="CF10"/>
  <c r="CF11"/>
  <c r="CF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85"/>
  <c r="CF86"/>
  <c r="CF87"/>
  <c r="CF88"/>
  <c r="CF89"/>
  <c r="CF90"/>
  <c r="CF91"/>
  <c r="CF92"/>
  <c r="CF93"/>
  <c r="CF94"/>
  <c r="CF95"/>
  <c r="CF96"/>
  <c r="CF97"/>
  <c r="CF98"/>
  <c r="CF99"/>
  <c r="CF100"/>
  <c r="CF101"/>
  <c r="CF102"/>
  <c r="CF103"/>
  <c r="CF104"/>
  <c r="CF105"/>
  <c r="CF106"/>
  <c r="CF107"/>
  <c r="CF108"/>
  <c r="CF109"/>
  <c r="CF110"/>
  <c r="CF111"/>
  <c r="CF112"/>
  <c r="CF113"/>
  <c r="CF4"/>
  <c r="C4" i="25"/>
  <c r="C3"/>
  <c r="B7" i="41"/>
  <c r="B7" i="40"/>
  <c r="B36"/>
  <c r="R38"/>
  <c r="F4" i="21"/>
  <c r="F3"/>
  <c r="F4" i="37"/>
  <c r="F3"/>
  <c r="Z116" i="21"/>
  <c r="Y116"/>
  <c r="Z115"/>
  <c r="Y115"/>
  <c r="Z114"/>
  <c r="Y114"/>
  <c r="Z113"/>
  <c r="Y113"/>
  <c r="Z112"/>
  <c r="Y112"/>
  <c r="Z111"/>
  <c r="Y111"/>
  <c r="Z110"/>
  <c r="Y110"/>
  <c r="Z109"/>
  <c r="Y109"/>
  <c r="Z108"/>
  <c r="Y108"/>
  <c r="Z107"/>
  <c r="Y107"/>
  <c r="Z106"/>
  <c r="Y106"/>
  <c r="Z105"/>
  <c r="Y105"/>
  <c r="Z104"/>
  <c r="Y104"/>
  <c r="Z103"/>
  <c r="Y103"/>
  <c r="Z102"/>
  <c r="Y102"/>
  <c r="Z101"/>
  <c r="Y101"/>
  <c r="Z100"/>
  <c r="Y100"/>
  <c r="Z99"/>
  <c r="Y99"/>
  <c r="Z98"/>
  <c r="Y98"/>
  <c r="Z97"/>
  <c r="Y97"/>
  <c r="Z96"/>
  <c r="Y96"/>
  <c r="Z95"/>
  <c r="Y95"/>
  <c r="Z94"/>
  <c r="Y94"/>
  <c r="Z93"/>
  <c r="Y93"/>
  <c r="Z92"/>
  <c r="Y92"/>
  <c r="Z91"/>
  <c r="Y91"/>
  <c r="Z90"/>
  <c r="Y90"/>
  <c r="Z89"/>
  <c r="Y89"/>
  <c r="Z88"/>
  <c r="Y88"/>
  <c r="Z87"/>
  <c r="Y87"/>
  <c r="Z86"/>
  <c r="Y86"/>
  <c r="Z85"/>
  <c r="Y85"/>
  <c r="Z84"/>
  <c r="Y84"/>
  <c r="Z83"/>
  <c r="Y83"/>
  <c r="Z82"/>
  <c r="Y82"/>
  <c r="Z81"/>
  <c r="Y81"/>
  <c r="Z80"/>
  <c r="Y80"/>
  <c r="Z79"/>
  <c r="Y79"/>
  <c r="Z78"/>
  <c r="Y78"/>
  <c r="Z77"/>
  <c r="Y77"/>
  <c r="Z76"/>
  <c r="Y76"/>
  <c r="Z75"/>
  <c r="Y75"/>
  <c r="Z74"/>
  <c r="Y74"/>
  <c r="Z73"/>
  <c r="Y73"/>
  <c r="Z72"/>
  <c r="Y72"/>
  <c r="Z71"/>
  <c r="Y71"/>
  <c r="Z70"/>
  <c r="Y70"/>
  <c r="Z69"/>
  <c r="Y69"/>
  <c r="Z68"/>
  <c r="Y68"/>
  <c r="Z67"/>
  <c r="Y67"/>
  <c r="Z66"/>
  <c r="Y66"/>
  <c r="Z65"/>
  <c r="Y65"/>
  <c r="Z64"/>
  <c r="Y64"/>
  <c r="Z63"/>
  <c r="Y63"/>
  <c r="Z62"/>
  <c r="Y62"/>
  <c r="Z61"/>
  <c r="Y61"/>
  <c r="Z60"/>
  <c r="Y60"/>
  <c r="Z59"/>
  <c r="Y59"/>
  <c r="Z58"/>
  <c r="Y58"/>
  <c r="Z57"/>
  <c r="Y57"/>
  <c r="Z56"/>
  <c r="Y56"/>
  <c r="Z55"/>
  <c r="Y55"/>
  <c r="Z54"/>
  <c r="Y54"/>
  <c r="Z53"/>
  <c r="Y53"/>
  <c r="Z52"/>
  <c r="Y52"/>
  <c r="Z51"/>
  <c r="Y51"/>
  <c r="Z50"/>
  <c r="Y50"/>
  <c r="Z49"/>
  <c r="Y49"/>
  <c r="Z48"/>
  <c r="Y48"/>
  <c r="Z47"/>
  <c r="Y47"/>
  <c r="Z46"/>
  <c r="Y46"/>
  <c r="Z45"/>
  <c r="Y45"/>
  <c r="Z44"/>
  <c r="Y44"/>
  <c r="Z43"/>
  <c r="Y43"/>
  <c r="Z42"/>
  <c r="Y42"/>
  <c r="Z41"/>
  <c r="Y41"/>
  <c r="Z40"/>
  <c r="Y40"/>
  <c r="Z39"/>
  <c r="Y39"/>
  <c r="Z38"/>
  <c r="Y38"/>
  <c r="Z37"/>
  <c r="Y37"/>
  <c r="Z36"/>
  <c r="Y36"/>
  <c r="Z35"/>
  <c r="Y35"/>
  <c r="Z34"/>
  <c r="Y34"/>
  <c r="Z33"/>
  <c r="Y33"/>
  <c r="Z32"/>
  <c r="Y32"/>
  <c r="Z31"/>
  <c r="Y31"/>
  <c r="Z30"/>
  <c r="Y30"/>
  <c r="Z29"/>
  <c r="Y29"/>
  <c r="Z28"/>
  <c r="Y28"/>
  <c r="Z27"/>
  <c r="Y27"/>
  <c r="Z26"/>
  <c r="Y26"/>
  <c r="Z25"/>
  <c r="Y25"/>
  <c r="Z24"/>
  <c r="Y24"/>
  <c r="Z23"/>
  <c r="Y23"/>
  <c r="Z22"/>
  <c r="Y22"/>
  <c r="Z21"/>
  <c r="Y21"/>
  <c r="Z20"/>
  <c r="Y20"/>
  <c r="Z19"/>
  <c r="Y19"/>
  <c r="Z18"/>
  <c r="Y18"/>
  <c r="Z17"/>
  <c r="Y17"/>
  <c r="Z16"/>
  <c r="Y16"/>
  <c r="Z15"/>
  <c r="Y15"/>
  <c r="Z14"/>
  <c r="Y14"/>
  <c r="Z13"/>
  <c r="Y13"/>
  <c r="Z12"/>
  <c r="Y12"/>
  <c r="Z11"/>
  <c r="Y11"/>
  <c r="Z10"/>
  <c r="Y10"/>
  <c r="Z9"/>
  <c r="Y9"/>
  <c r="Z8"/>
  <c r="Y8"/>
  <c r="Z7"/>
  <c r="Y7"/>
  <c r="S8"/>
  <c r="T8"/>
  <c r="S9"/>
  <c r="T9"/>
  <c r="S10"/>
  <c r="T10"/>
  <c r="S11"/>
  <c r="T11"/>
  <c r="S12"/>
  <c r="T12"/>
  <c r="S13"/>
  <c r="T13"/>
  <c r="S14"/>
  <c r="T14"/>
  <c r="S15"/>
  <c r="T15"/>
  <c r="S16"/>
  <c r="T16"/>
  <c r="S17"/>
  <c r="T17"/>
  <c r="S18"/>
  <c r="T18"/>
  <c r="S19"/>
  <c r="T19"/>
  <c r="S20"/>
  <c r="T20"/>
  <c r="S21"/>
  <c r="T21"/>
  <c r="S22"/>
  <c r="T22"/>
  <c r="S23"/>
  <c r="T23"/>
  <c r="S24"/>
  <c r="T24"/>
  <c r="S25"/>
  <c r="T25"/>
  <c r="S26"/>
  <c r="T26"/>
  <c r="S27"/>
  <c r="T27"/>
  <c r="S28"/>
  <c r="T28"/>
  <c r="S29"/>
  <c r="T29"/>
  <c r="S30"/>
  <c r="T30"/>
  <c r="S31"/>
  <c r="T31"/>
  <c r="S32"/>
  <c r="T32"/>
  <c r="S33"/>
  <c r="T33"/>
  <c r="S34"/>
  <c r="T34"/>
  <c r="S35"/>
  <c r="T35"/>
  <c r="S36"/>
  <c r="T36"/>
  <c r="S37"/>
  <c r="T37"/>
  <c r="S38"/>
  <c r="T38"/>
  <c r="S39"/>
  <c r="T39"/>
  <c r="S40"/>
  <c r="T40"/>
  <c r="S41"/>
  <c r="T41"/>
  <c r="S42"/>
  <c r="T42"/>
  <c r="S43"/>
  <c r="T43"/>
  <c r="S44"/>
  <c r="T44"/>
  <c r="S45"/>
  <c r="T45"/>
  <c r="S46"/>
  <c r="T46"/>
  <c r="S47"/>
  <c r="T47"/>
  <c r="S48"/>
  <c r="T48"/>
  <c r="S49"/>
  <c r="T49"/>
  <c r="S50"/>
  <c r="T50"/>
  <c r="S51"/>
  <c r="T51"/>
  <c r="S52"/>
  <c r="T52"/>
  <c r="S53"/>
  <c r="T53"/>
  <c r="S54"/>
  <c r="T54"/>
  <c r="S55"/>
  <c r="T55"/>
  <c r="S56"/>
  <c r="T56"/>
  <c r="S57"/>
  <c r="T57"/>
  <c r="S58"/>
  <c r="T58"/>
  <c r="S59"/>
  <c r="T59"/>
  <c r="S60"/>
  <c r="T60"/>
  <c r="S61"/>
  <c r="T61"/>
  <c r="S62"/>
  <c r="T62"/>
  <c r="S63"/>
  <c r="T63"/>
  <c r="S64"/>
  <c r="T64"/>
  <c r="S65"/>
  <c r="T65"/>
  <c r="S66"/>
  <c r="T66"/>
  <c r="S67"/>
  <c r="T67"/>
  <c r="S68"/>
  <c r="T68"/>
  <c r="S69"/>
  <c r="T69"/>
  <c r="S70"/>
  <c r="T70"/>
  <c r="S71"/>
  <c r="T71"/>
  <c r="S72"/>
  <c r="T72"/>
  <c r="S73"/>
  <c r="T73"/>
  <c r="S74"/>
  <c r="T74"/>
  <c r="S75"/>
  <c r="T75"/>
  <c r="S76"/>
  <c r="T76"/>
  <c r="S77"/>
  <c r="T77"/>
  <c r="S78"/>
  <c r="T78"/>
  <c r="S79"/>
  <c r="T79"/>
  <c r="S80"/>
  <c r="T80"/>
  <c r="S81"/>
  <c r="T81"/>
  <c r="S82"/>
  <c r="T82"/>
  <c r="S83"/>
  <c r="T83"/>
  <c r="S84"/>
  <c r="T84"/>
  <c r="S85"/>
  <c r="T85"/>
  <c r="S86"/>
  <c r="T86"/>
  <c r="S87"/>
  <c r="T87"/>
  <c r="S88"/>
  <c r="T88"/>
  <c r="S89"/>
  <c r="T89"/>
  <c r="S90"/>
  <c r="T90"/>
  <c r="S91"/>
  <c r="T91"/>
  <c r="S92"/>
  <c r="T92"/>
  <c r="S93"/>
  <c r="T93"/>
  <c r="S94"/>
  <c r="T94"/>
  <c r="S95"/>
  <c r="T95"/>
  <c r="S96"/>
  <c r="T96"/>
  <c r="S97"/>
  <c r="T97"/>
  <c r="S98"/>
  <c r="T98"/>
  <c r="S99"/>
  <c r="T99"/>
  <c r="S100"/>
  <c r="T100"/>
  <c r="S101"/>
  <c r="T101"/>
  <c r="S102"/>
  <c r="T102"/>
  <c r="S103"/>
  <c r="T103"/>
  <c r="S104"/>
  <c r="T104"/>
  <c r="S105"/>
  <c r="T105"/>
  <c r="S106"/>
  <c r="T106"/>
  <c r="S107"/>
  <c r="T107"/>
  <c r="S108"/>
  <c r="T108"/>
  <c r="S109"/>
  <c r="T109"/>
  <c r="S110"/>
  <c r="T110"/>
  <c r="S111"/>
  <c r="T111"/>
  <c r="S112"/>
  <c r="T112"/>
  <c r="S113"/>
  <c r="T113"/>
  <c r="S114"/>
  <c r="T114"/>
  <c r="S115"/>
  <c r="T115"/>
  <c r="S116"/>
  <c r="T116"/>
  <c r="T7"/>
  <c r="S7"/>
  <c r="AF116" i="37"/>
  <c r="AE116"/>
  <c r="AF115"/>
  <c r="AE115"/>
  <c r="AF114"/>
  <c r="AE114"/>
  <c r="AF113"/>
  <c r="AE113"/>
  <c r="AF112"/>
  <c r="AE112"/>
  <c r="AF111"/>
  <c r="AE111"/>
  <c r="AF110"/>
  <c r="AE110"/>
  <c r="AF109"/>
  <c r="AE109"/>
  <c r="AF108"/>
  <c r="AE108"/>
  <c r="AF107"/>
  <c r="AE107"/>
  <c r="AF106"/>
  <c r="AE106"/>
  <c r="AF105"/>
  <c r="AE105"/>
  <c r="AF104"/>
  <c r="AE104"/>
  <c r="AF103"/>
  <c r="AE103"/>
  <c r="AF102"/>
  <c r="AE102"/>
  <c r="AF101"/>
  <c r="AE101"/>
  <c r="AF100"/>
  <c r="AE100"/>
  <c r="AF99"/>
  <c r="AE99"/>
  <c r="AF98"/>
  <c r="AE98"/>
  <c r="AF97"/>
  <c r="AE97"/>
  <c r="AF96"/>
  <c r="AE96"/>
  <c r="AF95"/>
  <c r="AE95"/>
  <c r="AF94"/>
  <c r="AE94"/>
  <c r="AF93"/>
  <c r="AE93"/>
  <c r="AF92"/>
  <c r="AE92"/>
  <c r="AF91"/>
  <c r="AE91"/>
  <c r="AF90"/>
  <c r="AE90"/>
  <c r="AF89"/>
  <c r="AE89"/>
  <c r="AF88"/>
  <c r="AE88"/>
  <c r="AF87"/>
  <c r="AE87"/>
  <c r="AF86"/>
  <c r="AE86"/>
  <c r="AF85"/>
  <c r="AE85"/>
  <c r="AF84"/>
  <c r="AE84"/>
  <c r="AF83"/>
  <c r="AE83"/>
  <c r="AF82"/>
  <c r="AE82"/>
  <c r="AF81"/>
  <c r="AE81"/>
  <c r="AF80"/>
  <c r="AE80"/>
  <c r="AF79"/>
  <c r="AE79"/>
  <c r="AF78"/>
  <c r="AE78"/>
  <c r="AF77"/>
  <c r="AE77"/>
  <c r="AF76"/>
  <c r="AE76"/>
  <c r="AF75"/>
  <c r="AE75"/>
  <c r="AF74"/>
  <c r="AE74"/>
  <c r="AF73"/>
  <c r="AE73"/>
  <c r="AF72"/>
  <c r="AE72"/>
  <c r="AF71"/>
  <c r="AE71"/>
  <c r="AF70"/>
  <c r="AE70"/>
  <c r="AF69"/>
  <c r="AE69"/>
  <c r="AF68"/>
  <c r="AE68"/>
  <c r="AF67"/>
  <c r="AE67"/>
  <c r="AF66"/>
  <c r="AE66"/>
  <c r="AF65"/>
  <c r="AE65"/>
  <c r="AF64"/>
  <c r="AE64"/>
  <c r="AF63"/>
  <c r="AE63"/>
  <c r="AF62"/>
  <c r="AE62"/>
  <c r="AF61"/>
  <c r="AE61"/>
  <c r="AF60"/>
  <c r="AE60"/>
  <c r="AF59"/>
  <c r="AE59"/>
  <c r="AF58"/>
  <c r="AE58"/>
  <c r="AF57"/>
  <c r="AE57"/>
  <c r="AF56"/>
  <c r="AE56"/>
  <c r="AF55"/>
  <c r="AE55"/>
  <c r="AF54"/>
  <c r="AE54"/>
  <c r="AF53"/>
  <c r="AE53"/>
  <c r="AF52"/>
  <c r="AE52"/>
  <c r="AF51"/>
  <c r="AE51"/>
  <c r="AF50"/>
  <c r="AE50"/>
  <c r="AF49"/>
  <c r="AE49"/>
  <c r="AF48"/>
  <c r="AE48"/>
  <c r="AF47"/>
  <c r="AE47"/>
  <c r="AF46"/>
  <c r="AE46"/>
  <c r="AF45"/>
  <c r="AE45"/>
  <c r="AF44"/>
  <c r="AE44"/>
  <c r="AF43"/>
  <c r="AE43"/>
  <c r="AF42"/>
  <c r="AE42"/>
  <c r="AF41"/>
  <c r="AE41"/>
  <c r="AF40"/>
  <c r="AE40"/>
  <c r="AF39"/>
  <c r="AE39"/>
  <c r="AF38"/>
  <c r="AE38"/>
  <c r="AF37"/>
  <c r="AE37"/>
  <c r="AF36"/>
  <c r="AE36"/>
  <c r="AF35"/>
  <c r="AE35"/>
  <c r="AF34"/>
  <c r="AE34"/>
  <c r="AF33"/>
  <c r="AE33"/>
  <c r="AF32"/>
  <c r="AE32"/>
  <c r="AF31"/>
  <c r="AE31"/>
  <c r="AF30"/>
  <c r="AE30"/>
  <c r="AF29"/>
  <c r="AE29"/>
  <c r="AF28"/>
  <c r="AE28"/>
  <c r="AF27"/>
  <c r="AE27"/>
  <c r="AF26"/>
  <c r="AE26"/>
  <c r="AF25"/>
  <c r="AE25"/>
  <c r="AF24"/>
  <c r="AE24"/>
  <c r="AF23"/>
  <c r="AE23"/>
  <c r="AF22"/>
  <c r="AE22"/>
  <c r="AF21"/>
  <c r="AE21"/>
  <c r="AF20"/>
  <c r="AE20"/>
  <c r="AF19"/>
  <c r="AE19"/>
  <c r="AF18"/>
  <c r="AE18"/>
  <c r="AF17"/>
  <c r="AE17"/>
  <c r="AF16"/>
  <c r="AE16"/>
  <c r="AF15"/>
  <c r="AE15"/>
  <c r="AF14"/>
  <c r="AE14"/>
  <c r="AF13"/>
  <c r="AE13"/>
  <c r="AF12"/>
  <c r="AE12"/>
  <c r="AF11"/>
  <c r="AE11"/>
  <c r="AF10"/>
  <c r="AE10"/>
  <c r="AF9"/>
  <c r="AE9"/>
  <c r="AF8"/>
  <c r="AE8"/>
  <c r="AF7"/>
  <c r="AE7"/>
  <c r="X116"/>
  <c r="W116"/>
  <c r="X115"/>
  <c r="W115"/>
  <c r="X114"/>
  <c r="W114"/>
  <c r="X113"/>
  <c r="W113"/>
  <c r="X112"/>
  <c r="W112"/>
  <c r="X111"/>
  <c r="W111"/>
  <c r="X110"/>
  <c r="W110"/>
  <c r="X109"/>
  <c r="W109"/>
  <c r="X108"/>
  <c r="W108"/>
  <c r="X107"/>
  <c r="W107"/>
  <c r="X106"/>
  <c r="W106"/>
  <c r="X105"/>
  <c r="W105"/>
  <c r="X104"/>
  <c r="W104"/>
  <c r="X103"/>
  <c r="W103"/>
  <c r="X102"/>
  <c r="W102"/>
  <c r="X101"/>
  <c r="W101"/>
  <c r="X100"/>
  <c r="W100"/>
  <c r="X99"/>
  <c r="W99"/>
  <c r="X98"/>
  <c r="W98"/>
  <c r="X97"/>
  <c r="W97"/>
  <c r="X96"/>
  <c r="W96"/>
  <c r="X95"/>
  <c r="W95"/>
  <c r="X94"/>
  <c r="W94"/>
  <c r="X93"/>
  <c r="W93"/>
  <c r="X92"/>
  <c r="W92"/>
  <c r="X91"/>
  <c r="W91"/>
  <c r="X90"/>
  <c r="W90"/>
  <c r="X89"/>
  <c r="W89"/>
  <c r="X88"/>
  <c r="W88"/>
  <c r="X87"/>
  <c r="W87"/>
  <c r="X86"/>
  <c r="W86"/>
  <c r="X85"/>
  <c r="W85"/>
  <c r="X84"/>
  <c r="W84"/>
  <c r="X83"/>
  <c r="W83"/>
  <c r="X82"/>
  <c r="W82"/>
  <c r="X81"/>
  <c r="W81"/>
  <c r="X80"/>
  <c r="W80"/>
  <c r="X79"/>
  <c r="W79"/>
  <c r="X78"/>
  <c r="W78"/>
  <c r="X77"/>
  <c r="W77"/>
  <c r="X76"/>
  <c r="W76"/>
  <c r="X75"/>
  <c r="W75"/>
  <c r="X74"/>
  <c r="W74"/>
  <c r="X73"/>
  <c r="W73"/>
  <c r="X72"/>
  <c r="W72"/>
  <c r="X71"/>
  <c r="W71"/>
  <c r="X70"/>
  <c r="W70"/>
  <c r="X69"/>
  <c r="W69"/>
  <c r="X68"/>
  <c r="W68"/>
  <c r="X67"/>
  <c r="W67"/>
  <c r="X66"/>
  <c r="W66"/>
  <c r="X65"/>
  <c r="W65"/>
  <c r="X64"/>
  <c r="W64"/>
  <c r="X63"/>
  <c r="W63"/>
  <c r="X62"/>
  <c r="W62"/>
  <c r="X61"/>
  <c r="W61"/>
  <c r="X60"/>
  <c r="W60"/>
  <c r="X59"/>
  <c r="W59"/>
  <c r="X58"/>
  <c r="W58"/>
  <c r="X57"/>
  <c r="W57"/>
  <c r="X56"/>
  <c r="W56"/>
  <c r="X55"/>
  <c r="W55"/>
  <c r="X54"/>
  <c r="W54"/>
  <c r="X53"/>
  <c r="W53"/>
  <c r="X52"/>
  <c r="W52"/>
  <c r="X51"/>
  <c r="W51"/>
  <c r="X50"/>
  <c r="W50"/>
  <c r="X49"/>
  <c r="W49"/>
  <c r="X48"/>
  <c r="W48"/>
  <c r="X47"/>
  <c r="W47"/>
  <c r="X46"/>
  <c r="W46"/>
  <c r="X45"/>
  <c r="W45"/>
  <c r="X44"/>
  <c r="W44"/>
  <c r="X43"/>
  <c r="W43"/>
  <c r="X42"/>
  <c r="W42"/>
  <c r="X41"/>
  <c r="W41"/>
  <c r="X40"/>
  <c r="W40"/>
  <c r="X39"/>
  <c r="W39"/>
  <c r="X38"/>
  <c r="W38"/>
  <c r="X37"/>
  <c r="W37"/>
  <c r="X36"/>
  <c r="W36"/>
  <c r="X35"/>
  <c r="W35"/>
  <c r="X34"/>
  <c r="W34"/>
  <c r="X33"/>
  <c r="W33"/>
  <c r="X32"/>
  <c r="W32"/>
  <c r="X31"/>
  <c r="W31"/>
  <c r="X30"/>
  <c r="W30"/>
  <c r="X29"/>
  <c r="W29"/>
  <c r="X28"/>
  <c r="W28"/>
  <c r="X27"/>
  <c r="W27"/>
  <c r="X26"/>
  <c r="W26"/>
  <c r="X25"/>
  <c r="W25"/>
  <c r="X24"/>
  <c r="W24"/>
  <c r="X23"/>
  <c r="W23"/>
  <c r="X22"/>
  <c r="W22"/>
  <c r="X21"/>
  <c r="W21"/>
  <c r="X20"/>
  <c r="W20"/>
  <c r="X19"/>
  <c r="W19"/>
  <c r="X18"/>
  <c r="W18"/>
  <c r="X17"/>
  <c r="W17"/>
  <c r="X16"/>
  <c r="W16"/>
  <c r="X15"/>
  <c r="W15"/>
  <c r="X14"/>
  <c r="W14"/>
  <c r="X13"/>
  <c r="W13"/>
  <c r="X12"/>
  <c r="W12"/>
  <c r="X11"/>
  <c r="W11"/>
  <c r="X10"/>
  <c r="W10"/>
  <c r="X9"/>
  <c r="W9"/>
  <c r="X8"/>
  <c r="W8"/>
  <c r="X7"/>
  <c r="W7"/>
  <c r="R8"/>
  <c r="S8"/>
  <c r="R9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R22"/>
  <c r="S22"/>
  <c r="R23"/>
  <c r="S23"/>
  <c r="R24"/>
  <c r="S24"/>
  <c r="R25"/>
  <c r="S25"/>
  <c r="R26"/>
  <c r="S26"/>
  <c r="R27"/>
  <c r="S27"/>
  <c r="R28"/>
  <c r="S28"/>
  <c r="R29"/>
  <c r="S29"/>
  <c r="R30"/>
  <c r="S30"/>
  <c r="R31"/>
  <c r="S31"/>
  <c r="R32"/>
  <c r="S32"/>
  <c r="R33"/>
  <c r="S33"/>
  <c r="R34"/>
  <c r="S34"/>
  <c r="R35"/>
  <c r="S35"/>
  <c r="R36"/>
  <c r="S36"/>
  <c r="R37"/>
  <c r="S37"/>
  <c r="R38"/>
  <c r="S38"/>
  <c r="R39"/>
  <c r="S39"/>
  <c r="R40"/>
  <c r="S40"/>
  <c r="R41"/>
  <c r="S41"/>
  <c r="R42"/>
  <c r="S42"/>
  <c r="R43"/>
  <c r="S43"/>
  <c r="R44"/>
  <c r="S44"/>
  <c r="R45"/>
  <c r="S45"/>
  <c r="R46"/>
  <c r="S46"/>
  <c r="R47"/>
  <c r="S47"/>
  <c r="R48"/>
  <c r="S48"/>
  <c r="R49"/>
  <c r="S49"/>
  <c r="R50"/>
  <c r="S50"/>
  <c r="R51"/>
  <c r="S51"/>
  <c r="R52"/>
  <c r="S52"/>
  <c r="R53"/>
  <c r="S53"/>
  <c r="R54"/>
  <c r="S54"/>
  <c r="R55"/>
  <c r="S55"/>
  <c r="R56"/>
  <c r="S56"/>
  <c r="R57"/>
  <c r="S57"/>
  <c r="R58"/>
  <c r="S58"/>
  <c r="R59"/>
  <c r="S59"/>
  <c r="R60"/>
  <c r="S60"/>
  <c r="R61"/>
  <c r="S61"/>
  <c r="R62"/>
  <c r="S62"/>
  <c r="R63"/>
  <c r="S63"/>
  <c r="R64"/>
  <c r="S64"/>
  <c r="R65"/>
  <c r="S65"/>
  <c r="R66"/>
  <c r="S66"/>
  <c r="R67"/>
  <c r="S67"/>
  <c r="R68"/>
  <c r="S68"/>
  <c r="R69"/>
  <c r="S69"/>
  <c r="R70"/>
  <c r="S70"/>
  <c r="R71"/>
  <c r="S71"/>
  <c r="R72"/>
  <c r="S72"/>
  <c r="R73"/>
  <c r="S73"/>
  <c r="R74"/>
  <c r="S74"/>
  <c r="R75"/>
  <c r="S75"/>
  <c r="R76"/>
  <c r="S76"/>
  <c r="R77"/>
  <c r="S77"/>
  <c r="R78"/>
  <c r="S78"/>
  <c r="R79"/>
  <c r="S79"/>
  <c r="R80"/>
  <c r="S80"/>
  <c r="R81"/>
  <c r="S81"/>
  <c r="R82"/>
  <c r="S82"/>
  <c r="R83"/>
  <c r="S83"/>
  <c r="R84"/>
  <c r="S84"/>
  <c r="R85"/>
  <c r="S85"/>
  <c r="R86"/>
  <c r="S86"/>
  <c r="R87"/>
  <c r="S87"/>
  <c r="R88"/>
  <c r="S88"/>
  <c r="R89"/>
  <c r="S89"/>
  <c r="R90"/>
  <c r="S90"/>
  <c r="R91"/>
  <c r="S91"/>
  <c r="R92"/>
  <c r="S92"/>
  <c r="R93"/>
  <c r="S93"/>
  <c r="R94"/>
  <c r="S94"/>
  <c r="R95"/>
  <c r="S95"/>
  <c r="R96"/>
  <c r="S96"/>
  <c r="R97"/>
  <c r="S97"/>
  <c r="R98"/>
  <c r="S98"/>
  <c r="R99"/>
  <c r="S99"/>
  <c r="R100"/>
  <c r="S100"/>
  <c r="R101"/>
  <c r="S101"/>
  <c r="R102"/>
  <c r="S102"/>
  <c r="R103"/>
  <c r="S103"/>
  <c r="R104"/>
  <c r="S104"/>
  <c r="R105"/>
  <c r="S105"/>
  <c r="R106"/>
  <c r="S106"/>
  <c r="R107"/>
  <c r="S107"/>
  <c r="R108"/>
  <c r="S108"/>
  <c r="R109"/>
  <c r="S109"/>
  <c r="R110"/>
  <c r="S110"/>
  <c r="R111"/>
  <c r="S111"/>
  <c r="R112"/>
  <c r="S112"/>
  <c r="R113"/>
  <c r="S113"/>
  <c r="R114"/>
  <c r="S114"/>
  <c r="R115"/>
  <c r="S115"/>
  <c r="R116"/>
  <c r="S116"/>
  <c r="S7"/>
  <c r="R7"/>
  <c r="X116" i="7"/>
  <c r="W116"/>
  <c r="X115"/>
  <c r="W115"/>
  <c r="X114"/>
  <c r="W114"/>
  <c r="X113"/>
  <c r="W113"/>
  <c r="X112"/>
  <c r="W112"/>
  <c r="X111"/>
  <c r="W111"/>
  <c r="X110"/>
  <c r="W110"/>
  <c r="X109"/>
  <c r="W109"/>
  <c r="X108"/>
  <c r="W108"/>
  <c r="X107"/>
  <c r="W107"/>
  <c r="X106"/>
  <c r="W106"/>
  <c r="X105"/>
  <c r="W105"/>
  <c r="X104"/>
  <c r="W104"/>
  <c r="X103"/>
  <c r="W103"/>
  <c r="X102"/>
  <c r="W102"/>
  <c r="X101"/>
  <c r="W101"/>
  <c r="X100"/>
  <c r="W100"/>
  <c r="X99"/>
  <c r="W99"/>
  <c r="X98"/>
  <c r="W98"/>
  <c r="X97"/>
  <c r="W97"/>
  <c r="X96"/>
  <c r="W96"/>
  <c r="X95"/>
  <c r="W95"/>
  <c r="X94"/>
  <c r="W94"/>
  <c r="X93"/>
  <c r="W93"/>
  <c r="X92"/>
  <c r="W92"/>
  <c r="X91"/>
  <c r="W91"/>
  <c r="X90"/>
  <c r="W90"/>
  <c r="X89"/>
  <c r="W89"/>
  <c r="X88"/>
  <c r="W88"/>
  <c r="X87"/>
  <c r="W87"/>
  <c r="X86"/>
  <c r="W86"/>
  <c r="X85"/>
  <c r="W85"/>
  <c r="X84"/>
  <c r="W84"/>
  <c r="X83"/>
  <c r="W83"/>
  <c r="X82"/>
  <c r="W82"/>
  <c r="X81"/>
  <c r="W81"/>
  <c r="X80"/>
  <c r="W80"/>
  <c r="X79"/>
  <c r="W79"/>
  <c r="X78"/>
  <c r="W78"/>
  <c r="X77"/>
  <c r="W77"/>
  <c r="X76"/>
  <c r="W76"/>
  <c r="X75"/>
  <c r="W75"/>
  <c r="X74"/>
  <c r="W74"/>
  <c r="X73"/>
  <c r="W73"/>
  <c r="X72"/>
  <c r="W72"/>
  <c r="X71"/>
  <c r="W71"/>
  <c r="X70"/>
  <c r="W70"/>
  <c r="X69"/>
  <c r="W69"/>
  <c r="X68"/>
  <c r="W68"/>
  <c r="X67"/>
  <c r="W67"/>
  <c r="X66"/>
  <c r="W66"/>
  <c r="X65"/>
  <c r="W65"/>
  <c r="X64"/>
  <c r="W64"/>
  <c r="X63"/>
  <c r="W63"/>
  <c r="X62"/>
  <c r="W62"/>
  <c r="X61"/>
  <c r="W61"/>
  <c r="X60"/>
  <c r="W60"/>
  <c r="X59"/>
  <c r="W59"/>
  <c r="X58"/>
  <c r="W58"/>
  <c r="X57"/>
  <c r="W57"/>
  <c r="X56"/>
  <c r="W56"/>
  <c r="X55"/>
  <c r="W55"/>
  <c r="X54"/>
  <c r="W54"/>
  <c r="X53"/>
  <c r="W53"/>
  <c r="X52"/>
  <c r="W52"/>
  <c r="X51"/>
  <c r="W51"/>
  <c r="X50"/>
  <c r="W50"/>
  <c r="X49"/>
  <c r="W49"/>
  <c r="X48"/>
  <c r="W48"/>
  <c r="X47"/>
  <c r="W47"/>
  <c r="X46"/>
  <c r="W46"/>
  <c r="X45"/>
  <c r="W45"/>
  <c r="X44"/>
  <c r="W44"/>
  <c r="X43"/>
  <c r="W43"/>
  <c r="X42"/>
  <c r="W42"/>
  <c r="X41"/>
  <c r="W41"/>
  <c r="X40"/>
  <c r="W40"/>
  <c r="X39"/>
  <c r="W39"/>
  <c r="X38"/>
  <c r="W38"/>
  <c r="X37"/>
  <c r="W37"/>
  <c r="X36"/>
  <c r="W36"/>
  <c r="X35"/>
  <c r="W35"/>
  <c r="X34"/>
  <c r="W34"/>
  <c r="X33"/>
  <c r="W33"/>
  <c r="X32"/>
  <c r="W32"/>
  <c r="X31"/>
  <c r="W31"/>
  <c r="X30"/>
  <c r="W30"/>
  <c r="X29"/>
  <c r="W29"/>
  <c r="X28"/>
  <c r="W28"/>
  <c r="X27"/>
  <c r="W27"/>
  <c r="X26"/>
  <c r="W26"/>
  <c r="X25"/>
  <c r="W25"/>
  <c r="X24"/>
  <c r="W24"/>
  <c r="X23"/>
  <c r="W23"/>
  <c r="X22"/>
  <c r="W22"/>
  <c r="X21"/>
  <c r="W21"/>
  <c r="X20"/>
  <c r="W20"/>
  <c r="X19"/>
  <c r="W19"/>
  <c r="X18"/>
  <c r="W18"/>
  <c r="X17"/>
  <c r="W17"/>
  <c r="X16"/>
  <c r="W16"/>
  <c r="X15"/>
  <c r="W15"/>
  <c r="X14"/>
  <c r="W14"/>
  <c r="X13"/>
  <c r="W13"/>
  <c r="X12"/>
  <c r="W12"/>
  <c r="X11"/>
  <c r="W11"/>
  <c r="X10"/>
  <c r="W10"/>
  <c r="X9"/>
  <c r="W9"/>
  <c r="X8"/>
  <c r="W8"/>
  <c r="X7"/>
  <c r="W7"/>
  <c r="R8"/>
  <c r="S8"/>
  <c r="R9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R22"/>
  <c r="S22"/>
  <c r="R23"/>
  <c r="S23"/>
  <c r="R24"/>
  <c r="S24"/>
  <c r="R25"/>
  <c r="S25"/>
  <c r="R26"/>
  <c r="S26"/>
  <c r="R27"/>
  <c r="S27"/>
  <c r="R28"/>
  <c r="S28"/>
  <c r="R29"/>
  <c r="S29"/>
  <c r="R30"/>
  <c r="S30"/>
  <c r="R31"/>
  <c r="S31"/>
  <c r="R32"/>
  <c r="S32"/>
  <c r="R33"/>
  <c r="S33"/>
  <c r="R34"/>
  <c r="S34"/>
  <c r="R35"/>
  <c r="S35"/>
  <c r="R36"/>
  <c r="S36"/>
  <c r="R37"/>
  <c r="S37"/>
  <c r="R38"/>
  <c r="S38"/>
  <c r="R39"/>
  <c r="S39"/>
  <c r="R40"/>
  <c r="S40"/>
  <c r="R41"/>
  <c r="S41"/>
  <c r="R42"/>
  <c r="S42"/>
  <c r="R43"/>
  <c r="S43"/>
  <c r="R44"/>
  <c r="S44"/>
  <c r="R45"/>
  <c r="S45"/>
  <c r="R46"/>
  <c r="S46"/>
  <c r="R47"/>
  <c r="S47"/>
  <c r="R48"/>
  <c r="S48"/>
  <c r="R49"/>
  <c r="S49"/>
  <c r="R50"/>
  <c r="S50"/>
  <c r="R51"/>
  <c r="S51"/>
  <c r="R52"/>
  <c r="S52"/>
  <c r="R53"/>
  <c r="S53"/>
  <c r="R54"/>
  <c r="S54"/>
  <c r="R55"/>
  <c r="S55"/>
  <c r="R56"/>
  <c r="S56"/>
  <c r="R57"/>
  <c r="S57"/>
  <c r="R58"/>
  <c r="S58"/>
  <c r="R59"/>
  <c r="S59"/>
  <c r="R60"/>
  <c r="S60"/>
  <c r="R61"/>
  <c r="S61"/>
  <c r="R62"/>
  <c r="S62"/>
  <c r="R63"/>
  <c r="S63"/>
  <c r="R64"/>
  <c r="S64"/>
  <c r="R65"/>
  <c r="S65"/>
  <c r="R66"/>
  <c r="S66"/>
  <c r="R67"/>
  <c r="S67"/>
  <c r="R68"/>
  <c r="S68"/>
  <c r="R69"/>
  <c r="S69"/>
  <c r="R70"/>
  <c r="S70"/>
  <c r="R71"/>
  <c r="S71"/>
  <c r="R72"/>
  <c r="S72"/>
  <c r="R73"/>
  <c r="S73"/>
  <c r="R74"/>
  <c r="S74"/>
  <c r="R75"/>
  <c r="S75"/>
  <c r="R76"/>
  <c r="S76"/>
  <c r="R77"/>
  <c r="S77"/>
  <c r="R78"/>
  <c r="S78"/>
  <c r="R79"/>
  <c r="S79"/>
  <c r="R80"/>
  <c r="S80"/>
  <c r="R81"/>
  <c r="S81"/>
  <c r="R82"/>
  <c r="S82"/>
  <c r="R83"/>
  <c r="S83"/>
  <c r="R84"/>
  <c r="S84"/>
  <c r="R85"/>
  <c r="S85"/>
  <c r="R86"/>
  <c r="S86"/>
  <c r="R87"/>
  <c r="S87"/>
  <c r="R88"/>
  <c r="S88"/>
  <c r="R89"/>
  <c r="S89"/>
  <c r="R90"/>
  <c r="S90"/>
  <c r="R91"/>
  <c r="S91"/>
  <c r="R92"/>
  <c r="S92"/>
  <c r="R93"/>
  <c r="S93"/>
  <c r="R94"/>
  <c r="S94"/>
  <c r="R95"/>
  <c r="S95"/>
  <c r="R96"/>
  <c r="S96"/>
  <c r="R97"/>
  <c r="S97"/>
  <c r="R98"/>
  <c r="S98"/>
  <c r="R99"/>
  <c r="S99"/>
  <c r="R100"/>
  <c r="S100"/>
  <c r="R101"/>
  <c r="S101"/>
  <c r="R102"/>
  <c r="S102"/>
  <c r="R103"/>
  <c r="S103"/>
  <c r="R104"/>
  <c r="S104"/>
  <c r="R105"/>
  <c r="S105"/>
  <c r="R106"/>
  <c r="S106"/>
  <c r="R107"/>
  <c r="S107"/>
  <c r="R108"/>
  <c r="S108"/>
  <c r="R109"/>
  <c r="S109"/>
  <c r="R110"/>
  <c r="S110"/>
  <c r="R111"/>
  <c r="S111"/>
  <c r="R112"/>
  <c r="S112"/>
  <c r="R113"/>
  <c r="S113"/>
  <c r="R114"/>
  <c r="S114"/>
  <c r="R115"/>
  <c r="S115"/>
  <c r="R116"/>
  <c r="S116"/>
  <c r="S7"/>
  <c r="R7"/>
  <c r="X116" i="36"/>
  <c r="W116"/>
  <c r="X115"/>
  <c r="W115"/>
  <c r="X114"/>
  <c r="W114"/>
  <c r="X113"/>
  <c r="W113"/>
  <c r="X112"/>
  <c r="W112"/>
  <c r="X111"/>
  <c r="W111"/>
  <c r="X110"/>
  <c r="W110"/>
  <c r="X109"/>
  <c r="W109"/>
  <c r="X108"/>
  <c r="W108"/>
  <c r="X107"/>
  <c r="W107"/>
  <c r="X106"/>
  <c r="W106"/>
  <c r="X105"/>
  <c r="W105"/>
  <c r="X104"/>
  <c r="W104"/>
  <c r="X103"/>
  <c r="W103"/>
  <c r="X102"/>
  <c r="W102"/>
  <c r="X101"/>
  <c r="W101"/>
  <c r="X100"/>
  <c r="W100"/>
  <c r="X99"/>
  <c r="W99"/>
  <c r="X98"/>
  <c r="W98"/>
  <c r="X97"/>
  <c r="W97"/>
  <c r="X96"/>
  <c r="W96"/>
  <c r="X95"/>
  <c r="W95"/>
  <c r="X94"/>
  <c r="W94"/>
  <c r="X93"/>
  <c r="W93"/>
  <c r="X92"/>
  <c r="W92"/>
  <c r="X91"/>
  <c r="W91"/>
  <c r="X90"/>
  <c r="W90"/>
  <c r="X89"/>
  <c r="W89"/>
  <c r="X88"/>
  <c r="W88"/>
  <c r="X87"/>
  <c r="W87"/>
  <c r="X86"/>
  <c r="W86"/>
  <c r="X85"/>
  <c r="W85"/>
  <c r="X84"/>
  <c r="W84"/>
  <c r="X83"/>
  <c r="W83"/>
  <c r="X82"/>
  <c r="W82"/>
  <c r="X81"/>
  <c r="W81"/>
  <c r="X80"/>
  <c r="W80"/>
  <c r="X79"/>
  <c r="W79"/>
  <c r="X78"/>
  <c r="W78"/>
  <c r="X77"/>
  <c r="W77"/>
  <c r="X76"/>
  <c r="W76"/>
  <c r="X75"/>
  <c r="W75"/>
  <c r="X74"/>
  <c r="W74"/>
  <c r="X73"/>
  <c r="W73"/>
  <c r="X72"/>
  <c r="W72"/>
  <c r="X71"/>
  <c r="W71"/>
  <c r="X70"/>
  <c r="W70"/>
  <c r="X69"/>
  <c r="W69"/>
  <c r="X68"/>
  <c r="W68"/>
  <c r="X67"/>
  <c r="W67"/>
  <c r="X66"/>
  <c r="W66"/>
  <c r="X65"/>
  <c r="W65"/>
  <c r="X64"/>
  <c r="W64"/>
  <c r="X63"/>
  <c r="W63"/>
  <c r="X62"/>
  <c r="W62"/>
  <c r="X61"/>
  <c r="W61"/>
  <c r="X60"/>
  <c r="W60"/>
  <c r="X59"/>
  <c r="W59"/>
  <c r="X58"/>
  <c r="W58"/>
  <c r="X57"/>
  <c r="W57"/>
  <c r="X56"/>
  <c r="W56"/>
  <c r="X55"/>
  <c r="W55"/>
  <c r="X54"/>
  <c r="W54"/>
  <c r="X53"/>
  <c r="W53"/>
  <c r="X52"/>
  <c r="W52"/>
  <c r="X51"/>
  <c r="W51"/>
  <c r="X50"/>
  <c r="W50"/>
  <c r="X49"/>
  <c r="W49"/>
  <c r="X48"/>
  <c r="W48"/>
  <c r="X47"/>
  <c r="W47"/>
  <c r="X46"/>
  <c r="W46"/>
  <c r="X45"/>
  <c r="W45"/>
  <c r="X44"/>
  <c r="W44"/>
  <c r="X43"/>
  <c r="W43"/>
  <c r="X42"/>
  <c r="W42"/>
  <c r="X41"/>
  <c r="W41"/>
  <c r="X40"/>
  <c r="W40"/>
  <c r="X39"/>
  <c r="W39"/>
  <c r="X38"/>
  <c r="W38"/>
  <c r="X37"/>
  <c r="W37"/>
  <c r="X36"/>
  <c r="W36"/>
  <c r="X35"/>
  <c r="W35"/>
  <c r="X34"/>
  <c r="W34"/>
  <c r="X33"/>
  <c r="W33"/>
  <c r="X32"/>
  <c r="W32"/>
  <c r="X31"/>
  <c r="W31"/>
  <c r="X30"/>
  <c r="W30"/>
  <c r="X29"/>
  <c r="W29"/>
  <c r="X28"/>
  <c r="W28"/>
  <c r="X27"/>
  <c r="W27"/>
  <c r="X26"/>
  <c r="W26"/>
  <c r="X25"/>
  <c r="W25"/>
  <c r="X24"/>
  <c r="W24"/>
  <c r="X23"/>
  <c r="W23"/>
  <c r="X22"/>
  <c r="W22"/>
  <c r="X21"/>
  <c r="W21"/>
  <c r="X20"/>
  <c r="W20"/>
  <c r="X19"/>
  <c r="W19"/>
  <c r="X18"/>
  <c r="W18"/>
  <c r="X17"/>
  <c r="W17"/>
  <c r="X16"/>
  <c r="W16"/>
  <c r="X15"/>
  <c r="W15"/>
  <c r="X14"/>
  <c r="W14"/>
  <c r="X13"/>
  <c r="W13"/>
  <c r="X12"/>
  <c r="W12"/>
  <c r="X11"/>
  <c r="W11"/>
  <c r="X10"/>
  <c r="W10"/>
  <c r="X9"/>
  <c r="W9"/>
  <c r="X8"/>
  <c r="W8"/>
  <c r="X7"/>
  <c r="W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7"/>
  <c r="A8" i="7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7"/>
  <c r="J11" i="21"/>
  <c r="J14"/>
  <c r="J15"/>
  <c r="J16"/>
  <c r="J19"/>
  <c r="J20"/>
  <c r="J23"/>
  <c r="J24"/>
  <c r="J25"/>
  <c r="J26"/>
  <c r="J27"/>
  <c r="J28"/>
  <c r="J29"/>
  <c r="J30"/>
  <c r="J31"/>
  <c r="J32"/>
  <c r="J34"/>
  <c r="J35"/>
  <c r="J36"/>
  <c r="J37"/>
  <c r="J39"/>
  <c r="J40"/>
  <c r="J41"/>
  <c r="J43"/>
  <c r="J44"/>
  <c r="J45"/>
  <c r="J51"/>
  <c r="J54"/>
  <c r="J55"/>
  <c r="J56"/>
  <c r="J59"/>
  <c r="J60"/>
  <c r="J61"/>
  <c r="J62"/>
  <c r="J63"/>
  <c r="J66"/>
  <c r="J67"/>
  <c r="J68"/>
  <c r="J69"/>
  <c r="J71"/>
  <c r="J72"/>
  <c r="J73"/>
  <c r="J75"/>
  <c r="J76"/>
  <c r="J79"/>
  <c r="J80"/>
  <c r="J81"/>
  <c r="J82"/>
  <c r="J83"/>
  <c r="J86"/>
  <c r="J87"/>
  <c r="J88"/>
  <c r="J90"/>
  <c r="J91"/>
  <c r="J92"/>
  <c r="J93"/>
  <c r="J94"/>
  <c r="J95"/>
  <c r="J96"/>
  <c r="J98"/>
  <c r="J99"/>
  <c r="J100"/>
  <c r="J101"/>
  <c r="J102"/>
  <c r="J103"/>
  <c r="J104"/>
  <c r="J105"/>
  <c r="J106"/>
  <c r="J107"/>
  <c r="J108"/>
  <c r="J112"/>
  <c r="I36" i="40"/>
  <c r="S38"/>
  <c r="I12"/>
  <c r="S14"/>
  <c r="AX5" i="10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99"/>
  <c r="BA100"/>
  <c r="BA101"/>
  <c r="BA102"/>
  <c r="BA103"/>
  <c r="BA104"/>
  <c r="BA105"/>
  <c r="BA106"/>
  <c r="BA107"/>
  <c r="BA108"/>
  <c r="BA109"/>
  <c r="BA110"/>
  <c r="BA111"/>
  <c r="BA112"/>
  <c r="BA113"/>
  <c r="BA4"/>
  <c r="AY5"/>
  <c r="AZ5"/>
  <c r="AY6"/>
  <c r="AZ6"/>
  <c r="AY7"/>
  <c r="AZ7"/>
  <c r="AY8"/>
  <c r="AZ8"/>
  <c r="AY9"/>
  <c r="AZ9"/>
  <c r="AY10"/>
  <c r="AZ10"/>
  <c r="AY11"/>
  <c r="AZ11"/>
  <c r="AY12"/>
  <c r="AZ12"/>
  <c r="AY13"/>
  <c r="AZ13"/>
  <c r="AY14"/>
  <c r="AZ14"/>
  <c r="AY15"/>
  <c r="AZ15"/>
  <c r="AY16"/>
  <c r="AZ16"/>
  <c r="AY17"/>
  <c r="AZ17"/>
  <c r="AY18"/>
  <c r="AZ18"/>
  <c r="AY19"/>
  <c r="AZ19"/>
  <c r="AY20"/>
  <c r="AZ20"/>
  <c r="AY21"/>
  <c r="AZ21"/>
  <c r="AY22"/>
  <c r="AZ22"/>
  <c r="AY23"/>
  <c r="AZ23"/>
  <c r="AY24"/>
  <c r="AZ24"/>
  <c r="AY25"/>
  <c r="AZ25"/>
  <c r="AY26"/>
  <c r="AZ26"/>
  <c r="AY27"/>
  <c r="AZ27"/>
  <c r="AY28"/>
  <c r="AZ28"/>
  <c r="AY29"/>
  <c r="AZ29"/>
  <c r="AY30"/>
  <c r="AZ30"/>
  <c r="AY31"/>
  <c r="AZ31"/>
  <c r="AY32"/>
  <c r="AZ32"/>
  <c r="AY33"/>
  <c r="AZ33"/>
  <c r="AY34"/>
  <c r="AZ34"/>
  <c r="AY35"/>
  <c r="AZ35"/>
  <c r="AY36"/>
  <c r="AZ36"/>
  <c r="AY37"/>
  <c r="AZ37"/>
  <c r="AY38"/>
  <c r="AZ38"/>
  <c r="AY39"/>
  <c r="AZ39"/>
  <c r="AY40"/>
  <c r="AZ40"/>
  <c r="AY41"/>
  <c r="AZ41"/>
  <c r="AY42"/>
  <c r="AZ42"/>
  <c r="AY43"/>
  <c r="AZ43"/>
  <c r="AY44"/>
  <c r="AZ44"/>
  <c r="AY45"/>
  <c r="AZ45"/>
  <c r="AY46"/>
  <c r="AZ46"/>
  <c r="AY47"/>
  <c r="AZ47"/>
  <c r="AY48"/>
  <c r="AZ48"/>
  <c r="AY49"/>
  <c r="AZ49"/>
  <c r="AY50"/>
  <c r="AZ50"/>
  <c r="AY51"/>
  <c r="AZ51"/>
  <c r="AY52"/>
  <c r="AZ52"/>
  <c r="AY53"/>
  <c r="AZ53"/>
  <c r="AY54"/>
  <c r="AZ54"/>
  <c r="AY55"/>
  <c r="AZ55"/>
  <c r="AY56"/>
  <c r="AZ56"/>
  <c r="AY57"/>
  <c r="AZ57"/>
  <c r="AY58"/>
  <c r="AZ58"/>
  <c r="AY59"/>
  <c r="AZ59"/>
  <c r="AY60"/>
  <c r="AZ60"/>
  <c r="AY61"/>
  <c r="AZ61"/>
  <c r="AY62"/>
  <c r="AZ62"/>
  <c r="AY63"/>
  <c r="AZ63"/>
  <c r="AY64"/>
  <c r="AZ64"/>
  <c r="AY65"/>
  <c r="AZ65"/>
  <c r="AY66"/>
  <c r="AZ66"/>
  <c r="AY67"/>
  <c r="AZ67"/>
  <c r="AY68"/>
  <c r="AZ68"/>
  <c r="AY69"/>
  <c r="AZ69"/>
  <c r="AY70"/>
  <c r="AZ70"/>
  <c r="AY71"/>
  <c r="AZ71"/>
  <c r="AY72"/>
  <c r="AZ72"/>
  <c r="AY73"/>
  <c r="AZ73"/>
  <c r="AY74"/>
  <c r="AZ74"/>
  <c r="AY75"/>
  <c r="AZ75"/>
  <c r="AY76"/>
  <c r="AZ76"/>
  <c r="AY77"/>
  <c r="AZ77"/>
  <c r="AY78"/>
  <c r="AZ78"/>
  <c r="AY79"/>
  <c r="AZ79"/>
  <c r="AY80"/>
  <c r="AZ80"/>
  <c r="AY81"/>
  <c r="AZ81"/>
  <c r="AY82"/>
  <c r="AZ82"/>
  <c r="AY83"/>
  <c r="AZ83"/>
  <c r="AY84"/>
  <c r="AZ84"/>
  <c r="AY85"/>
  <c r="AZ85"/>
  <c r="AY86"/>
  <c r="AZ86"/>
  <c r="AY87"/>
  <c r="AZ87"/>
  <c r="AY88"/>
  <c r="AZ88"/>
  <c r="AY89"/>
  <c r="AZ89"/>
  <c r="AY90"/>
  <c r="AZ90"/>
  <c r="AY91"/>
  <c r="AZ91"/>
  <c r="AY92"/>
  <c r="AZ92"/>
  <c r="AY93"/>
  <c r="AZ93"/>
  <c r="AY94"/>
  <c r="AZ94"/>
  <c r="AY95"/>
  <c r="AZ95"/>
  <c r="AY96"/>
  <c r="AZ96"/>
  <c r="AY97"/>
  <c r="AZ97"/>
  <c r="AY98"/>
  <c r="AZ98"/>
  <c r="AY99"/>
  <c r="AZ99"/>
  <c r="AY100"/>
  <c r="AZ100"/>
  <c r="AY101"/>
  <c r="AZ101"/>
  <c r="AY102"/>
  <c r="AZ102"/>
  <c r="AY103"/>
  <c r="AZ103"/>
  <c r="AY104"/>
  <c r="AZ104"/>
  <c r="AY105"/>
  <c r="AZ105"/>
  <c r="AY106"/>
  <c r="AZ106"/>
  <c r="AY107"/>
  <c r="AZ107"/>
  <c r="AY108"/>
  <c r="AZ108"/>
  <c r="AY109"/>
  <c r="AZ109"/>
  <c r="AY110"/>
  <c r="AZ110"/>
  <c r="AY111"/>
  <c r="AZ111"/>
  <c r="AY112"/>
  <c r="AZ112"/>
  <c r="AY113"/>
  <c r="AZ113"/>
  <c r="AY4"/>
  <c r="AZ4"/>
  <c r="Q7" i="37"/>
  <c r="BV5" i="10"/>
  <c r="BV6"/>
  <c r="BV7"/>
  <c r="BV8"/>
  <c r="BV9"/>
  <c r="BV10"/>
  <c r="BV11"/>
  <c r="BV12"/>
  <c r="BV13"/>
  <c r="BV14"/>
  <c r="BV15"/>
  <c r="BV16"/>
  <c r="BV17"/>
  <c r="BV18"/>
  <c r="BV19"/>
  <c r="BV20"/>
  <c r="BV21"/>
  <c r="BV22"/>
  <c r="BV23"/>
  <c r="BV24"/>
  <c r="BV25"/>
  <c r="BV26"/>
  <c r="BV27"/>
  <c r="BV28"/>
  <c r="BV29"/>
  <c r="BV30"/>
  <c r="BV31"/>
  <c r="BV32"/>
  <c r="BV33"/>
  <c r="BV34"/>
  <c r="BV35"/>
  <c r="BV36"/>
  <c r="BV37"/>
  <c r="BV38"/>
  <c r="BV39"/>
  <c r="BV40"/>
  <c r="BV41"/>
  <c r="BV42"/>
  <c r="BV43"/>
  <c r="BV44"/>
  <c r="BV45"/>
  <c r="BV46"/>
  <c r="BV47"/>
  <c r="BV48"/>
  <c r="BV49"/>
  <c r="BV50"/>
  <c r="BV51"/>
  <c r="BV52"/>
  <c r="BV53"/>
  <c r="BV54"/>
  <c r="BV55"/>
  <c r="BV56"/>
  <c r="BV57"/>
  <c r="BV58"/>
  <c r="BV59"/>
  <c r="BV60"/>
  <c r="BV61"/>
  <c r="BV62"/>
  <c r="BV63"/>
  <c r="BV64"/>
  <c r="BV65"/>
  <c r="BV66"/>
  <c r="BV67"/>
  <c r="BV68"/>
  <c r="BV69"/>
  <c r="BV70"/>
  <c r="BV71"/>
  <c r="BV72"/>
  <c r="BV73"/>
  <c r="BV74"/>
  <c r="BV75"/>
  <c r="BV76"/>
  <c r="BV77"/>
  <c r="BV78"/>
  <c r="BV79"/>
  <c r="BV80"/>
  <c r="BV81"/>
  <c r="BV82"/>
  <c r="BV83"/>
  <c r="BV84"/>
  <c r="BV85"/>
  <c r="BV86"/>
  <c r="BV87"/>
  <c r="BV88"/>
  <c r="BV89"/>
  <c r="BV90"/>
  <c r="BV91"/>
  <c r="BV92"/>
  <c r="BV93"/>
  <c r="BV94"/>
  <c r="BV95"/>
  <c r="BV96"/>
  <c r="BV97"/>
  <c r="BV98"/>
  <c r="BV99"/>
  <c r="BV100"/>
  <c r="BV101"/>
  <c r="BV102"/>
  <c r="BV103"/>
  <c r="BV104"/>
  <c r="BV105"/>
  <c r="BV106"/>
  <c r="BV107"/>
  <c r="BV108"/>
  <c r="BV109"/>
  <c r="BV110"/>
  <c r="BV111"/>
  <c r="BV112"/>
  <c r="BV113"/>
  <c r="BV4"/>
  <c r="BY5"/>
  <c r="BY6"/>
  <c r="BY7"/>
  <c r="BY8"/>
  <c r="BY9"/>
  <c r="BY10"/>
  <c r="BY11"/>
  <c r="BY12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Y85"/>
  <c r="BY86"/>
  <c r="BY87"/>
  <c r="BY88"/>
  <c r="BY89"/>
  <c r="BY90"/>
  <c r="BY91"/>
  <c r="BY92"/>
  <c r="BY93"/>
  <c r="BY94"/>
  <c r="BY95"/>
  <c r="BY96"/>
  <c r="BY97"/>
  <c r="BY98"/>
  <c r="BY99"/>
  <c r="BY100"/>
  <c r="BY101"/>
  <c r="BY102"/>
  <c r="BY103"/>
  <c r="BY104"/>
  <c r="BY105"/>
  <c r="BY106"/>
  <c r="BY107"/>
  <c r="BY108"/>
  <c r="BY109"/>
  <c r="BY110"/>
  <c r="BY111"/>
  <c r="BY112"/>
  <c r="BY113"/>
  <c r="BY4"/>
  <c r="P8" i="21"/>
  <c r="P7"/>
  <c r="BI5" i="10"/>
  <c r="BI13"/>
  <c r="BI14"/>
  <c r="CI17"/>
  <c r="BI17"/>
  <c r="CJ17"/>
  <c r="CL17"/>
  <c r="BI21"/>
  <c r="BI24"/>
  <c r="CI30"/>
  <c r="CJ30"/>
  <c r="CL30"/>
  <c r="BI30"/>
  <c r="CI31"/>
  <c r="CJ31"/>
  <c r="CL31"/>
  <c r="BI31"/>
  <c r="CI37"/>
  <c r="CJ37"/>
  <c r="CL37"/>
  <c r="BI37"/>
  <c r="CI45"/>
  <c r="BI45"/>
  <c r="CH46"/>
  <c r="CM46"/>
  <c r="CH47"/>
  <c r="CM47"/>
  <c r="BI48"/>
  <c r="BI49"/>
  <c r="CH50"/>
  <c r="CH51"/>
  <c r="CH53"/>
  <c r="CH54"/>
  <c r="CM54"/>
  <c r="CH55"/>
  <c r="CH56"/>
  <c r="CH57"/>
  <c r="CH58"/>
  <c r="CH61"/>
  <c r="CM61"/>
  <c r="CH62"/>
  <c r="CM62"/>
  <c r="CH63"/>
  <c r="CH68"/>
  <c r="CH70"/>
  <c r="CH73"/>
  <c r="CM73"/>
  <c r="CH74"/>
  <c r="CH75"/>
  <c r="CI75"/>
  <c r="BI75"/>
  <c r="CJ75"/>
  <c r="CL75"/>
  <c r="CH76"/>
  <c r="CI78"/>
  <c r="BI78"/>
  <c r="CH79"/>
  <c r="CM79"/>
  <c r="CH81"/>
  <c r="CH82"/>
  <c r="CH83"/>
  <c r="CM83"/>
  <c r="C86" i="25"/>
  <c r="CI84" i="10"/>
  <c r="BI84"/>
  <c r="CH85"/>
  <c r="CH86"/>
  <c r="CH87"/>
  <c r="CM87"/>
  <c r="CH89"/>
  <c r="BI89"/>
  <c r="CH91"/>
  <c r="CH93"/>
  <c r="CH94"/>
  <c r="CH95"/>
  <c r="CH96"/>
  <c r="CI96"/>
  <c r="BI96"/>
  <c r="CH98"/>
  <c r="CH100"/>
  <c r="CH102"/>
  <c r="BI102"/>
  <c r="CH104"/>
  <c r="CH105"/>
  <c r="CH106"/>
  <c r="CH107"/>
  <c r="CH108"/>
  <c r="CH109"/>
  <c r="CH112"/>
  <c r="CH113"/>
  <c r="CM113"/>
  <c r="F20" i="21"/>
  <c r="F82" i="37"/>
  <c r="F86"/>
  <c r="BI6" i="10"/>
  <c r="CI7"/>
  <c r="CK7" s="1"/>
  <c r="BI7"/>
  <c r="BI9"/>
  <c r="CI11"/>
  <c r="BI11"/>
  <c r="BI12"/>
  <c r="BI16"/>
  <c r="CI18"/>
  <c r="BI18"/>
  <c r="CI23"/>
  <c r="CK23"/>
  <c r="BI23"/>
  <c r="CI26"/>
  <c r="CJ26"/>
  <c r="CL26"/>
  <c r="BI26"/>
  <c r="CI28"/>
  <c r="BI28"/>
  <c r="CI29"/>
  <c r="CJ29"/>
  <c r="BI29"/>
  <c r="CL29"/>
  <c r="CI35"/>
  <c r="BI35"/>
  <c r="CI36"/>
  <c r="BI36"/>
  <c r="CI39"/>
  <c r="CJ39"/>
  <c r="BI39"/>
  <c r="CL39"/>
  <c r="BI40"/>
  <c r="CI41"/>
  <c r="CJ41"/>
  <c r="CL41"/>
  <c r="BI41"/>
  <c r="BI42"/>
  <c r="CI46"/>
  <c r="CJ46"/>
  <c r="CL46"/>
  <c r="BI46"/>
  <c r="CI47"/>
  <c r="CJ47"/>
  <c r="CL47"/>
  <c r="BI47"/>
  <c r="CI50"/>
  <c r="BI50"/>
  <c r="BI51"/>
  <c r="BI52"/>
  <c r="CI53"/>
  <c r="CJ53"/>
  <c r="CL53"/>
  <c r="BI53"/>
  <c r="CI54"/>
  <c r="CJ54"/>
  <c r="CL54"/>
  <c r="BI54"/>
  <c r="CI55"/>
  <c r="BI55"/>
  <c r="CI56"/>
  <c r="CJ56"/>
  <c r="CL56"/>
  <c r="BI56"/>
  <c r="CI57"/>
  <c r="BI57"/>
  <c r="CI58"/>
  <c r="BI58"/>
  <c r="BI59"/>
  <c r="CI60"/>
  <c r="BI60"/>
  <c r="CI61"/>
  <c r="BI61"/>
  <c r="CI62"/>
  <c r="CJ62"/>
  <c r="BI62"/>
  <c r="CL62"/>
  <c r="CI63"/>
  <c r="CJ63"/>
  <c r="BI63"/>
  <c r="CL63"/>
  <c r="BI64"/>
  <c r="CI65"/>
  <c r="BI65"/>
  <c r="BI66"/>
  <c r="CI67"/>
  <c r="CK67"/>
  <c r="BI67"/>
  <c r="CI68"/>
  <c r="CJ68"/>
  <c r="CL68"/>
  <c r="BI68"/>
  <c r="BI69"/>
  <c r="CI70"/>
  <c r="BI70"/>
  <c r="BI71"/>
  <c r="BI72"/>
  <c r="CI73"/>
  <c r="CJ73"/>
  <c r="CL73"/>
  <c r="BI73"/>
  <c r="CI74"/>
  <c r="BI74"/>
  <c r="CI76"/>
  <c r="BI76"/>
  <c r="BI77"/>
  <c r="CI79"/>
  <c r="CJ79"/>
  <c r="CL79"/>
  <c r="BI79"/>
  <c r="CI80"/>
  <c r="BI80"/>
  <c r="CI81"/>
  <c r="CJ81"/>
  <c r="CL81"/>
  <c r="BI81"/>
  <c r="CI82"/>
  <c r="CJ82"/>
  <c r="CL82"/>
  <c r="BI82"/>
  <c r="CI83"/>
  <c r="CK83"/>
  <c r="CJ83"/>
  <c r="CL83"/>
  <c r="BI83"/>
  <c r="CI85"/>
  <c r="CJ85"/>
  <c r="CL85"/>
  <c r="BI85"/>
  <c r="CI86"/>
  <c r="CJ86"/>
  <c r="CL86"/>
  <c r="BI86"/>
  <c r="CI87"/>
  <c r="CJ87"/>
  <c r="CL87"/>
  <c r="BI87"/>
  <c r="BI88"/>
  <c r="BI90"/>
  <c r="CI91"/>
  <c r="CK91"/>
  <c r="BI91"/>
  <c r="BI92"/>
  <c r="CI93"/>
  <c r="CJ93"/>
  <c r="BI93"/>
  <c r="CL93"/>
  <c r="CI94"/>
  <c r="BI94"/>
  <c r="CI95"/>
  <c r="BI95"/>
  <c r="CI97"/>
  <c r="BI97"/>
  <c r="CI98"/>
  <c r="CJ98"/>
  <c r="CL98"/>
  <c r="BI98"/>
  <c r="CI99"/>
  <c r="BI99"/>
  <c r="CI100"/>
  <c r="CJ100"/>
  <c r="CL100"/>
  <c r="BI100"/>
  <c r="BI101"/>
  <c r="BI103"/>
  <c r="BI104"/>
  <c r="CI105"/>
  <c r="CJ105"/>
  <c r="CL105"/>
  <c r="BI105"/>
  <c r="BI106"/>
  <c r="CI107"/>
  <c r="CK107"/>
  <c r="CJ107"/>
  <c r="CL107"/>
  <c r="BI107"/>
  <c r="BI108"/>
  <c r="CI109"/>
  <c r="CJ109"/>
  <c r="CL109"/>
  <c r="BI109"/>
  <c r="BI110"/>
  <c r="BI111"/>
  <c r="CI112"/>
  <c r="CJ112"/>
  <c r="CL112"/>
  <c r="BI112"/>
  <c r="CI113"/>
  <c r="CJ113"/>
  <c r="CL113"/>
  <c r="BI113"/>
  <c r="BI4"/>
  <c r="CD5"/>
  <c r="CD6"/>
  <c r="CD7"/>
  <c r="CD8"/>
  <c r="CD9"/>
  <c r="CD10"/>
  <c r="CD11"/>
  <c r="CD12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D85"/>
  <c r="CD86"/>
  <c r="CD87"/>
  <c r="CD88"/>
  <c r="CD89"/>
  <c r="CD90"/>
  <c r="CD91"/>
  <c r="CD92"/>
  <c r="CD93"/>
  <c r="CD94"/>
  <c r="CD95"/>
  <c r="CD96"/>
  <c r="CD97"/>
  <c r="CD98"/>
  <c r="CD99"/>
  <c r="CD100"/>
  <c r="CD101"/>
  <c r="CD102"/>
  <c r="CD103"/>
  <c r="CD104"/>
  <c r="CD105"/>
  <c r="CD106"/>
  <c r="CD107"/>
  <c r="CD108"/>
  <c r="CD109"/>
  <c r="CD110"/>
  <c r="CD111"/>
  <c r="CD112"/>
  <c r="CD113"/>
  <c r="CD4"/>
  <c r="AX4"/>
  <c r="D65" i="25"/>
  <c r="D82"/>
  <c r="D86"/>
  <c r="H82" i="21"/>
  <c r="H86"/>
  <c r="H20" i="37"/>
  <c r="H82"/>
  <c r="H86"/>
  <c r="P116" i="25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CC28" i="10"/>
  <c r="P31" i="25"/>
  <c r="P30"/>
  <c r="P29"/>
  <c r="P28"/>
  <c r="P27"/>
  <c r="P26"/>
  <c r="P24"/>
  <c r="P23"/>
  <c r="P22"/>
  <c r="P21"/>
  <c r="P20"/>
  <c r="P19"/>
  <c r="P18"/>
  <c r="P17"/>
  <c r="P16"/>
  <c r="P15"/>
  <c r="P14"/>
  <c r="P13"/>
  <c r="P12"/>
  <c r="P11"/>
  <c r="P10"/>
  <c r="P9"/>
  <c r="P8"/>
  <c r="CE4" i="10"/>
  <c r="P7" i="25"/>
  <c r="CE5" i="10"/>
  <c r="CE6"/>
  <c r="CE7"/>
  <c r="CE8"/>
  <c r="CE9"/>
  <c r="CE10"/>
  <c r="CE11"/>
  <c r="CE12"/>
  <c r="CE13"/>
  <c r="CE14"/>
  <c r="CE15"/>
  <c r="CE16"/>
  <c r="CE17"/>
  <c r="CE18"/>
  <c r="CE19"/>
  <c r="CE20"/>
  <c r="CE21"/>
  <c r="CE22"/>
  <c r="P25" i="25" s="1"/>
  <c r="CE23" i="10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109"/>
  <c r="CE110"/>
  <c r="CE111"/>
  <c r="CE112"/>
  <c r="CE113"/>
  <c r="U7" i="7"/>
  <c r="U8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4"/>
  <c r="U53"/>
  <c r="U51"/>
  <c r="U50"/>
  <c r="U49"/>
  <c r="U48"/>
  <c r="U47"/>
  <c r="U46"/>
  <c r="U45"/>
  <c r="U44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90"/>
  <c r="U89"/>
  <c r="U88"/>
  <c r="U87"/>
  <c r="U56"/>
  <c r="U55"/>
  <c r="U52"/>
  <c r="U43"/>
  <c r="U42"/>
  <c r="U41"/>
  <c r="U40"/>
  <c r="U39"/>
  <c r="U38"/>
  <c r="U37"/>
  <c r="U36"/>
  <c r="U35"/>
  <c r="U34"/>
  <c r="U33"/>
  <c r="U32"/>
  <c r="U31"/>
  <c r="AA7" i="21"/>
  <c r="AA8"/>
  <c r="AA24"/>
  <c r="BC24" s="1"/>
  <c r="I24"/>
  <c r="P24"/>
  <c r="AA23"/>
  <c r="BC23" s="1"/>
  <c r="BE23" s="1"/>
  <c r="I23"/>
  <c r="P23"/>
  <c r="AA22"/>
  <c r="BC22" s="1"/>
  <c r="I22"/>
  <c r="P22"/>
  <c r="AA21"/>
  <c r="BC21" s="1"/>
  <c r="BE21" s="1"/>
  <c r="I21"/>
  <c r="P21"/>
  <c r="AA20"/>
  <c r="BC20" s="1"/>
  <c r="I20"/>
  <c r="P20"/>
  <c r="AA19"/>
  <c r="P19"/>
  <c r="AA18"/>
  <c r="I18"/>
  <c r="BD18" s="1"/>
  <c r="P18"/>
  <c r="BC18" s="1"/>
  <c r="AA17"/>
  <c r="I17"/>
  <c r="P17"/>
  <c r="AA16"/>
  <c r="P16"/>
  <c r="AA15"/>
  <c r="P15"/>
  <c r="AA14"/>
  <c r="P14"/>
  <c r="BC14" s="1"/>
  <c r="AA13"/>
  <c r="I13"/>
  <c r="P13"/>
  <c r="BE13"/>
  <c r="AA12"/>
  <c r="P12"/>
  <c r="AA11"/>
  <c r="AA10"/>
  <c r="BC10" s="1"/>
  <c r="P10"/>
  <c r="AA9"/>
  <c r="I31"/>
  <c r="P31"/>
  <c r="AA30"/>
  <c r="I30"/>
  <c r="P30"/>
  <c r="BC30"/>
  <c r="BE30" s="1"/>
  <c r="AA29"/>
  <c r="I29"/>
  <c r="P29"/>
  <c r="BC29"/>
  <c r="BE29"/>
  <c r="AA28"/>
  <c r="I28"/>
  <c r="P28"/>
  <c r="BC28"/>
  <c r="AA27"/>
  <c r="I27"/>
  <c r="BE27"/>
  <c r="P27"/>
  <c r="BC27"/>
  <c r="AA26"/>
  <c r="BC26" s="1"/>
  <c r="I26"/>
  <c r="P26"/>
  <c r="AA25"/>
  <c r="BC25" s="1"/>
  <c r="I25"/>
  <c r="P25"/>
  <c r="BE25"/>
  <c r="I36"/>
  <c r="P36"/>
  <c r="I35"/>
  <c r="P35"/>
  <c r="I34"/>
  <c r="P34"/>
  <c r="BC34"/>
  <c r="I32"/>
  <c r="P32"/>
  <c r="I115"/>
  <c r="P115"/>
  <c r="BC115"/>
  <c r="BD115" s="1"/>
  <c r="I113"/>
  <c r="P113"/>
  <c r="BD113"/>
  <c r="I111"/>
  <c r="P111"/>
  <c r="BC111"/>
  <c r="BD111"/>
  <c r="I109"/>
  <c r="P109"/>
  <c r="BD109"/>
  <c r="AA107"/>
  <c r="BC107" s="1"/>
  <c r="I107"/>
  <c r="P107"/>
  <c r="BD107"/>
  <c r="AA106"/>
  <c r="BC106" s="1"/>
  <c r="AA105"/>
  <c r="BC105" s="1"/>
  <c r="I105"/>
  <c r="P105"/>
  <c r="BD105"/>
  <c r="AA104"/>
  <c r="BC104" s="1"/>
  <c r="AA103"/>
  <c r="I103"/>
  <c r="P103"/>
  <c r="BC103"/>
  <c r="BE103"/>
  <c r="BD103"/>
  <c r="AA102"/>
  <c r="BC102" s="1"/>
  <c r="AA101"/>
  <c r="BC101" s="1"/>
  <c r="BE101" s="1"/>
  <c r="I101"/>
  <c r="P101"/>
  <c r="AA100"/>
  <c r="AA99"/>
  <c r="I99"/>
  <c r="P99"/>
  <c r="BD99"/>
  <c r="AA98"/>
  <c r="AA97"/>
  <c r="I97"/>
  <c r="P97"/>
  <c r="BD97"/>
  <c r="AA96"/>
  <c r="AA95"/>
  <c r="BC95" s="1"/>
  <c r="I95"/>
  <c r="P95"/>
  <c r="BE95"/>
  <c r="BD95"/>
  <c r="AA94"/>
  <c r="AA93"/>
  <c r="I93"/>
  <c r="P93"/>
  <c r="BC93"/>
  <c r="AA92"/>
  <c r="AA91"/>
  <c r="I91"/>
  <c r="P91"/>
  <c r="BD91"/>
  <c r="I90"/>
  <c r="P90"/>
  <c r="I89"/>
  <c r="P89"/>
  <c r="I87"/>
  <c r="P87"/>
  <c r="BD87"/>
  <c r="I86"/>
  <c r="P86"/>
  <c r="AA86"/>
  <c r="BC86" s="1"/>
  <c r="AA85"/>
  <c r="BC85" s="1"/>
  <c r="I85"/>
  <c r="P85"/>
  <c r="BD85"/>
  <c r="AA84"/>
  <c r="BC84" s="1"/>
  <c r="AA83"/>
  <c r="I83"/>
  <c r="P83"/>
  <c r="BD83"/>
  <c r="AA82"/>
  <c r="AA81"/>
  <c r="I81"/>
  <c r="BE81"/>
  <c r="P81"/>
  <c r="BC81"/>
  <c r="BD81"/>
  <c r="AA80"/>
  <c r="BC80" s="1"/>
  <c r="AA79"/>
  <c r="I79"/>
  <c r="P79"/>
  <c r="BC79"/>
  <c r="BD79"/>
  <c r="AA78"/>
  <c r="I77"/>
  <c r="P77"/>
  <c r="AA77"/>
  <c r="I76"/>
  <c r="P76"/>
  <c r="AA76"/>
  <c r="BC76" s="1"/>
  <c r="BE76" s="1"/>
  <c r="I75"/>
  <c r="P75"/>
  <c r="AA75"/>
  <c r="BC75" s="1"/>
  <c r="BE75" s="1"/>
  <c r="AA74"/>
  <c r="I73"/>
  <c r="P73"/>
  <c r="AA73"/>
  <c r="BC73" s="1"/>
  <c r="AA72"/>
  <c r="BC72" s="1"/>
  <c r="AA71"/>
  <c r="AA70"/>
  <c r="AA69"/>
  <c r="BC69" s="1"/>
  <c r="I69"/>
  <c r="P69"/>
  <c r="AA68"/>
  <c r="BC68" s="1"/>
  <c r="AA67"/>
  <c r="BC67" s="1"/>
  <c r="I67"/>
  <c r="P67"/>
  <c r="AA66"/>
  <c r="BC66" s="1"/>
  <c r="AA65"/>
  <c r="I65"/>
  <c r="P65"/>
  <c r="BC65"/>
  <c r="BE65"/>
  <c r="AA64"/>
  <c r="AA63"/>
  <c r="BC63" s="1"/>
  <c r="I63"/>
  <c r="P63"/>
  <c r="BE63"/>
  <c r="AA62"/>
  <c r="AA61"/>
  <c r="AA60"/>
  <c r="AA59"/>
  <c r="BC59" s="1"/>
  <c r="I59"/>
  <c r="P59"/>
  <c r="BE59"/>
  <c r="AA58"/>
  <c r="BC58" s="1"/>
  <c r="AA57"/>
  <c r="I55"/>
  <c r="P55"/>
  <c r="AA54"/>
  <c r="AA53"/>
  <c r="I51"/>
  <c r="P51"/>
  <c r="AA51"/>
  <c r="AA50"/>
  <c r="I49"/>
  <c r="P49"/>
  <c r="AA49"/>
  <c r="BC49" s="1"/>
  <c r="BD49" s="1"/>
  <c r="BE49"/>
  <c r="AA48"/>
  <c r="BC48" s="1"/>
  <c r="I47"/>
  <c r="P47"/>
  <c r="AA47"/>
  <c r="AA46"/>
  <c r="BC46" s="1"/>
  <c r="I45"/>
  <c r="P45"/>
  <c r="AA45"/>
  <c r="I44"/>
  <c r="P44"/>
  <c r="AA44"/>
  <c r="I43"/>
  <c r="P43"/>
  <c r="I41"/>
  <c r="P41"/>
  <c r="BD41"/>
  <c r="I38"/>
  <c r="P38"/>
  <c r="I116"/>
  <c r="P116"/>
  <c r="BC116"/>
  <c r="BD116" s="1"/>
  <c r="AA31"/>
  <c r="BC31" s="1"/>
  <c r="BE31" s="1"/>
  <c r="BE26"/>
  <c r="AA37"/>
  <c r="BC37" s="1"/>
  <c r="AA36"/>
  <c r="BC36" s="1"/>
  <c r="BE36" s="1"/>
  <c r="AA35"/>
  <c r="AA32"/>
  <c r="BE111"/>
  <c r="AA90"/>
  <c r="BC90" s="1"/>
  <c r="AA89"/>
  <c r="BC89" s="1"/>
  <c r="BD89"/>
  <c r="AA88"/>
  <c r="BC88" s="1"/>
  <c r="AA87"/>
  <c r="BE69"/>
  <c r="AA56"/>
  <c r="AA55"/>
  <c r="AA52"/>
  <c r="BC52" s="1"/>
  <c r="AA43"/>
  <c r="BC43" s="1"/>
  <c r="BE43" s="1"/>
  <c r="AA42"/>
  <c r="AA41"/>
  <c r="BC41" s="1"/>
  <c r="BE41" s="1"/>
  <c r="AA40"/>
  <c r="BC40" s="1"/>
  <c r="AA39"/>
  <c r="BC39" s="1"/>
  <c r="AA38"/>
  <c r="AM7"/>
  <c r="AM8"/>
  <c r="AM9"/>
  <c r="AX9"/>
  <c r="AM10"/>
  <c r="AM11"/>
  <c r="AX11"/>
  <c r="AM12"/>
  <c r="AM13"/>
  <c r="AX13"/>
  <c r="AM14"/>
  <c r="AM15"/>
  <c r="AX15"/>
  <c r="AM16"/>
  <c r="AM17"/>
  <c r="AX17"/>
  <c r="AM18"/>
  <c r="AM19"/>
  <c r="AX19"/>
  <c r="AM20"/>
  <c r="AM21"/>
  <c r="AX21"/>
  <c r="AM22"/>
  <c r="AM23"/>
  <c r="AX23"/>
  <c r="AM24"/>
  <c r="AM31"/>
  <c r="AM25"/>
  <c r="AM26"/>
  <c r="AM27"/>
  <c r="AM28"/>
  <c r="AX28"/>
  <c r="AM29"/>
  <c r="AM30"/>
  <c r="AX30"/>
  <c r="AM32"/>
  <c r="AM33"/>
  <c r="AX33"/>
  <c r="AM34"/>
  <c r="AM35"/>
  <c r="AM36"/>
  <c r="AM37"/>
  <c r="AX37"/>
  <c r="AM38"/>
  <c r="AM39"/>
  <c r="AM40"/>
  <c r="AM41"/>
  <c r="AX41"/>
  <c r="AM42"/>
  <c r="AM43"/>
  <c r="AX43"/>
  <c r="AM44"/>
  <c r="AM45"/>
  <c r="AX45"/>
  <c r="AM46"/>
  <c r="AX46"/>
  <c r="AM47"/>
  <c r="AM48"/>
  <c r="AX48"/>
  <c r="AM49"/>
  <c r="AX49"/>
  <c r="AM50"/>
  <c r="AM51"/>
  <c r="AX51"/>
  <c r="AM52"/>
  <c r="AM53"/>
  <c r="AX53"/>
  <c r="AM54"/>
  <c r="AX54"/>
  <c r="AM55"/>
  <c r="AM56"/>
  <c r="AX56"/>
  <c r="AM57"/>
  <c r="AX57"/>
  <c r="AM58"/>
  <c r="AM59"/>
  <c r="AX59"/>
  <c r="AM60"/>
  <c r="AM61"/>
  <c r="AX61"/>
  <c r="AM62"/>
  <c r="AX62"/>
  <c r="AM63"/>
  <c r="AM64"/>
  <c r="AX64"/>
  <c r="AM65"/>
  <c r="AX65"/>
  <c r="AM66"/>
  <c r="AM67"/>
  <c r="AX67"/>
  <c r="AM68"/>
  <c r="AM69"/>
  <c r="AX69"/>
  <c r="AM70"/>
  <c r="AX70"/>
  <c r="AM71"/>
  <c r="AM72"/>
  <c r="AX72"/>
  <c r="AM73"/>
  <c r="AX73"/>
  <c r="AM74"/>
  <c r="AM75"/>
  <c r="AX75"/>
  <c r="AM76"/>
  <c r="AM77"/>
  <c r="AX77"/>
  <c r="AM78"/>
  <c r="AX78"/>
  <c r="AM79"/>
  <c r="AM80"/>
  <c r="AX80"/>
  <c r="AM81"/>
  <c r="AX81"/>
  <c r="AM82"/>
  <c r="AM83"/>
  <c r="AM84"/>
  <c r="AM85"/>
  <c r="AX85"/>
  <c r="AM86"/>
  <c r="AM87"/>
  <c r="AM88"/>
  <c r="AM89"/>
  <c r="AX89"/>
  <c r="AM90"/>
  <c r="AM91"/>
  <c r="AM92"/>
  <c r="AM93"/>
  <c r="AX93"/>
  <c r="AM94"/>
  <c r="AM95"/>
  <c r="AM96"/>
  <c r="AM97"/>
  <c r="AX97"/>
  <c r="AM98"/>
  <c r="AM99"/>
  <c r="AM100"/>
  <c r="AM101"/>
  <c r="AX101"/>
  <c r="AM102"/>
  <c r="AM103"/>
  <c r="AM104"/>
  <c r="AM105"/>
  <c r="AX105"/>
  <c r="AM106"/>
  <c r="AM107"/>
  <c r="AM108"/>
  <c r="AM109"/>
  <c r="AM110"/>
  <c r="AM111"/>
  <c r="AX111"/>
  <c r="AM112"/>
  <c r="AM113"/>
  <c r="AX113"/>
  <c r="AM114"/>
  <c r="AM115"/>
  <c r="AM116"/>
  <c r="AN7"/>
  <c r="AN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L31" i="7"/>
  <c r="AL9"/>
  <c r="AT9"/>
  <c r="AL7"/>
  <c r="AT7" s="1"/>
  <c r="AL8"/>
  <c r="AT8" s="1"/>
  <c r="AL10"/>
  <c r="AT10" s="1"/>
  <c r="AL11"/>
  <c r="AT11" s="1"/>
  <c r="AL12"/>
  <c r="AT12" s="1"/>
  <c r="AL13"/>
  <c r="AL14"/>
  <c r="AT14"/>
  <c r="AL15"/>
  <c r="AL16"/>
  <c r="AT16" s="1"/>
  <c r="AL17"/>
  <c r="AT17" s="1"/>
  <c r="AL18"/>
  <c r="AT18" s="1"/>
  <c r="AL19"/>
  <c r="AT19" s="1"/>
  <c r="AL20"/>
  <c r="AT20"/>
  <c r="AL21"/>
  <c r="AL22"/>
  <c r="AT22"/>
  <c r="AL23"/>
  <c r="AL24"/>
  <c r="AT24"/>
  <c r="AL25"/>
  <c r="AT25"/>
  <c r="AL26"/>
  <c r="AL27"/>
  <c r="AT27"/>
  <c r="AL28"/>
  <c r="AT28"/>
  <c r="AL29"/>
  <c r="AL30"/>
  <c r="AT30"/>
  <c r="AL32"/>
  <c r="AL33"/>
  <c r="AL34"/>
  <c r="AL35"/>
  <c r="AL36"/>
  <c r="AL37"/>
  <c r="AL38"/>
  <c r="AT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O9"/>
  <c r="AP9" s="1"/>
  <c r="AO10"/>
  <c r="AP10" s="1"/>
  <c r="AO11"/>
  <c r="AP11" s="1"/>
  <c r="AO14"/>
  <c r="AP14" s="1"/>
  <c r="AO15"/>
  <c r="AP15" s="1"/>
  <c r="AO16"/>
  <c r="AP16" s="1"/>
  <c r="Q116" i="21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BQ13" i="10"/>
  <c r="Q16" i="21"/>
  <c r="Q15"/>
  <c r="Q14"/>
  <c r="Q13"/>
  <c r="Q12"/>
  <c r="Q11"/>
  <c r="Q10"/>
  <c r="Q9"/>
  <c r="BQ5" i="10"/>
  <c r="Q8" i="21"/>
  <c r="BO4" i="10"/>
  <c r="Q7" i="21"/>
  <c r="V116" i="37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7"/>
  <c r="E8"/>
  <c r="AS8" s="1"/>
  <c r="E9"/>
  <c r="AS9" s="1"/>
  <c r="E10"/>
  <c r="AS10" s="1"/>
  <c r="E11"/>
  <c r="AS11" s="1"/>
  <c r="E12"/>
  <c r="AS12" s="1"/>
  <c r="E13"/>
  <c r="AS13" s="1"/>
  <c r="E14"/>
  <c r="AS14" s="1"/>
  <c r="E15"/>
  <c r="AS15" s="1"/>
  <c r="E16"/>
  <c r="AS16" s="1"/>
  <c r="E17"/>
  <c r="AS17" s="1"/>
  <c r="E18"/>
  <c r="AS18" s="1"/>
  <c r="E19"/>
  <c r="AS19" s="1"/>
  <c r="E20"/>
  <c r="AS20" s="1"/>
  <c r="E21"/>
  <c r="E22"/>
  <c r="AS22" s="1"/>
  <c r="E23"/>
  <c r="AS23" s="1"/>
  <c r="E24"/>
  <c r="AS24" s="1"/>
  <c r="E25"/>
  <c r="AS25" s="1"/>
  <c r="E26"/>
  <c r="AS26" s="1"/>
  <c r="E27"/>
  <c r="AS27" s="1"/>
  <c r="E28"/>
  <c r="AS28" s="1"/>
  <c r="E29"/>
  <c r="E30"/>
  <c r="AS30" s="1"/>
  <c r="E31"/>
  <c r="AS31" s="1"/>
  <c r="E32"/>
  <c r="AS32" s="1"/>
  <c r="E33"/>
  <c r="AS33" s="1"/>
  <c r="E34"/>
  <c r="AS34" s="1"/>
  <c r="E35"/>
  <c r="E36"/>
  <c r="AS36" s="1"/>
  <c r="E37"/>
  <c r="E38"/>
  <c r="AS38" s="1"/>
  <c r="E39"/>
  <c r="AS39" s="1"/>
  <c r="E40"/>
  <c r="AS40" s="1"/>
  <c r="E41"/>
  <c r="AS41" s="1"/>
  <c r="E42"/>
  <c r="AS42" s="1"/>
  <c r="E43"/>
  <c r="AS43" s="1"/>
  <c r="E44"/>
  <c r="AS44" s="1"/>
  <c r="E45"/>
  <c r="AS45" s="1"/>
  <c r="E46"/>
  <c r="AS46" s="1"/>
  <c r="E47"/>
  <c r="AS47" s="1"/>
  <c r="E48"/>
  <c r="AS48" s="1"/>
  <c r="E49"/>
  <c r="AS49" s="1"/>
  <c r="E50"/>
  <c r="AS50" s="1"/>
  <c r="E51"/>
  <c r="AS51" s="1"/>
  <c r="E52"/>
  <c r="AS52" s="1"/>
  <c r="E53"/>
  <c r="AS53" s="1"/>
  <c r="E54"/>
  <c r="AS54" s="1"/>
  <c r="E55"/>
  <c r="AS55" s="1"/>
  <c r="E56"/>
  <c r="E57"/>
  <c r="AS57" s="1"/>
  <c r="E58"/>
  <c r="AS58" s="1"/>
  <c r="E59"/>
  <c r="AS59" s="1"/>
  <c r="E60"/>
  <c r="AS60" s="1"/>
  <c r="E61"/>
  <c r="AS61" s="1"/>
  <c r="E62"/>
  <c r="AS62" s="1"/>
  <c r="E63"/>
  <c r="AS63" s="1"/>
  <c r="E64"/>
  <c r="AS64" s="1"/>
  <c r="E65"/>
  <c r="AS65" s="1"/>
  <c r="E66"/>
  <c r="AS66" s="1"/>
  <c r="E67"/>
  <c r="AS67" s="1"/>
  <c r="E68"/>
  <c r="AS68" s="1"/>
  <c r="E69"/>
  <c r="AS69" s="1"/>
  <c r="E70"/>
  <c r="AS70" s="1"/>
  <c r="E71"/>
  <c r="AS71" s="1"/>
  <c r="E72"/>
  <c r="AS72" s="1"/>
  <c r="E73"/>
  <c r="E74"/>
  <c r="AS74" s="1"/>
  <c r="E75"/>
  <c r="AS75" s="1"/>
  <c r="E76"/>
  <c r="AS76" s="1"/>
  <c r="E77"/>
  <c r="AS77" s="1"/>
  <c r="E78"/>
  <c r="AS78" s="1"/>
  <c r="E79"/>
  <c r="AS79" s="1"/>
  <c r="E80"/>
  <c r="AS80" s="1"/>
  <c r="E81"/>
  <c r="E82"/>
  <c r="AS82" s="1"/>
  <c r="E83"/>
  <c r="AS83" s="1"/>
  <c r="E84"/>
  <c r="AS84" s="1"/>
  <c r="E85"/>
  <c r="AS85" s="1"/>
  <c r="E86"/>
  <c r="AS86" s="1"/>
  <c r="E87"/>
  <c r="E88"/>
  <c r="AS88" s="1"/>
  <c r="E89"/>
  <c r="AS89" s="1"/>
  <c r="E90"/>
  <c r="AS90" s="1"/>
  <c r="E91"/>
  <c r="AS91" s="1"/>
  <c r="E92"/>
  <c r="AS92" s="1"/>
  <c r="E93"/>
  <c r="AS93" s="1"/>
  <c r="E94"/>
  <c r="E95"/>
  <c r="AS95" s="1"/>
  <c r="E96"/>
  <c r="AS96" s="1"/>
  <c r="E97"/>
  <c r="AS97" s="1"/>
  <c r="E98"/>
  <c r="AS98" s="1"/>
  <c r="E99"/>
  <c r="AS99" s="1"/>
  <c r="E100"/>
  <c r="AS100" s="1"/>
  <c r="E101"/>
  <c r="AS101" s="1"/>
  <c r="E102"/>
  <c r="AS102" s="1"/>
  <c r="E103"/>
  <c r="E104"/>
  <c r="AS104" s="1"/>
  <c r="E105"/>
  <c r="AS105" s="1"/>
  <c r="E106"/>
  <c r="E107"/>
  <c r="AS107" s="1"/>
  <c r="E108"/>
  <c r="AS108" s="1"/>
  <c r="E109"/>
  <c r="AS109" s="1"/>
  <c r="E110"/>
  <c r="AS110" s="1"/>
  <c r="E111"/>
  <c r="AS111" s="1"/>
  <c r="E112"/>
  <c r="AS112" s="1"/>
  <c r="E113"/>
  <c r="AS113" s="1"/>
  <c r="E114"/>
  <c r="AS114" s="1"/>
  <c r="E115"/>
  <c r="E116"/>
  <c r="AS116" s="1"/>
  <c r="E7"/>
  <c r="AS7" s="1"/>
  <c r="CM118" i="10"/>
  <c r="CL118"/>
  <c r="CK118"/>
  <c r="CJ118"/>
  <c r="CI118"/>
  <c r="CH118"/>
  <c r="CM117"/>
  <c r="CL117"/>
  <c r="CK117"/>
  <c r="CJ117"/>
  <c r="CI117"/>
  <c r="CH117"/>
  <c r="CM116"/>
  <c r="CL116"/>
  <c r="CK116"/>
  <c r="CJ116"/>
  <c r="CI116"/>
  <c r="CH116"/>
  <c r="CM115"/>
  <c r="CL115"/>
  <c r="CK115"/>
  <c r="CJ115"/>
  <c r="CI115"/>
  <c r="CH115"/>
  <c r="CM114"/>
  <c r="CL114"/>
  <c r="CK114"/>
  <c r="CJ114"/>
  <c r="CI114"/>
  <c r="CH114"/>
  <c r="AP7" i="37"/>
  <c r="AP8" s="1"/>
  <c r="AO8"/>
  <c r="AO7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N7"/>
  <c r="AN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Z8"/>
  <c r="A8" s="1"/>
  <c r="Z9"/>
  <c r="A9" s="1"/>
  <c r="Z10"/>
  <c r="A10" s="1"/>
  <c r="Z11"/>
  <c r="A11" s="1"/>
  <c r="Z12"/>
  <c r="A12" s="1"/>
  <c r="Z13"/>
  <c r="A13" s="1"/>
  <c r="Z14"/>
  <c r="A14" s="1"/>
  <c r="Z15"/>
  <c r="A15" s="1"/>
  <c r="Z16"/>
  <c r="A16" s="1"/>
  <c r="Z17"/>
  <c r="A17" s="1"/>
  <c r="Z18"/>
  <c r="A18" s="1"/>
  <c r="Z19"/>
  <c r="A19" s="1"/>
  <c r="Z20"/>
  <c r="A20" s="1"/>
  <c r="Z21"/>
  <c r="A21" s="1"/>
  <c r="Z22"/>
  <c r="A22" s="1"/>
  <c r="Z23"/>
  <c r="A23" s="1"/>
  <c r="Z24"/>
  <c r="A24" s="1"/>
  <c r="Z25"/>
  <c r="A25" s="1"/>
  <c r="Z26"/>
  <c r="A26" s="1"/>
  <c r="Z27"/>
  <c r="A27" s="1"/>
  <c r="Z28"/>
  <c r="A28" s="1"/>
  <c r="Z29"/>
  <c r="A29" s="1"/>
  <c r="Z30"/>
  <c r="A30" s="1"/>
  <c r="Z31"/>
  <c r="A31" s="1"/>
  <c r="Z32"/>
  <c r="A32" s="1"/>
  <c r="Z33"/>
  <c r="A33" s="1"/>
  <c r="Z34"/>
  <c r="A34" s="1"/>
  <c r="Z35"/>
  <c r="A35" s="1"/>
  <c r="Z36"/>
  <c r="A36" s="1"/>
  <c r="Z37"/>
  <c r="A37" s="1"/>
  <c r="Z38"/>
  <c r="A38" s="1"/>
  <c r="Z39"/>
  <c r="A39" s="1"/>
  <c r="Z40"/>
  <c r="A40" s="1"/>
  <c r="Z41"/>
  <c r="A41" s="1"/>
  <c r="Z42"/>
  <c r="A42" s="1"/>
  <c r="Z43"/>
  <c r="A43" s="1"/>
  <c r="Z44"/>
  <c r="A44" s="1"/>
  <c r="Z45"/>
  <c r="A45" s="1"/>
  <c r="Z46"/>
  <c r="A46" s="1"/>
  <c r="Z47"/>
  <c r="A47" s="1"/>
  <c r="Z48"/>
  <c r="A48" s="1"/>
  <c r="Z49"/>
  <c r="A49" s="1"/>
  <c r="Z50"/>
  <c r="A50" s="1"/>
  <c r="Z51"/>
  <c r="A51" s="1"/>
  <c r="Z52"/>
  <c r="A52" s="1"/>
  <c r="Z53"/>
  <c r="A53" s="1"/>
  <c r="Z54"/>
  <c r="A54" s="1"/>
  <c r="Z55"/>
  <c r="A55" s="1"/>
  <c r="Z56"/>
  <c r="A56" s="1"/>
  <c r="Z57"/>
  <c r="A57" s="1"/>
  <c r="Z58"/>
  <c r="A58" s="1"/>
  <c r="Z59"/>
  <c r="A59" s="1"/>
  <c r="Z60"/>
  <c r="A60" s="1"/>
  <c r="Z62"/>
  <c r="A62" s="1"/>
  <c r="Z63"/>
  <c r="A63" s="1"/>
  <c r="Z64"/>
  <c r="A64" s="1"/>
  <c r="Z65"/>
  <c r="A65" s="1"/>
  <c r="Z66"/>
  <c r="A66" s="1"/>
  <c r="Z67"/>
  <c r="A67" s="1"/>
  <c r="Z68"/>
  <c r="A68" s="1"/>
  <c r="Z69"/>
  <c r="A69" s="1"/>
  <c r="Z70"/>
  <c r="A70" s="1"/>
  <c r="Z71"/>
  <c r="A71" s="1"/>
  <c r="Z72"/>
  <c r="A72" s="1"/>
  <c r="Z73"/>
  <c r="A73" s="1"/>
  <c r="Z74"/>
  <c r="A74" s="1"/>
  <c r="Z75"/>
  <c r="A75" s="1"/>
  <c r="Z76"/>
  <c r="A76" s="1"/>
  <c r="Z77"/>
  <c r="A77" s="1"/>
  <c r="Z78"/>
  <c r="A78" s="1"/>
  <c r="Z79"/>
  <c r="A79" s="1"/>
  <c r="Z80"/>
  <c r="A80" s="1"/>
  <c r="Z81"/>
  <c r="A81" s="1"/>
  <c r="Z82"/>
  <c r="A82" s="1"/>
  <c r="Z83"/>
  <c r="A83" s="1"/>
  <c r="Z84"/>
  <c r="A84" s="1"/>
  <c r="Z85"/>
  <c r="A85" s="1"/>
  <c r="Z86"/>
  <c r="A86" s="1"/>
  <c r="Z87"/>
  <c r="A87" s="1"/>
  <c r="Z88"/>
  <c r="A88" s="1"/>
  <c r="Z89"/>
  <c r="A89" s="1"/>
  <c r="Z90"/>
  <c r="A90" s="1"/>
  <c r="Z91"/>
  <c r="A91" s="1"/>
  <c r="Z92"/>
  <c r="A92" s="1"/>
  <c r="Z93"/>
  <c r="A93" s="1"/>
  <c r="Z94"/>
  <c r="A94" s="1"/>
  <c r="Z95"/>
  <c r="A95" s="1"/>
  <c r="Z96"/>
  <c r="A96" s="1"/>
  <c r="Z97"/>
  <c r="A97" s="1"/>
  <c r="Z98"/>
  <c r="A98" s="1"/>
  <c r="Z99"/>
  <c r="A99" s="1"/>
  <c r="Z100"/>
  <c r="A100" s="1"/>
  <c r="Z101"/>
  <c r="A101" s="1"/>
  <c r="Z102"/>
  <c r="A102" s="1"/>
  <c r="Z103"/>
  <c r="A103" s="1"/>
  <c r="Z104"/>
  <c r="A104" s="1"/>
  <c r="Z105"/>
  <c r="A105" s="1"/>
  <c r="Z106"/>
  <c r="A106" s="1"/>
  <c r="Z107"/>
  <c r="A107" s="1"/>
  <c r="Z108"/>
  <c r="A108" s="1"/>
  <c r="Z109"/>
  <c r="A109" s="1"/>
  <c r="Z110"/>
  <c r="A110" s="1"/>
  <c r="Z111"/>
  <c r="A111" s="1"/>
  <c r="Z112"/>
  <c r="A112" s="1"/>
  <c r="Z113"/>
  <c r="A113" s="1"/>
  <c r="Z114"/>
  <c r="A114" s="1"/>
  <c r="Z115"/>
  <c r="A115" s="1"/>
  <c r="Z116"/>
  <c r="A116" s="1"/>
  <c r="Z7"/>
  <c r="A7" s="1"/>
  <c r="BC5" i="10"/>
  <c r="BD5"/>
  <c r="BE5"/>
  <c r="BF5"/>
  <c r="BG5"/>
  <c r="BH5"/>
  <c r="BJ5"/>
  <c r="BK5"/>
  <c r="BL5"/>
  <c r="BM5"/>
  <c r="BN5"/>
  <c r="BO5"/>
  <c r="BP5"/>
  <c r="BR5"/>
  <c r="BS5"/>
  <c r="BT5"/>
  <c r="BU5"/>
  <c r="BW5"/>
  <c r="BX5"/>
  <c r="BZ5"/>
  <c r="CA5"/>
  <c r="CB5"/>
  <c r="CC5"/>
  <c r="BC6"/>
  <c r="BD6"/>
  <c r="BE6"/>
  <c r="BF6"/>
  <c r="BG6"/>
  <c r="BH6"/>
  <c r="BJ6"/>
  <c r="BK6"/>
  <c r="BL6"/>
  <c r="BM6"/>
  <c r="BN6"/>
  <c r="BO6"/>
  <c r="BP6"/>
  <c r="BQ6"/>
  <c r="BR6"/>
  <c r="BS6"/>
  <c r="BT6"/>
  <c r="BU6"/>
  <c r="BW6"/>
  <c r="BX6"/>
  <c r="BZ6"/>
  <c r="CA6"/>
  <c r="CB6"/>
  <c r="CC6"/>
  <c r="BC7"/>
  <c r="BD7"/>
  <c r="BE7"/>
  <c r="BF7"/>
  <c r="BG7"/>
  <c r="BH7"/>
  <c r="BJ7"/>
  <c r="BK7"/>
  <c r="BL7"/>
  <c r="BM7"/>
  <c r="BN7"/>
  <c r="BO7"/>
  <c r="BP7"/>
  <c r="BQ7"/>
  <c r="BR7"/>
  <c r="BS7"/>
  <c r="BT7"/>
  <c r="BU7"/>
  <c r="BW7"/>
  <c r="BX7"/>
  <c r="BZ7"/>
  <c r="CA7"/>
  <c r="CB7"/>
  <c r="CC7"/>
  <c r="BC8"/>
  <c r="BD8"/>
  <c r="BE8"/>
  <c r="BF8"/>
  <c r="BG8"/>
  <c r="BH8"/>
  <c r="BJ8"/>
  <c r="BK8"/>
  <c r="BL8"/>
  <c r="BM8"/>
  <c r="BN8"/>
  <c r="BO8"/>
  <c r="BP8"/>
  <c r="BQ8"/>
  <c r="BR8"/>
  <c r="BS8"/>
  <c r="BT8"/>
  <c r="BU8"/>
  <c r="BW8"/>
  <c r="BX8"/>
  <c r="BZ8"/>
  <c r="CA8"/>
  <c r="CB8"/>
  <c r="CC8"/>
  <c r="BC9"/>
  <c r="BD9"/>
  <c r="BE9"/>
  <c r="BF9"/>
  <c r="BG9"/>
  <c r="BH9"/>
  <c r="BJ9"/>
  <c r="BK9"/>
  <c r="BL9"/>
  <c r="BM9"/>
  <c r="BN9"/>
  <c r="BO9"/>
  <c r="BP9"/>
  <c r="BQ9"/>
  <c r="BR9"/>
  <c r="BS9"/>
  <c r="BT9"/>
  <c r="BU9"/>
  <c r="BW9"/>
  <c r="BX9"/>
  <c r="BZ9"/>
  <c r="CA9"/>
  <c r="CB9"/>
  <c r="CC9"/>
  <c r="BC10"/>
  <c r="BD10"/>
  <c r="BE10"/>
  <c r="BF10"/>
  <c r="BG10"/>
  <c r="BH10"/>
  <c r="BJ10"/>
  <c r="BK10"/>
  <c r="BL10"/>
  <c r="BM10"/>
  <c r="BN10"/>
  <c r="BO10"/>
  <c r="BP10"/>
  <c r="BQ10"/>
  <c r="BR10"/>
  <c r="BS10"/>
  <c r="BT10"/>
  <c r="BU10"/>
  <c r="BW10"/>
  <c r="BX10"/>
  <c r="BZ10"/>
  <c r="CA10"/>
  <c r="CB10"/>
  <c r="CC10"/>
  <c r="BC11"/>
  <c r="BD11"/>
  <c r="BE11"/>
  <c r="BF11"/>
  <c r="BG11"/>
  <c r="BH11"/>
  <c r="BJ11"/>
  <c r="BK11"/>
  <c r="BL11"/>
  <c r="BM11"/>
  <c r="BN11"/>
  <c r="BO11"/>
  <c r="BP11"/>
  <c r="BQ11"/>
  <c r="BR11"/>
  <c r="BS11"/>
  <c r="BT11"/>
  <c r="BU11"/>
  <c r="BW11"/>
  <c r="BX11"/>
  <c r="BZ11"/>
  <c r="CA11"/>
  <c r="CB11"/>
  <c r="CC11"/>
  <c r="BC12"/>
  <c r="BD12"/>
  <c r="BE12"/>
  <c r="BF12"/>
  <c r="BG12"/>
  <c r="BH12"/>
  <c r="BJ12"/>
  <c r="BK12"/>
  <c r="BL12"/>
  <c r="BM12"/>
  <c r="BN12"/>
  <c r="BO12"/>
  <c r="BP12"/>
  <c r="BQ12"/>
  <c r="BR12"/>
  <c r="BS12"/>
  <c r="BT12"/>
  <c r="BU12"/>
  <c r="BW12"/>
  <c r="BX12"/>
  <c r="BZ12"/>
  <c r="CA12"/>
  <c r="CB12"/>
  <c r="CC12"/>
  <c r="BC13"/>
  <c r="BD13"/>
  <c r="BE13"/>
  <c r="BF13"/>
  <c r="BG13"/>
  <c r="BH13"/>
  <c r="BJ13"/>
  <c r="BK13"/>
  <c r="BL13"/>
  <c r="BM13"/>
  <c r="BN13"/>
  <c r="BO13"/>
  <c r="BP13"/>
  <c r="BR13"/>
  <c r="BS13"/>
  <c r="BT13"/>
  <c r="BU13"/>
  <c r="BW13"/>
  <c r="BX13"/>
  <c r="BZ13"/>
  <c r="CA13"/>
  <c r="CB13"/>
  <c r="CC13"/>
  <c r="BC14"/>
  <c r="BD14"/>
  <c r="BE14"/>
  <c r="BF14"/>
  <c r="BG14"/>
  <c r="BH14"/>
  <c r="BJ14"/>
  <c r="BK14"/>
  <c r="BL14"/>
  <c r="BM14"/>
  <c r="BN14"/>
  <c r="BO14"/>
  <c r="BP14"/>
  <c r="BQ14"/>
  <c r="BR14"/>
  <c r="BS14"/>
  <c r="BT14"/>
  <c r="BU14"/>
  <c r="BW14"/>
  <c r="BX14"/>
  <c r="BZ14"/>
  <c r="CA14"/>
  <c r="CB14"/>
  <c r="CC14"/>
  <c r="BC15"/>
  <c r="BD15"/>
  <c r="BE15"/>
  <c r="BF15"/>
  <c r="BG15"/>
  <c r="BH15"/>
  <c r="BJ15"/>
  <c r="BK15"/>
  <c r="BL15"/>
  <c r="BM15"/>
  <c r="BN15"/>
  <c r="BO15"/>
  <c r="BP15"/>
  <c r="BQ15"/>
  <c r="BR15"/>
  <c r="BS15"/>
  <c r="BT15"/>
  <c r="BU15"/>
  <c r="BW15"/>
  <c r="BX15"/>
  <c r="BZ15"/>
  <c r="CA15"/>
  <c r="CB15"/>
  <c r="CC15"/>
  <c r="BC16"/>
  <c r="BD16"/>
  <c r="BE16"/>
  <c r="BF16"/>
  <c r="BG16"/>
  <c r="BH16"/>
  <c r="BJ16"/>
  <c r="BK16"/>
  <c r="BL16"/>
  <c r="BM16"/>
  <c r="BN16"/>
  <c r="BO16"/>
  <c r="BP16"/>
  <c r="BQ16"/>
  <c r="BR16"/>
  <c r="BS16"/>
  <c r="BT16"/>
  <c r="BU16"/>
  <c r="BW16"/>
  <c r="BX16"/>
  <c r="BZ16"/>
  <c r="CA16"/>
  <c r="CB16"/>
  <c r="CC16"/>
  <c r="BC17"/>
  <c r="BD17"/>
  <c r="BE17"/>
  <c r="BF17"/>
  <c r="BG17"/>
  <c r="BH17"/>
  <c r="BJ17"/>
  <c r="BK17"/>
  <c r="BL17"/>
  <c r="BM17"/>
  <c r="BN17"/>
  <c r="BO17"/>
  <c r="BP17"/>
  <c r="BQ17"/>
  <c r="BR17"/>
  <c r="BS17"/>
  <c r="BT17"/>
  <c r="BU17"/>
  <c r="BW17"/>
  <c r="BX17"/>
  <c r="BZ17"/>
  <c r="CA17"/>
  <c r="CB17"/>
  <c r="CC17"/>
  <c r="BC18"/>
  <c r="BD18"/>
  <c r="BE18"/>
  <c r="BF18"/>
  <c r="BG18"/>
  <c r="BH18"/>
  <c r="BJ18"/>
  <c r="BK18"/>
  <c r="BL18"/>
  <c r="BM18"/>
  <c r="BN18"/>
  <c r="BO18"/>
  <c r="BP18"/>
  <c r="BQ18"/>
  <c r="BR18"/>
  <c r="BS18"/>
  <c r="BT18"/>
  <c r="BU18"/>
  <c r="BW18"/>
  <c r="BX18"/>
  <c r="BZ18"/>
  <c r="CA18"/>
  <c r="CB18"/>
  <c r="CC18"/>
  <c r="BC19"/>
  <c r="BD19"/>
  <c r="BE19"/>
  <c r="BF19"/>
  <c r="BG19"/>
  <c r="BH19"/>
  <c r="BJ19"/>
  <c r="BK19"/>
  <c r="BL19"/>
  <c r="BM19"/>
  <c r="BN19"/>
  <c r="BO19"/>
  <c r="BP19"/>
  <c r="BQ19"/>
  <c r="BR19"/>
  <c r="BS19"/>
  <c r="BT19"/>
  <c r="BU19"/>
  <c r="BW19"/>
  <c r="BX19"/>
  <c r="BZ19"/>
  <c r="CA19"/>
  <c r="CB19"/>
  <c r="CC19"/>
  <c r="BC20"/>
  <c r="BD20"/>
  <c r="BE20"/>
  <c r="BF20"/>
  <c r="BG20"/>
  <c r="BH20"/>
  <c r="BJ20"/>
  <c r="BK20"/>
  <c r="BL20"/>
  <c r="BM20"/>
  <c r="BN20"/>
  <c r="BO20"/>
  <c r="BP20"/>
  <c r="BQ20"/>
  <c r="BR20"/>
  <c r="BS20"/>
  <c r="BT20"/>
  <c r="BU20"/>
  <c r="BW20"/>
  <c r="BX20"/>
  <c r="BZ20"/>
  <c r="CA20"/>
  <c r="CB20"/>
  <c r="CC20"/>
  <c r="BC21"/>
  <c r="BD21"/>
  <c r="BE21"/>
  <c r="BF21"/>
  <c r="BG21"/>
  <c r="BH21"/>
  <c r="BJ21"/>
  <c r="BK21"/>
  <c r="BL21"/>
  <c r="BM21"/>
  <c r="BN21"/>
  <c r="BO21"/>
  <c r="BP21"/>
  <c r="BQ21"/>
  <c r="BR21"/>
  <c r="BS21"/>
  <c r="BT21"/>
  <c r="BU21"/>
  <c r="BW21"/>
  <c r="BX21"/>
  <c r="BZ21"/>
  <c r="CA21"/>
  <c r="CB21"/>
  <c r="CC21"/>
  <c r="BC22"/>
  <c r="BD22"/>
  <c r="BE22"/>
  <c r="BF22"/>
  <c r="BG22"/>
  <c r="BH22"/>
  <c r="BJ22"/>
  <c r="BK22"/>
  <c r="BL22"/>
  <c r="BM22"/>
  <c r="BN22"/>
  <c r="BO22"/>
  <c r="BP22"/>
  <c r="BQ22"/>
  <c r="BR22"/>
  <c r="BS22"/>
  <c r="BT22"/>
  <c r="BU22"/>
  <c r="BW22"/>
  <c r="BX22"/>
  <c r="BZ22"/>
  <c r="CA22"/>
  <c r="CB22"/>
  <c r="CC22"/>
  <c r="BC23"/>
  <c r="BD23"/>
  <c r="BE23"/>
  <c r="BF23"/>
  <c r="BG23"/>
  <c r="BH23"/>
  <c r="BJ23"/>
  <c r="BK23"/>
  <c r="BL23"/>
  <c r="BM23"/>
  <c r="BN23"/>
  <c r="BO23"/>
  <c r="BP23"/>
  <c r="BQ23"/>
  <c r="BR23"/>
  <c r="BS23"/>
  <c r="BT23"/>
  <c r="BU23"/>
  <c r="BW23"/>
  <c r="BX23"/>
  <c r="BZ23"/>
  <c r="CA23"/>
  <c r="CB23"/>
  <c r="CC23"/>
  <c r="BC24"/>
  <c r="BD24"/>
  <c r="BE24"/>
  <c r="BF24"/>
  <c r="BG24"/>
  <c r="BH24"/>
  <c r="BJ24"/>
  <c r="BK24"/>
  <c r="BL24"/>
  <c r="BM24"/>
  <c r="BN24"/>
  <c r="BO24"/>
  <c r="BP24"/>
  <c r="BQ24"/>
  <c r="BR24"/>
  <c r="BS24"/>
  <c r="BT24"/>
  <c r="BU24"/>
  <c r="BW24"/>
  <c r="BX24"/>
  <c r="BZ24"/>
  <c r="CA24"/>
  <c r="CB24"/>
  <c r="CC24"/>
  <c r="BC25"/>
  <c r="BD25"/>
  <c r="BE25"/>
  <c r="BF25"/>
  <c r="BG25"/>
  <c r="BH25"/>
  <c r="BJ25"/>
  <c r="BK25"/>
  <c r="BL25"/>
  <c r="BM25"/>
  <c r="BN25"/>
  <c r="BO25"/>
  <c r="BP25"/>
  <c r="BQ25"/>
  <c r="BR25"/>
  <c r="BS25"/>
  <c r="BT25"/>
  <c r="BU25"/>
  <c r="BW25"/>
  <c r="BX25"/>
  <c r="BZ25"/>
  <c r="CA25"/>
  <c r="CB25"/>
  <c r="CC25"/>
  <c r="BC26"/>
  <c r="BD26"/>
  <c r="BE26"/>
  <c r="BF26"/>
  <c r="BG26"/>
  <c r="BH26"/>
  <c r="BJ26"/>
  <c r="BK26"/>
  <c r="BL26"/>
  <c r="BM26"/>
  <c r="BN26"/>
  <c r="BO26"/>
  <c r="BP26"/>
  <c r="BQ26"/>
  <c r="BR26"/>
  <c r="BS26"/>
  <c r="BT26"/>
  <c r="BU26"/>
  <c r="BW26"/>
  <c r="BX26"/>
  <c r="BZ26"/>
  <c r="CA26"/>
  <c r="CB26"/>
  <c r="CC26"/>
  <c r="BC27"/>
  <c r="BD27"/>
  <c r="BE27"/>
  <c r="BF27"/>
  <c r="BG27"/>
  <c r="BH27"/>
  <c r="BJ27"/>
  <c r="BK27"/>
  <c r="BL27"/>
  <c r="BM27"/>
  <c r="BN27"/>
  <c r="BO27"/>
  <c r="BP27"/>
  <c r="BQ27"/>
  <c r="BR27"/>
  <c r="BS27"/>
  <c r="BT27"/>
  <c r="BU27"/>
  <c r="BW27"/>
  <c r="BX27"/>
  <c r="BZ27"/>
  <c r="CA27"/>
  <c r="CB27"/>
  <c r="CC27"/>
  <c r="BC28"/>
  <c r="BD28"/>
  <c r="BE28"/>
  <c r="BF28"/>
  <c r="BG28"/>
  <c r="BH28"/>
  <c r="BJ28"/>
  <c r="BK28"/>
  <c r="BL28"/>
  <c r="BM28"/>
  <c r="BN28"/>
  <c r="BO28"/>
  <c r="BP28"/>
  <c r="BQ28"/>
  <c r="BR28"/>
  <c r="BS28"/>
  <c r="BT28"/>
  <c r="BU28"/>
  <c r="BW28"/>
  <c r="BX28"/>
  <c r="BZ28"/>
  <c r="CA28"/>
  <c r="CB28"/>
  <c r="BC29"/>
  <c r="BD29"/>
  <c r="BE29"/>
  <c r="BF29"/>
  <c r="BG29"/>
  <c r="BH29"/>
  <c r="BJ29"/>
  <c r="BK29"/>
  <c r="BL29"/>
  <c r="BM29"/>
  <c r="BN29"/>
  <c r="BO29"/>
  <c r="BP29"/>
  <c r="BQ29"/>
  <c r="BR29"/>
  <c r="BS29"/>
  <c r="BT29"/>
  <c r="BU29"/>
  <c r="BW29"/>
  <c r="BX29"/>
  <c r="BZ29"/>
  <c r="CA29"/>
  <c r="CB29"/>
  <c r="CC29"/>
  <c r="BC30"/>
  <c r="BD30"/>
  <c r="BE30"/>
  <c r="BF30"/>
  <c r="BG30"/>
  <c r="BH30"/>
  <c r="BJ30"/>
  <c r="BK30"/>
  <c r="BL30"/>
  <c r="BM30"/>
  <c r="BN30"/>
  <c r="BO30"/>
  <c r="BP30"/>
  <c r="BQ30"/>
  <c r="BR30"/>
  <c r="BS30"/>
  <c r="BT30"/>
  <c r="BU30"/>
  <c r="BW30"/>
  <c r="BX30"/>
  <c r="BZ30"/>
  <c r="CA30"/>
  <c r="CB30"/>
  <c r="CC30"/>
  <c r="BC31"/>
  <c r="BD31"/>
  <c r="BE31"/>
  <c r="BF31"/>
  <c r="BG31"/>
  <c r="BH31"/>
  <c r="BJ31"/>
  <c r="BK31"/>
  <c r="BL31"/>
  <c r="BM31"/>
  <c r="BN31"/>
  <c r="BO31"/>
  <c r="BP31"/>
  <c r="BQ31"/>
  <c r="BR31"/>
  <c r="BS31"/>
  <c r="BT31"/>
  <c r="BU31"/>
  <c r="BW31"/>
  <c r="BX31"/>
  <c r="BZ31"/>
  <c r="CA31"/>
  <c r="CB31"/>
  <c r="CC31"/>
  <c r="BC32"/>
  <c r="BD32"/>
  <c r="BE32"/>
  <c r="BF32"/>
  <c r="BG32"/>
  <c r="BH32"/>
  <c r="BJ32"/>
  <c r="BK32"/>
  <c r="BL32"/>
  <c r="BM32"/>
  <c r="BN32"/>
  <c r="BO32"/>
  <c r="BP32"/>
  <c r="BQ32"/>
  <c r="BR32"/>
  <c r="BS32"/>
  <c r="BT32"/>
  <c r="BU32"/>
  <c r="BW32"/>
  <c r="BX32"/>
  <c r="BZ32"/>
  <c r="CA32"/>
  <c r="CB32"/>
  <c r="CC32"/>
  <c r="BC33"/>
  <c r="BD33"/>
  <c r="BE33"/>
  <c r="BF33"/>
  <c r="BG33"/>
  <c r="BH33"/>
  <c r="BJ33"/>
  <c r="BK33"/>
  <c r="BL33"/>
  <c r="BM33"/>
  <c r="BN33"/>
  <c r="BO33"/>
  <c r="BP33"/>
  <c r="BQ33"/>
  <c r="BR33"/>
  <c r="BS33"/>
  <c r="BT33"/>
  <c r="BU33"/>
  <c r="BW33"/>
  <c r="BX33"/>
  <c r="BZ33"/>
  <c r="CA33"/>
  <c r="CB33"/>
  <c r="CC33"/>
  <c r="BC34"/>
  <c r="BD34"/>
  <c r="BE34"/>
  <c r="BF34"/>
  <c r="BG34"/>
  <c r="BH34"/>
  <c r="BJ34"/>
  <c r="BK34"/>
  <c r="BL34"/>
  <c r="BM34"/>
  <c r="BN34"/>
  <c r="BO34"/>
  <c r="BP34"/>
  <c r="BQ34"/>
  <c r="BR34"/>
  <c r="BS34"/>
  <c r="BT34"/>
  <c r="BU34"/>
  <c r="BW34"/>
  <c r="BX34"/>
  <c r="BZ34"/>
  <c r="CA34"/>
  <c r="CB34"/>
  <c r="CC34"/>
  <c r="BC35"/>
  <c r="BD35"/>
  <c r="BE35"/>
  <c r="BF35"/>
  <c r="BG35"/>
  <c r="BH35"/>
  <c r="BJ35"/>
  <c r="BK35"/>
  <c r="BL35"/>
  <c r="BM35"/>
  <c r="BN35"/>
  <c r="BO35"/>
  <c r="BP35"/>
  <c r="BQ35"/>
  <c r="BR35"/>
  <c r="BS35"/>
  <c r="BT35"/>
  <c r="BU35"/>
  <c r="BW35"/>
  <c r="BX35"/>
  <c r="BZ35"/>
  <c r="CA35"/>
  <c r="CB35"/>
  <c r="CC35"/>
  <c r="BC36"/>
  <c r="BD36"/>
  <c r="BE36"/>
  <c r="BF36"/>
  <c r="BG36"/>
  <c r="BH36"/>
  <c r="BJ36"/>
  <c r="BK36"/>
  <c r="BL36"/>
  <c r="BM36"/>
  <c r="BN36"/>
  <c r="BO36"/>
  <c r="BP36"/>
  <c r="BQ36"/>
  <c r="BR36"/>
  <c r="BS36"/>
  <c r="BT36"/>
  <c r="BU36"/>
  <c r="BW36"/>
  <c r="BX36"/>
  <c r="BZ36"/>
  <c r="CA36"/>
  <c r="CB36"/>
  <c r="CC36"/>
  <c r="BC37"/>
  <c r="BD37"/>
  <c r="BE37"/>
  <c r="BF37"/>
  <c r="BG37"/>
  <c r="BH37"/>
  <c r="BJ37"/>
  <c r="BK37"/>
  <c r="BL37"/>
  <c r="BM37"/>
  <c r="BN37"/>
  <c r="BO37"/>
  <c r="BP37"/>
  <c r="BQ37"/>
  <c r="BR37"/>
  <c r="BS37"/>
  <c r="BT37"/>
  <c r="BU37"/>
  <c r="BW37"/>
  <c r="BX37"/>
  <c r="BZ37"/>
  <c r="CA37"/>
  <c r="CB37"/>
  <c r="CC37"/>
  <c r="BC38"/>
  <c r="BD38"/>
  <c r="BE38"/>
  <c r="BF38"/>
  <c r="BG38"/>
  <c r="BH38"/>
  <c r="BJ38"/>
  <c r="BK38"/>
  <c r="BL38"/>
  <c r="BM38"/>
  <c r="BN38"/>
  <c r="BO38"/>
  <c r="BP38"/>
  <c r="BQ38"/>
  <c r="BR38"/>
  <c r="BS38"/>
  <c r="BT38"/>
  <c r="BU38"/>
  <c r="BW38"/>
  <c r="BX38"/>
  <c r="BZ38"/>
  <c r="CA38"/>
  <c r="CB38"/>
  <c r="CC38"/>
  <c r="BC39"/>
  <c r="BD39"/>
  <c r="BE39"/>
  <c r="BF39"/>
  <c r="BG39"/>
  <c r="BH39"/>
  <c r="BJ39"/>
  <c r="BK39"/>
  <c r="BL39"/>
  <c r="BM39"/>
  <c r="BN39"/>
  <c r="BO39"/>
  <c r="BP39"/>
  <c r="BQ39"/>
  <c r="BR39"/>
  <c r="BS39"/>
  <c r="BT39"/>
  <c r="BU39"/>
  <c r="BW39"/>
  <c r="BX39"/>
  <c r="BZ39"/>
  <c r="CA39"/>
  <c r="CB39"/>
  <c r="CC39"/>
  <c r="BC40"/>
  <c r="BD40"/>
  <c r="BE40"/>
  <c r="BF40"/>
  <c r="BG40"/>
  <c r="BH40"/>
  <c r="BJ40"/>
  <c r="BK40"/>
  <c r="BL40"/>
  <c r="BM40"/>
  <c r="BN40"/>
  <c r="BO40"/>
  <c r="BP40"/>
  <c r="BQ40"/>
  <c r="BR40"/>
  <c r="BS40"/>
  <c r="BT40"/>
  <c r="BU40"/>
  <c r="BW40"/>
  <c r="BX40"/>
  <c r="BZ40"/>
  <c r="CA40"/>
  <c r="CB40"/>
  <c r="CC40"/>
  <c r="BC41"/>
  <c r="BD41"/>
  <c r="BE41"/>
  <c r="BF41"/>
  <c r="BG41"/>
  <c r="BH41"/>
  <c r="BJ41"/>
  <c r="BK41"/>
  <c r="BL41"/>
  <c r="BM41"/>
  <c r="BN41"/>
  <c r="BO41"/>
  <c r="BP41"/>
  <c r="BQ41"/>
  <c r="BR41"/>
  <c r="BS41"/>
  <c r="BT41"/>
  <c r="BU41"/>
  <c r="BW41"/>
  <c r="BX41"/>
  <c r="BZ41"/>
  <c r="CA41"/>
  <c r="CB41"/>
  <c r="CC41"/>
  <c r="BC42"/>
  <c r="BD42"/>
  <c r="BE42"/>
  <c r="BF42"/>
  <c r="BG42"/>
  <c r="BH42"/>
  <c r="BJ42"/>
  <c r="BK42"/>
  <c r="BL42"/>
  <c r="BM42"/>
  <c r="BN42"/>
  <c r="BO42"/>
  <c r="BP42"/>
  <c r="BQ42"/>
  <c r="BR42"/>
  <c r="BS42"/>
  <c r="BT42"/>
  <c r="BU42"/>
  <c r="BW42"/>
  <c r="BX42"/>
  <c r="BZ42"/>
  <c r="CA42"/>
  <c r="CB42"/>
  <c r="CC42"/>
  <c r="BC43"/>
  <c r="BD43"/>
  <c r="BE43"/>
  <c r="BF43"/>
  <c r="BG43"/>
  <c r="BH43"/>
  <c r="BJ43"/>
  <c r="BK43"/>
  <c r="BL43"/>
  <c r="BM43"/>
  <c r="BN43"/>
  <c r="BO43"/>
  <c r="BP43"/>
  <c r="BQ43"/>
  <c r="BR43"/>
  <c r="BS43"/>
  <c r="BT43"/>
  <c r="BU43"/>
  <c r="BW43"/>
  <c r="BX43"/>
  <c r="BZ43"/>
  <c r="CA43"/>
  <c r="CB43"/>
  <c r="CC43"/>
  <c r="BC44"/>
  <c r="BD44"/>
  <c r="BE44"/>
  <c r="BF44"/>
  <c r="BG44"/>
  <c r="BH44"/>
  <c r="BJ44"/>
  <c r="BK44"/>
  <c r="BL44"/>
  <c r="BM44"/>
  <c r="BN44"/>
  <c r="BO44"/>
  <c r="BP44"/>
  <c r="BQ44"/>
  <c r="BR44"/>
  <c r="BS44"/>
  <c r="BT44"/>
  <c r="BU44"/>
  <c r="BW44"/>
  <c r="BX44"/>
  <c r="BZ44"/>
  <c r="CA44"/>
  <c r="CB44"/>
  <c r="CC44"/>
  <c r="BC45"/>
  <c r="BD45"/>
  <c r="BE45"/>
  <c r="BF45"/>
  <c r="BG45"/>
  <c r="BH45"/>
  <c r="BJ45"/>
  <c r="BK45"/>
  <c r="BL45"/>
  <c r="BM45"/>
  <c r="BN45"/>
  <c r="BO45"/>
  <c r="BP45"/>
  <c r="BQ45"/>
  <c r="BR45"/>
  <c r="BS45"/>
  <c r="BT45"/>
  <c r="BU45"/>
  <c r="BW45"/>
  <c r="BX45"/>
  <c r="BZ45"/>
  <c r="CA45"/>
  <c r="CB45"/>
  <c r="CC45"/>
  <c r="BC46"/>
  <c r="BD46"/>
  <c r="BE46"/>
  <c r="BF46"/>
  <c r="BG46"/>
  <c r="BH46"/>
  <c r="BJ46"/>
  <c r="BK46"/>
  <c r="BL46"/>
  <c r="BM46"/>
  <c r="BN46"/>
  <c r="BO46"/>
  <c r="BP46"/>
  <c r="BQ46"/>
  <c r="BR46"/>
  <c r="BS46"/>
  <c r="BT46"/>
  <c r="BU46"/>
  <c r="BW46"/>
  <c r="BX46"/>
  <c r="BZ46"/>
  <c r="CA46"/>
  <c r="CB46"/>
  <c r="CC46"/>
  <c r="BC47"/>
  <c r="BD47"/>
  <c r="BE47"/>
  <c r="BF47"/>
  <c r="BG47"/>
  <c r="BH47"/>
  <c r="BJ47"/>
  <c r="BK47"/>
  <c r="BL47"/>
  <c r="BM47"/>
  <c r="BN47"/>
  <c r="BO47"/>
  <c r="BP47"/>
  <c r="BQ47"/>
  <c r="BR47"/>
  <c r="BS47"/>
  <c r="BT47"/>
  <c r="BU47"/>
  <c r="BW47"/>
  <c r="BX47"/>
  <c r="BZ47"/>
  <c r="CA47"/>
  <c r="CB47"/>
  <c r="CC47"/>
  <c r="BC48"/>
  <c r="BD48"/>
  <c r="BE48"/>
  <c r="BF48"/>
  <c r="BG48"/>
  <c r="BH48"/>
  <c r="BJ48"/>
  <c r="BK48"/>
  <c r="BL48"/>
  <c r="BM48"/>
  <c r="BN48"/>
  <c r="BO48"/>
  <c r="BP48"/>
  <c r="BQ48"/>
  <c r="BR48"/>
  <c r="BS48"/>
  <c r="BT48"/>
  <c r="BU48"/>
  <c r="BW48"/>
  <c r="BX48"/>
  <c r="BZ48"/>
  <c r="CA48"/>
  <c r="CB48"/>
  <c r="CC48"/>
  <c r="BC49"/>
  <c r="BD49"/>
  <c r="BE49"/>
  <c r="BF49"/>
  <c r="BG49"/>
  <c r="BH49"/>
  <c r="BJ49"/>
  <c r="BK49"/>
  <c r="BL49"/>
  <c r="BM49"/>
  <c r="BN49"/>
  <c r="BO49"/>
  <c r="BP49"/>
  <c r="BQ49"/>
  <c r="BR49"/>
  <c r="BS49"/>
  <c r="BT49"/>
  <c r="BU49"/>
  <c r="BW49"/>
  <c r="BX49"/>
  <c r="BZ49"/>
  <c r="CA49"/>
  <c r="CB49"/>
  <c r="CC49"/>
  <c r="BC50"/>
  <c r="BD50"/>
  <c r="BE50"/>
  <c r="BF50"/>
  <c r="BG50"/>
  <c r="BH50"/>
  <c r="BJ50"/>
  <c r="BK50"/>
  <c r="BL50"/>
  <c r="BM50"/>
  <c r="BN50"/>
  <c r="BO50"/>
  <c r="BP50"/>
  <c r="BQ50"/>
  <c r="BR50"/>
  <c r="BS50"/>
  <c r="BT50"/>
  <c r="BU50"/>
  <c r="BW50"/>
  <c r="BX50"/>
  <c r="BZ50"/>
  <c r="CA50"/>
  <c r="CB50"/>
  <c r="CC50"/>
  <c r="BC51"/>
  <c r="BD51"/>
  <c r="BE51"/>
  <c r="BF51"/>
  <c r="BG51"/>
  <c r="BH51"/>
  <c r="BJ51"/>
  <c r="BK51"/>
  <c r="BL51"/>
  <c r="BM51"/>
  <c r="BN51"/>
  <c r="BO51"/>
  <c r="BP51"/>
  <c r="BQ51"/>
  <c r="BR51"/>
  <c r="BS51"/>
  <c r="BT51"/>
  <c r="BU51"/>
  <c r="BW51"/>
  <c r="BX51"/>
  <c r="BZ51"/>
  <c r="CA51"/>
  <c r="CB51"/>
  <c r="CC51"/>
  <c r="BC52"/>
  <c r="BD52"/>
  <c r="BE52"/>
  <c r="BF52"/>
  <c r="BG52"/>
  <c r="BH52"/>
  <c r="BJ52"/>
  <c r="BK52"/>
  <c r="BL52"/>
  <c r="BM52"/>
  <c r="BN52"/>
  <c r="BO52"/>
  <c r="BP52"/>
  <c r="BQ52"/>
  <c r="BR52"/>
  <c r="BS52"/>
  <c r="BT52"/>
  <c r="BU52"/>
  <c r="BW52"/>
  <c r="BX52"/>
  <c r="BZ52"/>
  <c r="CA52"/>
  <c r="CB52"/>
  <c r="CC52"/>
  <c r="BC53"/>
  <c r="BD53"/>
  <c r="BE53"/>
  <c r="BF53"/>
  <c r="BG53"/>
  <c r="BH53"/>
  <c r="BJ53"/>
  <c r="BK53"/>
  <c r="BL53"/>
  <c r="BM53"/>
  <c r="BN53"/>
  <c r="BO53"/>
  <c r="BP53"/>
  <c r="BQ53"/>
  <c r="BR53"/>
  <c r="BS53"/>
  <c r="BT53"/>
  <c r="BU53"/>
  <c r="BW53"/>
  <c r="BX53"/>
  <c r="BZ53"/>
  <c r="CA53"/>
  <c r="CB53"/>
  <c r="CC53"/>
  <c r="BC54"/>
  <c r="BD54"/>
  <c r="BE54"/>
  <c r="BF54"/>
  <c r="BG54"/>
  <c r="BH54"/>
  <c r="BJ54"/>
  <c r="BK54"/>
  <c r="BL54"/>
  <c r="BM54"/>
  <c r="BN54"/>
  <c r="BO54"/>
  <c r="BP54"/>
  <c r="BQ54"/>
  <c r="BR54"/>
  <c r="BS54"/>
  <c r="BT54"/>
  <c r="BU54"/>
  <c r="BW54"/>
  <c r="BX54"/>
  <c r="BZ54"/>
  <c r="CA54"/>
  <c r="CB54"/>
  <c r="CC54"/>
  <c r="BC55"/>
  <c r="BD55"/>
  <c r="BE55"/>
  <c r="BF55"/>
  <c r="BG55"/>
  <c r="BH55"/>
  <c r="BJ55"/>
  <c r="BK55"/>
  <c r="BL55"/>
  <c r="BM55"/>
  <c r="BN55"/>
  <c r="BO55"/>
  <c r="BP55"/>
  <c r="BQ55"/>
  <c r="BR55"/>
  <c r="BS55"/>
  <c r="BT55"/>
  <c r="BU55"/>
  <c r="BW55"/>
  <c r="BX55"/>
  <c r="BZ55"/>
  <c r="CA55"/>
  <c r="CB55"/>
  <c r="CC55"/>
  <c r="BC56"/>
  <c r="BD56"/>
  <c r="BE56"/>
  <c r="BF56"/>
  <c r="BG56"/>
  <c r="BH56"/>
  <c r="BJ56"/>
  <c r="BK56"/>
  <c r="BL56"/>
  <c r="BM56"/>
  <c r="BN56"/>
  <c r="BO56"/>
  <c r="BP56"/>
  <c r="BQ56"/>
  <c r="BR56"/>
  <c r="BS56"/>
  <c r="BT56"/>
  <c r="BU56"/>
  <c r="BW56"/>
  <c r="BX56"/>
  <c r="BZ56"/>
  <c r="CA56"/>
  <c r="CB56"/>
  <c r="CC56"/>
  <c r="BC57"/>
  <c r="BD57"/>
  <c r="BE57"/>
  <c r="BF57"/>
  <c r="BG57"/>
  <c r="BH57"/>
  <c r="BJ57"/>
  <c r="BK57"/>
  <c r="BL57"/>
  <c r="BM57"/>
  <c r="BN57"/>
  <c r="BO57"/>
  <c r="BP57"/>
  <c r="BQ57"/>
  <c r="BR57"/>
  <c r="BS57"/>
  <c r="BT57"/>
  <c r="BU57"/>
  <c r="BW57"/>
  <c r="BX57"/>
  <c r="BZ57"/>
  <c r="CA57"/>
  <c r="CB57"/>
  <c r="CC57"/>
  <c r="BC58"/>
  <c r="BD58"/>
  <c r="BE58"/>
  <c r="BF58"/>
  <c r="BG58"/>
  <c r="BH58"/>
  <c r="BJ58"/>
  <c r="BK58"/>
  <c r="BL58"/>
  <c r="BM58"/>
  <c r="BN58"/>
  <c r="BO58"/>
  <c r="BP58"/>
  <c r="BQ58"/>
  <c r="BR58"/>
  <c r="BS58"/>
  <c r="BT58"/>
  <c r="BU58"/>
  <c r="BW58"/>
  <c r="BX58"/>
  <c r="BZ58"/>
  <c r="CA58"/>
  <c r="CB58"/>
  <c r="CC58"/>
  <c r="BC59"/>
  <c r="BD59"/>
  <c r="BE59"/>
  <c r="BF59"/>
  <c r="BG59"/>
  <c r="BH59"/>
  <c r="BJ59"/>
  <c r="BK59"/>
  <c r="BL59"/>
  <c r="BM59"/>
  <c r="BN59"/>
  <c r="BO59"/>
  <c r="BP59"/>
  <c r="BQ59"/>
  <c r="BR59"/>
  <c r="BS59"/>
  <c r="BT59"/>
  <c r="BU59"/>
  <c r="BW59"/>
  <c r="BX59"/>
  <c r="BZ59"/>
  <c r="CA59"/>
  <c r="CB59"/>
  <c r="CC59"/>
  <c r="BC60"/>
  <c r="BD60"/>
  <c r="BE60"/>
  <c r="BF60"/>
  <c r="BG60"/>
  <c r="BH60"/>
  <c r="BJ60"/>
  <c r="BK60"/>
  <c r="BL60"/>
  <c r="BM60"/>
  <c r="BN60"/>
  <c r="BO60"/>
  <c r="BP60"/>
  <c r="BQ60"/>
  <c r="BR60"/>
  <c r="BS60"/>
  <c r="BT60"/>
  <c r="BU60"/>
  <c r="BW60"/>
  <c r="BX60"/>
  <c r="BZ60"/>
  <c r="CA60"/>
  <c r="CB60"/>
  <c r="CC60"/>
  <c r="BC61"/>
  <c r="BD61"/>
  <c r="BE61"/>
  <c r="BF61"/>
  <c r="BG61"/>
  <c r="BH61"/>
  <c r="BJ61"/>
  <c r="BK61"/>
  <c r="BL61"/>
  <c r="BM61"/>
  <c r="BN61"/>
  <c r="BO61"/>
  <c r="BP61"/>
  <c r="BQ61"/>
  <c r="BR61"/>
  <c r="BS61"/>
  <c r="BT61"/>
  <c r="BU61"/>
  <c r="BW61"/>
  <c r="BX61"/>
  <c r="BZ61"/>
  <c r="CA61"/>
  <c r="CB61"/>
  <c r="CC61"/>
  <c r="BC62"/>
  <c r="BD62"/>
  <c r="BE62"/>
  <c r="BF62"/>
  <c r="BG62"/>
  <c r="BH62"/>
  <c r="BJ62"/>
  <c r="BK62"/>
  <c r="BL62"/>
  <c r="BM62"/>
  <c r="BN62"/>
  <c r="BO62"/>
  <c r="BP62"/>
  <c r="BQ62"/>
  <c r="BR62"/>
  <c r="BS62"/>
  <c r="BT62"/>
  <c r="BU62"/>
  <c r="BW62"/>
  <c r="BX62"/>
  <c r="BZ62"/>
  <c r="CA62"/>
  <c r="CB62"/>
  <c r="CC62"/>
  <c r="BC63"/>
  <c r="BD63"/>
  <c r="BE63"/>
  <c r="BF63"/>
  <c r="BG63"/>
  <c r="BH63"/>
  <c r="BJ63"/>
  <c r="BK63"/>
  <c r="BL63"/>
  <c r="BM63"/>
  <c r="BN63"/>
  <c r="BO63"/>
  <c r="BP63"/>
  <c r="BQ63"/>
  <c r="BR63"/>
  <c r="BS63"/>
  <c r="BT63"/>
  <c r="BU63"/>
  <c r="BW63"/>
  <c r="BX63"/>
  <c r="BZ63"/>
  <c r="CA63"/>
  <c r="CB63"/>
  <c r="CC63"/>
  <c r="BC64"/>
  <c r="BD64"/>
  <c r="BE64"/>
  <c r="BF64"/>
  <c r="BG64"/>
  <c r="BH64"/>
  <c r="BJ64"/>
  <c r="BK64"/>
  <c r="BL64"/>
  <c r="BM64"/>
  <c r="BN64"/>
  <c r="BO64"/>
  <c r="BP64"/>
  <c r="BQ64"/>
  <c r="BR64"/>
  <c r="BS64"/>
  <c r="BT64"/>
  <c r="BU64"/>
  <c r="BW64"/>
  <c r="BX64"/>
  <c r="BZ64"/>
  <c r="CA64"/>
  <c r="CB64"/>
  <c r="CC64"/>
  <c r="BC65"/>
  <c r="BD65"/>
  <c r="BE65"/>
  <c r="BF65"/>
  <c r="BG65"/>
  <c r="BH65"/>
  <c r="BJ65"/>
  <c r="BK65"/>
  <c r="BL65"/>
  <c r="BM65"/>
  <c r="BN65"/>
  <c r="BO65"/>
  <c r="BP65"/>
  <c r="BQ65"/>
  <c r="BR65"/>
  <c r="BS65"/>
  <c r="BT65"/>
  <c r="BU65"/>
  <c r="BW65"/>
  <c r="BX65"/>
  <c r="BZ65"/>
  <c r="CA65"/>
  <c r="CB65"/>
  <c r="CC65"/>
  <c r="BC66"/>
  <c r="BD66"/>
  <c r="BE66"/>
  <c r="BF66"/>
  <c r="BG66"/>
  <c r="BH66"/>
  <c r="BJ66"/>
  <c r="BK66"/>
  <c r="BL66"/>
  <c r="BM66"/>
  <c r="BN66"/>
  <c r="BO66"/>
  <c r="BP66"/>
  <c r="BQ66"/>
  <c r="BR66"/>
  <c r="BS66"/>
  <c r="BT66"/>
  <c r="BU66"/>
  <c r="BW66"/>
  <c r="BX66"/>
  <c r="BZ66"/>
  <c r="CA66"/>
  <c r="CB66"/>
  <c r="CC66"/>
  <c r="BC67"/>
  <c r="BD67"/>
  <c r="BE67"/>
  <c r="BF67"/>
  <c r="BG67"/>
  <c r="BH67"/>
  <c r="BJ67"/>
  <c r="BK67"/>
  <c r="BL67"/>
  <c r="BM67"/>
  <c r="BN67"/>
  <c r="BO67"/>
  <c r="BP67"/>
  <c r="BQ67"/>
  <c r="BR67"/>
  <c r="BS67"/>
  <c r="BT67"/>
  <c r="BU67"/>
  <c r="BW67"/>
  <c r="BX67"/>
  <c r="BZ67"/>
  <c r="CA67"/>
  <c r="CB67"/>
  <c r="CC67"/>
  <c r="BC68"/>
  <c r="BD68"/>
  <c r="BE68"/>
  <c r="BF68"/>
  <c r="BG68"/>
  <c r="BH68"/>
  <c r="BJ68"/>
  <c r="BK68"/>
  <c r="BL68"/>
  <c r="BM68"/>
  <c r="BN68"/>
  <c r="BO68"/>
  <c r="BP68"/>
  <c r="BQ68"/>
  <c r="BR68"/>
  <c r="BS68"/>
  <c r="BT68"/>
  <c r="BU68"/>
  <c r="BW68"/>
  <c r="BX68"/>
  <c r="BZ68"/>
  <c r="CA68"/>
  <c r="CB68"/>
  <c r="CC68"/>
  <c r="BC69"/>
  <c r="BD69"/>
  <c r="BE69"/>
  <c r="BF69"/>
  <c r="BG69"/>
  <c r="BH69"/>
  <c r="BJ69"/>
  <c r="BK69"/>
  <c r="BL69"/>
  <c r="BM69"/>
  <c r="BN69"/>
  <c r="BO69"/>
  <c r="BP69"/>
  <c r="BQ69"/>
  <c r="BR69"/>
  <c r="BS69"/>
  <c r="BT69"/>
  <c r="BU69"/>
  <c r="BW69"/>
  <c r="BX69"/>
  <c r="BZ69"/>
  <c r="CA69"/>
  <c r="CB69"/>
  <c r="CC69"/>
  <c r="BC70"/>
  <c r="BD70"/>
  <c r="BE70"/>
  <c r="BF70"/>
  <c r="BG70"/>
  <c r="BH70"/>
  <c r="BJ70"/>
  <c r="BK70"/>
  <c r="BL70"/>
  <c r="BM70"/>
  <c r="BN70"/>
  <c r="BO70"/>
  <c r="BP70"/>
  <c r="BQ70"/>
  <c r="BR70"/>
  <c r="BS70"/>
  <c r="BT70"/>
  <c r="BU70"/>
  <c r="BW70"/>
  <c r="BX70"/>
  <c r="BZ70"/>
  <c r="CA70"/>
  <c r="CB70"/>
  <c r="CC70"/>
  <c r="BC71"/>
  <c r="BD71"/>
  <c r="BE71"/>
  <c r="BF71"/>
  <c r="BG71"/>
  <c r="BH71"/>
  <c r="BJ71"/>
  <c r="BK71"/>
  <c r="BL71"/>
  <c r="BM71"/>
  <c r="BN71"/>
  <c r="BO71"/>
  <c r="BP71"/>
  <c r="BQ71"/>
  <c r="BR71"/>
  <c r="BS71"/>
  <c r="BT71"/>
  <c r="BU71"/>
  <c r="BW71"/>
  <c r="BX71"/>
  <c r="BZ71"/>
  <c r="CA71"/>
  <c r="CB71"/>
  <c r="CC71"/>
  <c r="BC72"/>
  <c r="BD72"/>
  <c r="BE72"/>
  <c r="BF72"/>
  <c r="BG72"/>
  <c r="BH72"/>
  <c r="BJ72"/>
  <c r="BK72"/>
  <c r="BL72"/>
  <c r="BM72"/>
  <c r="BN72"/>
  <c r="BO72"/>
  <c r="BP72"/>
  <c r="BQ72"/>
  <c r="BR72"/>
  <c r="BS72"/>
  <c r="BT72"/>
  <c r="BU72"/>
  <c r="BW72"/>
  <c r="BX72"/>
  <c r="BZ72"/>
  <c r="CA72"/>
  <c r="CB72"/>
  <c r="CC72"/>
  <c r="BC73"/>
  <c r="BD73"/>
  <c r="BE73"/>
  <c r="BF73"/>
  <c r="BG73"/>
  <c r="BH73"/>
  <c r="BJ73"/>
  <c r="BK73"/>
  <c r="BL73"/>
  <c r="BM73"/>
  <c r="BN73"/>
  <c r="BO73"/>
  <c r="BP73"/>
  <c r="BQ73"/>
  <c r="BR73"/>
  <c r="BS73"/>
  <c r="BT73"/>
  <c r="BU73"/>
  <c r="BW73"/>
  <c r="BX73"/>
  <c r="BZ73"/>
  <c r="CA73"/>
  <c r="CB73"/>
  <c r="CC73"/>
  <c r="BC74"/>
  <c r="BD74"/>
  <c r="BE74"/>
  <c r="BF74"/>
  <c r="BG74"/>
  <c r="BH74"/>
  <c r="BJ74"/>
  <c r="BK74"/>
  <c r="BL74"/>
  <c r="BM74"/>
  <c r="BN74"/>
  <c r="BO74"/>
  <c r="BP74"/>
  <c r="BQ74"/>
  <c r="BR74"/>
  <c r="BS74"/>
  <c r="BT74"/>
  <c r="BU74"/>
  <c r="BW74"/>
  <c r="BX74"/>
  <c r="BZ74"/>
  <c r="CA74"/>
  <c r="CB74"/>
  <c r="CC74"/>
  <c r="BC75"/>
  <c r="BD75"/>
  <c r="BE75"/>
  <c r="BF75"/>
  <c r="BG75"/>
  <c r="BH75"/>
  <c r="BJ75"/>
  <c r="BK75"/>
  <c r="BL75"/>
  <c r="BM75"/>
  <c r="BN75"/>
  <c r="BO75"/>
  <c r="BP75"/>
  <c r="BQ75"/>
  <c r="BR75"/>
  <c r="BS75"/>
  <c r="BT75"/>
  <c r="BU75"/>
  <c r="BW75"/>
  <c r="BX75"/>
  <c r="BZ75"/>
  <c r="CA75"/>
  <c r="CB75"/>
  <c r="CC75"/>
  <c r="BC76"/>
  <c r="BD76"/>
  <c r="BE76"/>
  <c r="BF76"/>
  <c r="BG76"/>
  <c r="BH76"/>
  <c r="BJ76"/>
  <c r="BK76"/>
  <c r="BL76"/>
  <c r="BM76"/>
  <c r="BN76"/>
  <c r="BO76"/>
  <c r="BP76"/>
  <c r="BQ76"/>
  <c r="BR76"/>
  <c r="BS76"/>
  <c r="BT76"/>
  <c r="BU76"/>
  <c r="BW76"/>
  <c r="BX76"/>
  <c r="BZ76"/>
  <c r="CA76"/>
  <c r="CB76"/>
  <c r="CC76"/>
  <c r="BC77"/>
  <c r="BD77"/>
  <c r="BE77"/>
  <c r="BF77"/>
  <c r="BG77"/>
  <c r="BH77"/>
  <c r="BJ77"/>
  <c r="BK77"/>
  <c r="BL77"/>
  <c r="BM77"/>
  <c r="BN77"/>
  <c r="BO77"/>
  <c r="BP77"/>
  <c r="BQ77"/>
  <c r="BR77"/>
  <c r="BS77"/>
  <c r="BT77"/>
  <c r="BU77"/>
  <c r="BW77"/>
  <c r="BX77"/>
  <c r="BZ77"/>
  <c r="CA77"/>
  <c r="CB77"/>
  <c r="CC77"/>
  <c r="BC78"/>
  <c r="BD78"/>
  <c r="BE78"/>
  <c r="BF78"/>
  <c r="BG78"/>
  <c r="BH78"/>
  <c r="BJ78"/>
  <c r="BK78"/>
  <c r="BL78"/>
  <c r="BM78"/>
  <c r="BN78"/>
  <c r="BO78"/>
  <c r="BP78"/>
  <c r="BQ78"/>
  <c r="BR78"/>
  <c r="BS78"/>
  <c r="BT78"/>
  <c r="BU78"/>
  <c r="BW78"/>
  <c r="BX78"/>
  <c r="BZ78"/>
  <c r="CA78"/>
  <c r="CB78"/>
  <c r="CC78"/>
  <c r="BC79"/>
  <c r="BD79"/>
  <c r="BE79"/>
  <c r="BF79"/>
  <c r="BG79"/>
  <c r="BH79"/>
  <c r="BJ79"/>
  <c r="BK79"/>
  <c r="BL79"/>
  <c r="BM79"/>
  <c r="BN79"/>
  <c r="BO79"/>
  <c r="BP79"/>
  <c r="BQ79"/>
  <c r="BR79"/>
  <c r="BS79"/>
  <c r="BT79"/>
  <c r="BU79"/>
  <c r="BW79"/>
  <c r="BX79"/>
  <c r="BZ79"/>
  <c r="CA79"/>
  <c r="CB79"/>
  <c r="CC79"/>
  <c r="BC80"/>
  <c r="BD80"/>
  <c r="BE80"/>
  <c r="BF80"/>
  <c r="BG80"/>
  <c r="BH80"/>
  <c r="BJ80"/>
  <c r="BK80"/>
  <c r="BL80"/>
  <c r="BM80"/>
  <c r="BN80"/>
  <c r="BO80"/>
  <c r="BP80"/>
  <c r="BQ80"/>
  <c r="BR80"/>
  <c r="BS80"/>
  <c r="BT80"/>
  <c r="BU80"/>
  <c r="BW80"/>
  <c r="BX80"/>
  <c r="BZ80"/>
  <c r="CA80"/>
  <c r="CB80"/>
  <c r="CC80"/>
  <c r="BC81"/>
  <c r="BD81"/>
  <c r="BE81"/>
  <c r="BF81"/>
  <c r="BG81"/>
  <c r="BH81"/>
  <c r="BJ81"/>
  <c r="BK81"/>
  <c r="BL81"/>
  <c r="BM81"/>
  <c r="BN81"/>
  <c r="BO81"/>
  <c r="BP81"/>
  <c r="BQ81"/>
  <c r="BR81"/>
  <c r="BS81"/>
  <c r="BT81"/>
  <c r="BU81"/>
  <c r="BW81"/>
  <c r="BX81"/>
  <c r="BZ81"/>
  <c r="CA81"/>
  <c r="CB81"/>
  <c r="CC81"/>
  <c r="BC82"/>
  <c r="BD82"/>
  <c r="BE82"/>
  <c r="BF82"/>
  <c r="BG82"/>
  <c r="BH82"/>
  <c r="BJ82"/>
  <c r="BK82"/>
  <c r="BL82"/>
  <c r="BM82"/>
  <c r="BN82"/>
  <c r="BO82"/>
  <c r="BP82"/>
  <c r="BQ82"/>
  <c r="BR82"/>
  <c r="BS82"/>
  <c r="BT82"/>
  <c r="BU82"/>
  <c r="BW82"/>
  <c r="BX82"/>
  <c r="BZ82"/>
  <c r="CA82"/>
  <c r="CB82"/>
  <c r="CC82"/>
  <c r="BC83"/>
  <c r="BD83"/>
  <c r="BE83"/>
  <c r="BF83"/>
  <c r="BG83"/>
  <c r="BH83"/>
  <c r="BJ83"/>
  <c r="BK83"/>
  <c r="BL83"/>
  <c r="BM83"/>
  <c r="BN83"/>
  <c r="BO83"/>
  <c r="BP83"/>
  <c r="BQ83"/>
  <c r="BR83"/>
  <c r="BS83"/>
  <c r="BT83"/>
  <c r="BU83"/>
  <c r="BW83"/>
  <c r="BX83"/>
  <c r="BZ83"/>
  <c r="CA83"/>
  <c r="CB83"/>
  <c r="CC83"/>
  <c r="BC84"/>
  <c r="BD84"/>
  <c r="BE84"/>
  <c r="BF84"/>
  <c r="BG84"/>
  <c r="BH84"/>
  <c r="BJ84"/>
  <c r="BK84"/>
  <c r="BL84"/>
  <c r="BM84"/>
  <c r="BN84"/>
  <c r="BO84"/>
  <c r="BP84"/>
  <c r="BQ84"/>
  <c r="BR84"/>
  <c r="BS84"/>
  <c r="BT84"/>
  <c r="BU84"/>
  <c r="BW84"/>
  <c r="BX84"/>
  <c r="BZ84"/>
  <c r="CA84"/>
  <c r="CB84"/>
  <c r="CC84"/>
  <c r="BC85"/>
  <c r="BD85"/>
  <c r="BE85"/>
  <c r="BF85"/>
  <c r="BG85"/>
  <c r="BH85"/>
  <c r="BJ85"/>
  <c r="BK85"/>
  <c r="BL85"/>
  <c r="BM85"/>
  <c r="BN85"/>
  <c r="BO85"/>
  <c r="BP85"/>
  <c r="BQ85"/>
  <c r="BR85"/>
  <c r="BS85"/>
  <c r="BT85"/>
  <c r="BU85"/>
  <c r="BW85"/>
  <c r="BX85"/>
  <c r="BZ85"/>
  <c r="CA85"/>
  <c r="CB85"/>
  <c r="CC85"/>
  <c r="BC86"/>
  <c r="BD86"/>
  <c r="BE86"/>
  <c r="BF86"/>
  <c r="BG86"/>
  <c r="BH86"/>
  <c r="BJ86"/>
  <c r="BK86"/>
  <c r="BL86"/>
  <c r="BM86"/>
  <c r="BN86"/>
  <c r="BO86"/>
  <c r="BP86"/>
  <c r="BQ86"/>
  <c r="BR86"/>
  <c r="BS86"/>
  <c r="BT86"/>
  <c r="BU86"/>
  <c r="BW86"/>
  <c r="BX86"/>
  <c r="BZ86"/>
  <c r="CA86"/>
  <c r="CB86"/>
  <c r="CC86"/>
  <c r="BC87"/>
  <c r="BD87"/>
  <c r="BE87"/>
  <c r="BF87"/>
  <c r="BG87"/>
  <c r="BH87"/>
  <c r="BJ87"/>
  <c r="BK87"/>
  <c r="BL87"/>
  <c r="BM87"/>
  <c r="BN87"/>
  <c r="BO87"/>
  <c r="BP87"/>
  <c r="BQ87"/>
  <c r="BR87"/>
  <c r="BS87"/>
  <c r="BT87"/>
  <c r="BU87"/>
  <c r="BW87"/>
  <c r="BX87"/>
  <c r="BZ87"/>
  <c r="CA87"/>
  <c r="CB87"/>
  <c r="CC87"/>
  <c r="BC88"/>
  <c r="BD88"/>
  <c r="BE88"/>
  <c r="BF88"/>
  <c r="BG88"/>
  <c r="BH88"/>
  <c r="BJ88"/>
  <c r="BK88"/>
  <c r="BL88"/>
  <c r="BM88"/>
  <c r="BN88"/>
  <c r="BO88"/>
  <c r="BP88"/>
  <c r="BQ88"/>
  <c r="BR88"/>
  <c r="BS88"/>
  <c r="BT88"/>
  <c r="BU88"/>
  <c r="BW88"/>
  <c r="BX88"/>
  <c r="BZ88"/>
  <c r="CA88"/>
  <c r="CB88"/>
  <c r="CC88"/>
  <c r="BC89"/>
  <c r="BD89"/>
  <c r="BE89"/>
  <c r="BF89"/>
  <c r="BG89"/>
  <c r="BH89"/>
  <c r="BJ89"/>
  <c r="BK89"/>
  <c r="BL89"/>
  <c r="BM89"/>
  <c r="BN89"/>
  <c r="BO89"/>
  <c r="BP89"/>
  <c r="BQ89"/>
  <c r="BR89"/>
  <c r="BS89"/>
  <c r="BT89"/>
  <c r="BU89"/>
  <c r="BW89"/>
  <c r="BX89"/>
  <c r="BZ89"/>
  <c r="CA89"/>
  <c r="CB89"/>
  <c r="CC89"/>
  <c r="BC90"/>
  <c r="BD90"/>
  <c r="BE90"/>
  <c r="BF90"/>
  <c r="BG90"/>
  <c r="BH90"/>
  <c r="BJ90"/>
  <c r="BK90"/>
  <c r="BL90"/>
  <c r="BM90"/>
  <c r="BN90"/>
  <c r="BO90"/>
  <c r="BP90"/>
  <c r="BQ90"/>
  <c r="BR90"/>
  <c r="BS90"/>
  <c r="BT90"/>
  <c r="BU90"/>
  <c r="BW90"/>
  <c r="BX90"/>
  <c r="BZ90"/>
  <c r="CA90"/>
  <c r="CB90"/>
  <c r="CC90"/>
  <c r="BC91"/>
  <c r="BD91"/>
  <c r="BE91"/>
  <c r="BF91"/>
  <c r="BG91"/>
  <c r="BH91"/>
  <c r="BJ91"/>
  <c r="BK91"/>
  <c r="BL91"/>
  <c r="BM91"/>
  <c r="BN91"/>
  <c r="BO91"/>
  <c r="BP91"/>
  <c r="BQ91"/>
  <c r="BR91"/>
  <c r="BS91"/>
  <c r="BT91"/>
  <c r="BU91"/>
  <c r="BW91"/>
  <c r="BX91"/>
  <c r="BZ91"/>
  <c r="CA91"/>
  <c r="CB91"/>
  <c r="CC91"/>
  <c r="BC92"/>
  <c r="BD92"/>
  <c r="BE92"/>
  <c r="BF92"/>
  <c r="BG92"/>
  <c r="BH92"/>
  <c r="BJ92"/>
  <c r="BK92"/>
  <c r="BL92"/>
  <c r="BM92"/>
  <c r="BN92"/>
  <c r="BO92"/>
  <c r="BP92"/>
  <c r="BQ92"/>
  <c r="BR92"/>
  <c r="BS92"/>
  <c r="BT92"/>
  <c r="BU92"/>
  <c r="BW92"/>
  <c r="BX92"/>
  <c r="BZ92"/>
  <c r="CA92"/>
  <c r="CB92"/>
  <c r="CC92"/>
  <c r="BC93"/>
  <c r="BD93"/>
  <c r="BE93"/>
  <c r="BF93"/>
  <c r="BG93"/>
  <c r="BH93"/>
  <c r="BJ93"/>
  <c r="BK93"/>
  <c r="BL93"/>
  <c r="BM93"/>
  <c r="BN93"/>
  <c r="BO93"/>
  <c r="BP93"/>
  <c r="BQ93"/>
  <c r="BR93"/>
  <c r="BS93"/>
  <c r="BT93"/>
  <c r="BU93"/>
  <c r="BW93"/>
  <c r="BX93"/>
  <c r="BZ93"/>
  <c r="CA93"/>
  <c r="CB93"/>
  <c r="CC93"/>
  <c r="BC94"/>
  <c r="BD94"/>
  <c r="BE94"/>
  <c r="BF94"/>
  <c r="BG94"/>
  <c r="BH94"/>
  <c r="BJ94"/>
  <c r="BK94"/>
  <c r="BL94"/>
  <c r="BM94"/>
  <c r="BN94"/>
  <c r="BO94"/>
  <c r="BP94"/>
  <c r="BQ94"/>
  <c r="BR94"/>
  <c r="BS94"/>
  <c r="BT94"/>
  <c r="BU94"/>
  <c r="BW94"/>
  <c r="BX94"/>
  <c r="BZ94"/>
  <c r="CA94"/>
  <c r="CB94"/>
  <c r="CC94"/>
  <c r="BC95"/>
  <c r="BD95"/>
  <c r="BE95"/>
  <c r="BF95"/>
  <c r="BG95"/>
  <c r="BH95"/>
  <c r="BJ95"/>
  <c r="BK95"/>
  <c r="BL95"/>
  <c r="BM95"/>
  <c r="BN95"/>
  <c r="BO95"/>
  <c r="BP95"/>
  <c r="BQ95"/>
  <c r="BR95"/>
  <c r="BS95"/>
  <c r="BT95"/>
  <c r="BU95"/>
  <c r="BW95"/>
  <c r="BX95"/>
  <c r="BZ95"/>
  <c r="CA95"/>
  <c r="CB95"/>
  <c r="CC95"/>
  <c r="BC96"/>
  <c r="BD96"/>
  <c r="BE96"/>
  <c r="BF96"/>
  <c r="BG96"/>
  <c r="BH96"/>
  <c r="BJ96"/>
  <c r="BK96"/>
  <c r="BL96"/>
  <c r="BM96"/>
  <c r="BN96"/>
  <c r="BO96"/>
  <c r="BP96"/>
  <c r="BQ96"/>
  <c r="BR96"/>
  <c r="BS96"/>
  <c r="BT96"/>
  <c r="BU96"/>
  <c r="BW96"/>
  <c r="BX96"/>
  <c r="BZ96"/>
  <c r="CA96"/>
  <c r="CB96"/>
  <c r="CC96"/>
  <c r="BC97"/>
  <c r="BD97"/>
  <c r="BE97"/>
  <c r="BF97"/>
  <c r="BG97"/>
  <c r="BH97"/>
  <c r="BJ97"/>
  <c r="BK97"/>
  <c r="BL97"/>
  <c r="BM97"/>
  <c r="BN97"/>
  <c r="BO97"/>
  <c r="BP97"/>
  <c r="BQ97"/>
  <c r="BR97"/>
  <c r="BS97"/>
  <c r="BT97"/>
  <c r="BU97"/>
  <c r="BW97"/>
  <c r="BX97"/>
  <c r="BZ97"/>
  <c r="CA97"/>
  <c r="CB97"/>
  <c r="CC97"/>
  <c r="BC98"/>
  <c r="BD98"/>
  <c r="BE98"/>
  <c r="BF98"/>
  <c r="BG98"/>
  <c r="BH98"/>
  <c r="BJ98"/>
  <c r="BK98"/>
  <c r="BL98"/>
  <c r="BM98"/>
  <c r="BN98"/>
  <c r="BO98"/>
  <c r="BP98"/>
  <c r="BQ98"/>
  <c r="BR98"/>
  <c r="BS98"/>
  <c r="BT98"/>
  <c r="BU98"/>
  <c r="BW98"/>
  <c r="BX98"/>
  <c r="BZ98"/>
  <c r="CA98"/>
  <c r="CB98"/>
  <c r="CC98"/>
  <c r="BC99"/>
  <c r="BD99"/>
  <c r="BE99"/>
  <c r="BF99"/>
  <c r="BG99"/>
  <c r="BH99"/>
  <c r="BJ99"/>
  <c r="BK99"/>
  <c r="BL99"/>
  <c r="BM99"/>
  <c r="BN99"/>
  <c r="BO99"/>
  <c r="BP99"/>
  <c r="BQ99"/>
  <c r="BR99"/>
  <c r="BS99"/>
  <c r="BT99"/>
  <c r="BU99"/>
  <c r="BW99"/>
  <c r="BX99"/>
  <c r="BZ99"/>
  <c r="CA99"/>
  <c r="CB99"/>
  <c r="CC99"/>
  <c r="BC100"/>
  <c r="BD100"/>
  <c r="BE100"/>
  <c r="BF100"/>
  <c r="BG100"/>
  <c r="BH100"/>
  <c r="BJ100"/>
  <c r="BK100"/>
  <c r="BL100"/>
  <c r="BM100"/>
  <c r="BN100"/>
  <c r="BO100"/>
  <c r="BP100"/>
  <c r="BQ100"/>
  <c r="BR100"/>
  <c r="BS100"/>
  <c r="BT100"/>
  <c r="BU100"/>
  <c r="BW100"/>
  <c r="BX100"/>
  <c r="BZ100"/>
  <c r="CA100"/>
  <c r="CB100"/>
  <c r="CC100"/>
  <c r="BC101"/>
  <c r="BD101"/>
  <c r="BE101"/>
  <c r="BF101"/>
  <c r="BG101"/>
  <c r="BH101"/>
  <c r="BJ101"/>
  <c r="BK101"/>
  <c r="BL101"/>
  <c r="BM101"/>
  <c r="BN101"/>
  <c r="BO101"/>
  <c r="BP101"/>
  <c r="BQ101"/>
  <c r="BR101"/>
  <c r="BS101"/>
  <c r="BT101"/>
  <c r="BU101"/>
  <c r="BW101"/>
  <c r="BX101"/>
  <c r="BZ101"/>
  <c r="CA101"/>
  <c r="CB101"/>
  <c r="CC101"/>
  <c r="BC102"/>
  <c r="BD102"/>
  <c r="BE102"/>
  <c r="BF102"/>
  <c r="BG102"/>
  <c r="BH102"/>
  <c r="BJ102"/>
  <c r="BK102"/>
  <c r="BL102"/>
  <c r="BM102"/>
  <c r="BN102"/>
  <c r="BO102"/>
  <c r="BP102"/>
  <c r="BQ102"/>
  <c r="BR102"/>
  <c r="BS102"/>
  <c r="BT102"/>
  <c r="BU102"/>
  <c r="BW102"/>
  <c r="BX102"/>
  <c r="BZ102"/>
  <c r="CA102"/>
  <c r="CB102"/>
  <c r="CC102"/>
  <c r="BC103"/>
  <c r="BD103"/>
  <c r="BE103"/>
  <c r="BF103"/>
  <c r="BG103"/>
  <c r="BH103"/>
  <c r="BJ103"/>
  <c r="BK103"/>
  <c r="BL103"/>
  <c r="BM103"/>
  <c r="BN103"/>
  <c r="BO103"/>
  <c r="BP103"/>
  <c r="BQ103"/>
  <c r="BR103"/>
  <c r="BS103"/>
  <c r="BT103"/>
  <c r="BU103"/>
  <c r="BW103"/>
  <c r="BX103"/>
  <c r="BZ103"/>
  <c r="CA103"/>
  <c r="CB103"/>
  <c r="CC103"/>
  <c r="BC104"/>
  <c r="BD104"/>
  <c r="BE104"/>
  <c r="BF104"/>
  <c r="BG104"/>
  <c r="BH104"/>
  <c r="BJ104"/>
  <c r="BK104"/>
  <c r="BL104"/>
  <c r="BM104"/>
  <c r="BN104"/>
  <c r="BO104"/>
  <c r="BP104"/>
  <c r="BQ104"/>
  <c r="BR104"/>
  <c r="BS104"/>
  <c r="BT104"/>
  <c r="BU104"/>
  <c r="BW104"/>
  <c r="BX104"/>
  <c r="BZ104"/>
  <c r="CA104"/>
  <c r="CB104"/>
  <c r="CC104"/>
  <c r="BC105"/>
  <c r="BD105"/>
  <c r="BE105"/>
  <c r="BF105"/>
  <c r="BG105"/>
  <c r="BH105"/>
  <c r="BJ105"/>
  <c r="BK105"/>
  <c r="BL105"/>
  <c r="BM105"/>
  <c r="BN105"/>
  <c r="BO105"/>
  <c r="BP105"/>
  <c r="BQ105"/>
  <c r="BR105"/>
  <c r="BS105"/>
  <c r="BT105"/>
  <c r="BU105"/>
  <c r="BW105"/>
  <c r="BX105"/>
  <c r="BZ105"/>
  <c r="CA105"/>
  <c r="CB105"/>
  <c r="CC105"/>
  <c r="BC106"/>
  <c r="BD106"/>
  <c r="BE106"/>
  <c r="BF106"/>
  <c r="BG106"/>
  <c r="BH106"/>
  <c r="BJ106"/>
  <c r="BK106"/>
  <c r="BL106"/>
  <c r="BM106"/>
  <c r="BN106"/>
  <c r="BO106"/>
  <c r="BP106"/>
  <c r="BQ106"/>
  <c r="BR106"/>
  <c r="BS106"/>
  <c r="BT106"/>
  <c r="BU106"/>
  <c r="BW106"/>
  <c r="BX106"/>
  <c r="BZ106"/>
  <c r="CA106"/>
  <c r="CB106"/>
  <c r="CC106"/>
  <c r="BC107"/>
  <c r="BD107"/>
  <c r="BE107"/>
  <c r="BF107"/>
  <c r="BG107"/>
  <c r="BH107"/>
  <c r="BJ107"/>
  <c r="BK107"/>
  <c r="BL107"/>
  <c r="BM107"/>
  <c r="BN107"/>
  <c r="BO107"/>
  <c r="BP107"/>
  <c r="BQ107"/>
  <c r="BR107"/>
  <c r="BS107"/>
  <c r="BT107"/>
  <c r="BU107"/>
  <c r="BW107"/>
  <c r="BX107"/>
  <c r="BZ107"/>
  <c r="CA107"/>
  <c r="CB107"/>
  <c r="CC107"/>
  <c r="BC108"/>
  <c r="BD108"/>
  <c r="BE108"/>
  <c r="BF108"/>
  <c r="BG108"/>
  <c r="BH108"/>
  <c r="BJ108"/>
  <c r="BK108"/>
  <c r="BL108"/>
  <c r="BM108"/>
  <c r="BN108"/>
  <c r="BO108"/>
  <c r="BP108"/>
  <c r="BQ108"/>
  <c r="BR108"/>
  <c r="BS108"/>
  <c r="BT108"/>
  <c r="BU108"/>
  <c r="BW108"/>
  <c r="BX108"/>
  <c r="BZ108"/>
  <c r="CA108"/>
  <c r="CB108"/>
  <c r="CC108"/>
  <c r="BC109"/>
  <c r="BD109"/>
  <c r="BE109"/>
  <c r="BF109"/>
  <c r="BG109"/>
  <c r="BH109"/>
  <c r="BJ109"/>
  <c r="BK109"/>
  <c r="BL109"/>
  <c r="BM109"/>
  <c r="BN109"/>
  <c r="BO109"/>
  <c r="BP109"/>
  <c r="BQ109"/>
  <c r="BR109"/>
  <c r="BS109"/>
  <c r="BT109"/>
  <c r="BU109"/>
  <c r="BW109"/>
  <c r="BX109"/>
  <c r="BZ109"/>
  <c r="CA109"/>
  <c r="CB109"/>
  <c r="CC109"/>
  <c r="BC110"/>
  <c r="BD110"/>
  <c r="BE110"/>
  <c r="BF110"/>
  <c r="BG110"/>
  <c r="BH110"/>
  <c r="BJ110"/>
  <c r="BK110"/>
  <c r="BL110"/>
  <c r="BM110"/>
  <c r="BN110"/>
  <c r="BO110"/>
  <c r="BP110"/>
  <c r="BQ110"/>
  <c r="BR110"/>
  <c r="BS110"/>
  <c r="BT110"/>
  <c r="BU110"/>
  <c r="BW110"/>
  <c r="BX110"/>
  <c r="BZ110"/>
  <c r="CA110"/>
  <c r="CB110"/>
  <c r="CC110"/>
  <c r="BC111"/>
  <c r="BD111"/>
  <c r="BE111"/>
  <c r="BF111"/>
  <c r="BG111"/>
  <c r="BH111"/>
  <c r="BJ111"/>
  <c r="BK111"/>
  <c r="BL111"/>
  <c r="BM111"/>
  <c r="BN111"/>
  <c r="BO111"/>
  <c r="BP111"/>
  <c r="BQ111"/>
  <c r="BR111"/>
  <c r="BS111"/>
  <c r="BT111"/>
  <c r="BU111"/>
  <c r="BW111"/>
  <c r="BX111"/>
  <c r="BZ111"/>
  <c r="CA111"/>
  <c r="CB111"/>
  <c r="CC111"/>
  <c r="BC112"/>
  <c r="BD112"/>
  <c r="BE112"/>
  <c r="BF112"/>
  <c r="BG112"/>
  <c r="BH112"/>
  <c r="BJ112"/>
  <c r="BK112"/>
  <c r="BL112"/>
  <c r="BM112"/>
  <c r="BN112"/>
  <c r="BO112"/>
  <c r="BP112"/>
  <c r="BQ112"/>
  <c r="BR112"/>
  <c r="BS112"/>
  <c r="BT112"/>
  <c r="BU112"/>
  <c r="BW112"/>
  <c r="BX112"/>
  <c r="BZ112"/>
  <c r="CA112"/>
  <c r="CB112"/>
  <c r="CC112"/>
  <c r="BC113"/>
  <c r="BD113"/>
  <c r="BE113"/>
  <c r="BF113"/>
  <c r="BG113"/>
  <c r="BH113"/>
  <c r="BJ113"/>
  <c r="BK113"/>
  <c r="BL113"/>
  <c r="BM113"/>
  <c r="BN113"/>
  <c r="BO113"/>
  <c r="BP113"/>
  <c r="BQ113"/>
  <c r="BR113"/>
  <c r="BS113"/>
  <c r="BT113"/>
  <c r="BU113"/>
  <c r="BW113"/>
  <c r="BX113"/>
  <c r="BZ113"/>
  <c r="CA113"/>
  <c r="CB113"/>
  <c r="CC113"/>
  <c r="CC4"/>
  <c r="BX4"/>
  <c r="CB4"/>
  <c r="CA4"/>
  <c r="BZ4"/>
  <c r="BW4"/>
  <c r="BU4"/>
  <c r="BT4"/>
  <c r="BS4"/>
  <c r="BR4"/>
  <c r="BQ4"/>
  <c r="BP4"/>
  <c r="BN4"/>
  <c r="BM4"/>
  <c r="BL4"/>
  <c r="BK4"/>
  <c r="BJ4"/>
  <c r="BH4"/>
  <c r="BG4"/>
  <c r="BF4"/>
  <c r="BE4"/>
  <c r="BD4"/>
  <c r="BC4"/>
  <c r="M58" i="40"/>
  <c r="M57"/>
  <c r="M56"/>
  <c r="M55"/>
  <c r="M54"/>
  <c r="M53"/>
  <c r="M52"/>
  <c r="M51"/>
  <c r="M46"/>
  <c r="M45"/>
  <c r="M44"/>
  <c r="M43"/>
  <c r="M42"/>
  <c r="M41"/>
  <c r="M40"/>
  <c r="M39"/>
  <c r="M34"/>
  <c r="M33"/>
  <c r="M32"/>
  <c r="M31"/>
  <c r="M30"/>
  <c r="M29"/>
  <c r="M28"/>
  <c r="M27"/>
  <c r="M22"/>
  <c r="M21"/>
  <c r="M20"/>
  <c r="M19"/>
  <c r="M18"/>
  <c r="M17"/>
  <c r="M16"/>
  <c r="M15"/>
  <c r="F58"/>
  <c r="F57"/>
  <c r="F56"/>
  <c r="F55"/>
  <c r="F54"/>
  <c r="F53"/>
  <c r="F52"/>
  <c r="F51"/>
  <c r="F46"/>
  <c r="F45"/>
  <c r="F44"/>
  <c r="F43"/>
  <c r="F42"/>
  <c r="F41"/>
  <c r="F40"/>
  <c r="F39"/>
  <c r="F34"/>
  <c r="F33"/>
  <c r="F32"/>
  <c r="F31"/>
  <c r="F30"/>
  <c r="F29"/>
  <c r="F28"/>
  <c r="F27"/>
  <c r="F16"/>
  <c r="F17"/>
  <c r="F18"/>
  <c r="F19"/>
  <c r="F20"/>
  <c r="F21"/>
  <c r="F22"/>
  <c r="F15"/>
  <c r="B15" i="41"/>
  <c r="G7" i="27"/>
  <c r="H8" i="25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H31"/>
  <c r="O31"/>
  <c r="O32"/>
  <c r="O33"/>
  <c r="O34"/>
  <c r="O35"/>
  <c r="O36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7"/>
  <c r="AL7" i="36"/>
  <c r="AM7" s="1"/>
  <c r="AL82"/>
  <c r="AL8"/>
  <c r="AL9"/>
  <c r="AM9" s="1"/>
  <c r="AN9" s="1"/>
  <c r="AL10"/>
  <c r="AL11"/>
  <c r="AM11"/>
  <c r="AN11" s="1"/>
  <c r="AL12"/>
  <c r="AM12" s="1"/>
  <c r="AN12" s="1"/>
  <c r="AL13"/>
  <c r="AM13" s="1"/>
  <c r="AN13" s="1"/>
  <c r="AL14"/>
  <c r="AM14" s="1"/>
  <c r="AL15"/>
  <c r="AM15" s="1"/>
  <c r="AN15" s="1"/>
  <c r="AL16"/>
  <c r="AM16" s="1"/>
  <c r="AN16" s="1"/>
  <c r="AL17"/>
  <c r="AM17" s="1"/>
  <c r="AN17" s="1"/>
  <c r="AL18"/>
  <c r="AL19"/>
  <c r="AM19" s="1"/>
  <c r="AN19" s="1"/>
  <c r="AL20"/>
  <c r="AM20" s="1"/>
  <c r="AN20" s="1"/>
  <c r="AL21"/>
  <c r="AM21" s="1"/>
  <c r="AN21" s="1"/>
  <c r="AL22"/>
  <c r="AM22" s="1"/>
  <c r="AL23"/>
  <c r="AM23"/>
  <c r="AN23" s="1"/>
  <c r="AL24"/>
  <c r="AL25"/>
  <c r="AL26"/>
  <c r="AL27"/>
  <c r="AM27" s="1"/>
  <c r="AL28"/>
  <c r="AL29"/>
  <c r="AM29" s="1"/>
  <c r="AN29" s="1"/>
  <c r="AL30"/>
  <c r="AL31"/>
  <c r="AM31" s="1"/>
  <c r="AN31" s="1"/>
  <c r="AL32"/>
  <c r="AL33"/>
  <c r="AL34"/>
  <c r="AL35"/>
  <c r="AM35" s="1"/>
  <c r="AN35" s="1"/>
  <c r="AL36"/>
  <c r="AM36" s="1"/>
  <c r="AN36" s="1"/>
  <c r="AL37"/>
  <c r="AM37" s="1"/>
  <c r="AN37" s="1"/>
  <c r="AL38"/>
  <c r="AM38" s="1"/>
  <c r="AN38" s="1"/>
  <c r="AL39"/>
  <c r="AM39" s="1"/>
  <c r="AN39" s="1"/>
  <c r="AL40"/>
  <c r="AL41"/>
  <c r="AL42"/>
  <c r="AL43"/>
  <c r="AM43"/>
  <c r="AN43" s="1"/>
  <c r="AL44"/>
  <c r="AM44" s="1"/>
  <c r="AL45"/>
  <c r="AM45" s="1"/>
  <c r="AN45" s="1"/>
  <c r="AL46"/>
  <c r="AL47"/>
  <c r="AM47" s="1"/>
  <c r="AN47" s="1"/>
  <c r="AL48"/>
  <c r="AL49"/>
  <c r="AL50"/>
  <c r="AM50" s="1"/>
  <c r="AN50" s="1"/>
  <c r="AL51"/>
  <c r="AM51" s="1"/>
  <c r="AN51" s="1"/>
  <c r="AL52"/>
  <c r="AM52" s="1"/>
  <c r="AN52" s="1"/>
  <c r="AL53"/>
  <c r="AM53" s="1"/>
  <c r="AN53" s="1"/>
  <c r="AL54"/>
  <c r="AM54" s="1"/>
  <c r="AN54" s="1"/>
  <c r="AL55"/>
  <c r="AM55" s="1"/>
  <c r="AN55" s="1"/>
  <c r="AL56"/>
  <c r="AL57"/>
  <c r="AM57" s="1"/>
  <c r="AL58"/>
  <c r="AL59"/>
  <c r="AM59" s="1"/>
  <c r="AN59" s="1"/>
  <c r="AL60"/>
  <c r="AM60" s="1"/>
  <c r="AN60" s="1"/>
  <c r="AL61"/>
  <c r="AM61" s="1"/>
  <c r="AN61" s="1"/>
  <c r="AL62"/>
  <c r="AM62"/>
  <c r="AN62" s="1"/>
  <c r="AL63"/>
  <c r="AM63" s="1"/>
  <c r="AN63" s="1"/>
  <c r="AL64"/>
  <c r="AL65"/>
  <c r="AL66"/>
  <c r="AM66" s="1"/>
  <c r="AN66" s="1"/>
  <c r="AL67"/>
  <c r="AM67" s="1"/>
  <c r="AL68"/>
  <c r="AM68" s="1"/>
  <c r="AN68" s="1"/>
  <c r="AL69"/>
  <c r="AL70"/>
  <c r="AL71"/>
  <c r="AL72"/>
  <c r="AM72" s="1"/>
  <c r="AN72" s="1"/>
  <c r="AL73"/>
  <c r="AL74"/>
  <c r="AL75"/>
  <c r="AM75" s="1"/>
  <c r="AN75" s="1"/>
  <c r="AL76"/>
  <c r="AM76" s="1"/>
  <c r="AL77"/>
  <c r="AM77" s="1"/>
  <c r="AN77" s="1"/>
  <c r="AL78"/>
  <c r="AM78" s="1"/>
  <c r="AN78" s="1"/>
  <c r="AL79"/>
  <c r="AM79" s="1"/>
  <c r="AL80"/>
  <c r="AN80" s="1"/>
  <c r="AL81"/>
  <c r="AM81" s="1"/>
  <c r="AL83"/>
  <c r="AL84"/>
  <c r="AM84" s="1"/>
  <c r="AN84" s="1"/>
  <c r="AL85"/>
  <c r="AM85" s="1"/>
  <c r="AN85" s="1"/>
  <c r="AL86"/>
  <c r="AL87"/>
  <c r="AL88"/>
  <c r="AM88"/>
  <c r="AN88" s="1"/>
  <c r="AL89"/>
  <c r="AL90"/>
  <c r="AM90" s="1"/>
  <c r="AN90" s="1"/>
  <c r="AL91"/>
  <c r="AL92"/>
  <c r="AL93"/>
  <c r="AL94"/>
  <c r="AL95"/>
  <c r="AL96"/>
  <c r="AL97"/>
  <c r="AL98"/>
  <c r="AL99"/>
  <c r="AL100"/>
  <c r="AM100" s="1"/>
  <c r="AN100" s="1"/>
  <c r="AL101"/>
  <c r="AL102"/>
  <c r="AL103"/>
  <c r="AL104"/>
  <c r="AL105"/>
  <c r="AM105" s="1"/>
  <c r="AN105" s="1"/>
  <c r="AL106"/>
  <c r="AM106" s="1"/>
  <c r="AN106" s="1"/>
  <c r="AL107"/>
  <c r="AL108"/>
  <c r="AL109"/>
  <c r="AL110"/>
  <c r="AM110" s="1"/>
  <c r="AN110" s="1"/>
  <c r="AL111"/>
  <c r="AM111" s="1"/>
  <c r="AL112"/>
  <c r="AL113"/>
  <c r="AM113" s="1"/>
  <c r="AN113" s="1"/>
  <c r="AL114"/>
  <c r="AM114" s="1"/>
  <c r="AN114" s="1"/>
  <c r="AL115"/>
  <c r="AL116"/>
  <c r="AM116" s="1"/>
  <c r="AM8"/>
  <c r="AN8" s="1"/>
  <c r="AM25"/>
  <c r="AN25" s="1"/>
  <c r="AM28"/>
  <c r="AM33"/>
  <c r="AN33" s="1"/>
  <c r="AM41"/>
  <c r="AM49"/>
  <c r="AN49" s="1"/>
  <c r="AM65"/>
  <c r="AM73"/>
  <c r="AN73" s="1"/>
  <c r="AM91"/>
  <c r="AM93"/>
  <c r="AN93" s="1"/>
  <c r="AM96"/>
  <c r="AN96" s="1"/>
  <c r="AM101"/>
  <c r="AN101"/>
  <c r="AM107"/>
  <c r="AM109"/>
  <c r="AM112"/>
  <c r="AN112" s="1"/>
  <c r="AN28"/>
  <c r="AN109"/>
  <c r="AG8" i="25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7"/>
  <c r="AG117"/>
  <c r="AX8" i="21"/>
  <c r="AX10"/>
  <c r="AX7"/>
  <c r="AX29"/>
  <c r="AX40"/>
  <c r="AX42"/>
  <c r="AX82"/>
  <c r="AX109"/>
  <c r="AX112"/>
  <c r="AX110"/>
  <c r="AX12"/>
  <c r="AX14"/>
  <c r="AX16"/>
  <c r="AX18"/>
  <c r="AX20"/>
  <c r="AX22"/>
  <c r="AX24"/>
  <c r="AX25"/>
  <c r="AX26"/>
  <c r="AX27"/>
  <c r="AX31"/>
  <c r="AX32"/>
  <c r="AX34"/>
  <c r="AX35"/>
  <c r="AX36"/>
  <c r="AX38"/>
  <c r="AX39"/>
  <c r="AX44"/>
  <c r="AX47"/>
  <c r="AX50"/>
  <c r="AX52"/>
  <c r="AX55"/>
  <c r="AX58"/>
  <c r="AX60"/>
  <c r="AX63"/>
  <c r="AX66"/>
  <c r="AX68"/>
  <c r="AX71"/>
  <c r="AX74"/>
  <c r="AX76"/>
  <c r="AX79"/>
  <c r="AX83"/>
  <c r="AX84"/>
  <c r="AX86"/>
  <c r="AX87"/>
  <c r="AX88"/>
  <c r="AX90"/>
  <c r="AX91"/>
  <c r="AX92"/>
  <c r="AX94"/>
  <c r="AX95"/>
  <c r="AX96"/>
  <c r="AX98"/>
  <c r="AX99"/>
  <c r="AX100"/>
  <c r="AX102"/>
  <c r="AX103"/>
  <c r="AX104"/>
  <c r="AX106"/>
  <c r="AX107"/>
  <c r="AX108"/>
  <c r="AX114"/>
  <c r="AX115"/>
  <c r="AX116"/>
  <c r="AT13" i="7"/>
  <c r="AT15"/>
  <c r="AT21"/>
  <c r="AT23"/>
  <c r="AT26"/>
  <c r="AT29"/>
  <c r="AT31"/>
  <c r="AT32"/>
  <c r="AT33"/>
  <c r="AT34"/>
  <c r="AT35"/>
  <c r="AT36"/>
  <c r="AT37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I55" i="41"/>
  <c r="I54"/>
  <c r="I53"/>
  <c r="I52"/>
  <c r="I51"/>
  <c r="I50"/>
  <c r="I49"/>
  <c r="I48"/>
  <c r="I44"/>
  <c r="I43"/>
  <c r="I42"/>
  <c r="I41"/>
  <c r="I40"/>
  <c r="I39"/>
  <c r="I38"/>
  <c r="I37"/>
  <c r="I27"/>
  <c r="I28"/>
  <c r="I29"/>
  <c r="I30"/>
  <c r="I31"/>
  <c r="I32"/>
  <c r="I33"/>
  <c r="I26"/>
  <c r="I16"/>
  <c r="I17"/>
  <c r="I18"/>
  <c r="I19"/>
  <c r="I20"/>
  <c r="I21"/>
  <c r="I22"/>
  <c r="I15"/>
  <c r="B55"/>
  <c r="B54"/>
  <c r="B53"/>
  <c r="B52"/>
  <c r="B51"/>
  <c r="B50"/>
  <c r="B49"/>
  <c r="B48"/>
  <c r="B33"/>
  <c r="B32"/>
  <c r="B31"/>
  <c r="B30"/>
  <c r="B29"/>
  <c r="B28"/>
  <c r="B27"/>
  <c r="B26"/>
  <c r="B9"/>
  <c r="B38"/>
  <c r="B39"/>
  <c r="B40"/>
  <c r="B41"/>
  <c r="B42"/>
  <c r="B43"/>
  <c r="B44"/>
  <c r="B37"/>
  <c r="B16"/>
  <c r="B17"/>
  <c r="B18"/>
  <c r="B19"/>
  <c r="B20"/>
  <c r="B21"/>
  <c r="B22"/>
  <c r="B9" i="40"/>
  <c r="B67"/>
  <c r="I9" i="37"/>
  <c r="G10"/>
  <c r="G11"/>
  <c r="I12"/>
  <c r="I13"/>
  <c r="G14"/>
  <c r="I15"/>
  <c r="G16"/>
  <c r="I17"/>
  <c r="G18"/>
  <c r="G20"/>
  <c r="I20"/>
  <c r="G21"/>
  <c r="I21"/>
  <c r="G22"/>
  <c r="I22"/>
  <c r="G23"/>
  <c r="I23"/>
  <c r="G24"/>
  <c r="I24"/>
  <c r="G25"/>
  <c r="I25"/>
  <c r="G26"/>
  <c r="I26"/>
  <c r="G27"/>
  <c r="I27"/>
  <c r="G28"/>
  <c r="I28"/>
  <c r="G29"/>
  <c r="I29"/>
  <c r="G30"/>
  <c r="I30"/>
  <c r="G31"/>
  <c r="I31"/>
  <c r="I32"/>
  <c r="G33"/>
  <c r="I33"/>
  <c r="G34"/>
  <c r="I34"/>
  <c r="G35"/>
  <c r="I35"/>
  <c r="G36"/>
  <c r="I36"/>
  <c r="G37"/>
  <c r="I37"/>
  <c r="I38"/>
  <c r="G40"/>
  <c r="I40"/>
  <c r="G41"/>
  <c r="I41"/>
  <c r="G42"/>
  <c r="G43"/>
  <c r="I43"/>
  <c r="G44"/>
  <c r="I44"/>
  <c r="G45"/>
  <c r="I45"/>
  <c r="G46"/>
  <c r="I46"/>
  <c r="G47"/>
  <c r="G48"/>
  <c r="G49"/>
  <c r="I49"/>
  <c r="G50"/>
  <c r="G51"/>
  <c r="I51"/>
  <c r="G52"/>
  <c r="I52"/>
  <c r="G54"/>
  <c r="I54"/>
  <c r="G55"/>
  <c r="I55"/>
  <c r="G56"/>
  <c r="I56"/>
  <c r="G57"/>
  <c r="I57"/>
  <c r="G58"/>
  <c r="I58"/>
  <c r="G59"/>
  <c r="I59"/>
  <c r="I60"/>
  <c r="Z61"/>
  <c r="A61" s="1"/>
  <c r="G62"/>
  <c r="I62"/>
  <c r="G63"/>
  <c r="I63"/>
  <c r="G64"/>
  <c r="I64"/>
  <c r="G65"/>
  <c r="I65"/>
  <c r="G66"/>
  <c r="I66"/>
  <c r="G67"/>
  <c r="I67"/>
  <c r="I68"/>
  <c r="G69"/>
  <c r="I69"/>
  <c r="G70"/>
  <c r="I70"/>
  <c r="I71"/>
  <c r="G72"/>
  <c r="I72"/>
  <c r="I73"/>
  <c r="G74"/>
  <c r="I74"/>
  <c r="G75"/>
  <c r="I75"/>
  <c r="G76"/>
  <c r="I76"/>
  <c r="G77"/>
  <c r="I77"/>
  <c r="G78"/>
  <c r="I78"/>
  <c r="G79"/>
  <c r="I79"/>
  <c r="G80"/>
  <c r="I80"/>
  <c r="G81"/>
  <c r="I81"/>
  <c r="G82"/>
  <c r="I82"/>
  <c r="G83"/>
  <c r="I83"/>
  <c r="G84"/>
  <c r="I84"/>
  <c r="I85"/>
  <c r="G86"/>
  <c r="I86"/>
  <c r="G87"/>
  <c r="I87"/>
  <c r="G88"/>
  <c r="G89"/>
  <c r="I89"/>
  <c r="I90"/>
  <c r="G91"/>
  <c r="I91"/>
  <c r="I92"/>
  <c r="G93"/>
  <c r="I93"/>
  <c r="G94"/>
  <c r="I95"/>
  <c r="G96"/>
  <c r="G97"/>
  <c r="I97"/>
  <c r="I98"/>
  <c r="G99"/>
  <c r="I99"/>
  <c r="I101"/>
  <c r="I102"/>
  <c r="I103"/>
  <c r="G105"/>
  <c r="I105"/>
  <c r="I106"/>
  <c r="G107"/>
  <c r="I107"/>
  <c r="G109"/>
  <c r="I109"/>
  <c r="G110"/>
  <c r="G111"/>
  <c r="I111"/>
  <c r="G112"/>
  <c r="G113"/>
  <c r="I113"/>
  <c r="G114"/>
  <c r="I114"/>
  <c r="I115"/>
  <c r="I116"/>
  <c r="G7"/>
  <c r="AS21"/>
  <c r="AS29"/>
  <c r="AS35"/>
  <c r="AS37"/>
  <c r="AS56"/>
  <c r="AS73"/>
  <c r="AS81"/>
  <c r="AS87"/>
  <c r="AS94"/>
  <c r="AS103"/>
  <c r="AS106"/>
  <c r="AS115"/>
  <c r="H9" i="25"/>
  <c r="E10"/>
  <c r="E12"/>
  <c r="H12"/>
  <c r="H13"/>
  <c r="H14"/>
  <c r="E15"/>
  <c r="H16"/>
  <c r="E17"/>
  <c r="H17"/>
  <c r="E18"/>
  <c r="E20"/>
  <c r="H20"/>
  <c r="E21"/>
  <c r="H21"/>
  <c r="E22"/>
  <c r="H22"/>
  <c r="E23"/>
  <c r="H23"/>
  <c r="E24"/>
  <c r="H24"/>
  <c r="E25"/>
  <c r="H25"/>
  <c r="E26"/>
  <c r="H26"/>
  <c r="E27"/>
  <c r="H27"/>
  <c r="E28"/>
  <c r="H28"/>
  <c r="E29"/>
  <c r="H29"/>
  <c r="E30"/>
  <c r="H30"/>
  <c r="E31"/>
  <c r="E32"/>
  <c r="H32"/>
  <c r="E33"/>
  <c r="H33"/>
  <c r="H34"/>
  <c r="E35"/>
  <c r="H35"/>
  <c r="E36"/>
  <c r="H36"/>
  <c r="E37"/>
  <c r="H37"/>
  <c r="O37"/>
  <c r="H38"/>
  <c r="E39"/>
  <c r="H40"/>
  <c r="E41"/>
  <c r="H41"/>
  <c r="E42"/>
  <c r="E43"/>
  <c r="H43"/>
  <c r="H44"/>
  <c r="E45"/>
  <c r="H45"/>
  <c r="E46"/>
  <c r="H46"/>
  <c r="E47"/>
  <c r="E48"/>
  <c r="E49"/>
  <c r="H49"/>
  <c r="E50"/>
  <c r="E51"/>
  <c r="H51"/>
  <c r="E52"/>
  <c r="H52"/>
  <c r="E53"/>
  <c r="E54"/>
  <c r="H54"/>
  <c r="E55"/>
  <c r="H55"/>
  <c r="E56"/>
  <c r="E57"/>
  <c r="H57"/>
  <c r="E58"/>
  <c r="H58"/>
  <c r="E59"/>
  <c r="H59"/>
  <c r="H60"/>
  <c r="H61"/>
  <c r="E62"/>
  <c r="H62"/>
  <c r="E63"/>
  <c r="H63"/>
  <c r="E64"/>
  <c r="H64"/>
  <c r="E65"/>
  <c r="H65"/>
  <c r="E66"/>
  <c r="H66"/>
  <c r="E67"/>
  <c r="H67"/>
  <c r="H68"/>
  <c r="E69"/>
  <c r="H69"/>
  <c r="E70"/>
  <c r="H70"/>
  <c r="E72"/>
  <c r="H72"/>
  <c r="E73"/>
  <c r="H73"/>
  <c r="E74"/>
  <c r="E75"/>
  <c r="H75"/>
  <c r="H76"/>
  <c r="E77"/>
  <c r="H77"/>
  <c r="E78"/>
  <c r="H78"/>
  <c r="E79"/>
  <c r="H79"/>
  <c r="E80"/>
  <c r="E81"/>
  <c r="H81"/>
  <c r="H82"/>
  <c r="E83"/>
  <c r="H83"/>
  <c r="E84"/>
  <c r="H84"/>
  <c r="E86"/>
  <c r="H86"/>
  <c r="E87"/>
  <c r="H87"/>
  <c r="E88"/>
  <c r="E89"/>
  <c r="H89"/>
  <c r="H90"/>
  <c r="E91"/>
  <c r="H91"/>
  <c r="E93"/>
  <c r="H93"/>
  <c r="E94"/>
  <c r="H95"/>
  <c r="H96"/>
  <c r="H97"/>
  <c r="H98"/>
  <c r="H99"/>
  <c r="E100"/>
  <c r="E101"/>
  <c r="H101"/>
  <c r="E102"/>
  <c r="H103"/>
  <c r="H104"/>
  <c r="H105"/>
  <c r="E106"/>
  <c r="E107"/>
  <c r="H107"/>
  <c r="H108"/>
  <c r="E109"/>
  <c r="H109"/>
  <c r="E110"/>
  <c r="E111"/>
  <c r="H111"/>
  <c r="E112"/>
  <c r="E113"/>
  <c r="H113"/>
  <c r="E114"/>
  <c r="H115"/>
  <c r="H116"/>
  <c r="E7"/>
  <c r="G9" i="21"/>
  <c r="G10"/>
  <c r="G11"/>
  <c r="G16"/>
  <c r="G17"/>
  <c r="G18"/>
  <c r="G19"/>
  <c r="G20"/>
  <c r="G21"/>
  <c r="G22"/>
  <c r="G23"/>
  <c r="G24"/>
  <c r="G25"/>
  <c r="G26"/>
  <c r="G27"/>
  <c r="G28"/>
  <c r="G29"/>
  <c r="G31"/>
  <c r="G33"/>
  <c r="G35"/>
  <c r="G36"/>
  <c r="G37"/>
  <c r="G40"/>
  <c r="G41"/>
  <c r="G42"/>
  <c r="G43"/>
  <c r="G45"/>
  <c r="G46"/>
  <c r="G48"/>
  <c r="G49"/>
  <c r="G52"/>
  <c r="G56"/>
  <c r="G57"/>
  <c r="G58"/>
  <c r="G62"/>
  <c r="G63"/>
  <c r="G64"/>
  <c r="G65"/>
  <c r="G66"/>
  <c r="G67"/>
  <c r="G68"/>
  <c r="G69"/>
  <c r="G70"/>
  <c r="G71"/>
  <c r="G72"/>
  <c r="G73"/>
  <c r="G74"/>
  <c r="G75"/>
  <c r="G77"/>
  <c r="G78"/>
  <c r="G79"/>
  <c r="G80"/>
  <c r="G81"/>
  <c r="G83"/>
  <c r="G84"/>
  <c r="G86"/>
  <c r="G87"/>
  <c r="G88"/>
  <c r="G89"/>
  <c r="G90"/>
  <c r="G91"/>
  <c r="G93"/>
  <c r="G94"/>
  <c r="G96"/>
  <c r="G97"/>
  <c r="G99"/>
  <c r="G100"/>
  <c r="G101"/>
  <c r="G105"/>
  <c r="G107"/>
  <c r="G109"/>
  <c r="G110"/>
  <c r="G111"/>
  <c r="G112"/>
  <c r="G113"/>
  <c r="G114"/>
  <c r="G115"/>
  <c r="G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B116" i="25"/>
  <c r="B106"/>
  <c r="B107"/>
  <c r="B108"/>
  <c r="B109"/>
  <c r="B110"/>
  <c r="B111"/>
  <c r="B112"/>
  <c r="B113"/>
  <c r="B114"/>
  <c r="B115"/>
  <c r="AD8" i="21"/>
  <c r="AG8"/>
  <c r="AD9"/>
  <c r="AG9"/>
  <c r="AD10"/>
  <c r="AG10"/>
  <c r="AD11"/>
  <c r="AG11"/>
  <c r="AD12"/>
  <c r="AG12"/>
  <c r="AD13"/>
  <c r="AG13"/>
  <c r="AD14"/>
  <c r="AG14"/>
  <c r="AD15"/>
  <c r="AG15"/>
  <c r="AD16"/>
  <c r="AG16"/>
  <c r="AD17"/>
  <c r="AG17"/>
  <c r="AD18"/>
  <c r="AG18"/>
  <c r="AD19"/>
  <c r="AG19"/>
  <c r="AD20"/>
  <c r="AG20"/>
  <c r="AD21"/>
  <c r="AG21"/>
  <c r="AD22"/>
  <c r="AG22"/>
  <c r="AD23"/>
  <c r="AG23"/>
  <c r="AD24"/>
  <c r="AG24"/>
  <c r="AD25"/>
  <c r="AG25"/>
  <c r="AD26"/>
  <c r="AG26"/>
  <c r="AD27"/>
  <c r="AG27"/>
  <c r="AD28"/>
  <c r="AG28"/>
  <c r="AD29"/>
  <c r="AG29"/>
  <c r="AD30"/>
  <c r="AG30"/>
  <c r="AD31"/>
  <c r="AG31"/>
  <c r="AD32"/>
  <c r="AG32"/>
  <c r="AD35"/>
  <c r="AG35"/>
  <c r="AD36"/>
  <c r="AG36"/>
  <c r="AD37"/>
  <c r="AG37"/>
  <c r="AD38"/>
  <c r="AG38"/>
  <c r="AD39"/>
  <c r="AG39"/>
  <c r="AD40"/>
  <c r="AG40"/>
  <c r="AD41"/>
  <c r="AG41"/>
  <c r="AD42"/>
  <c r="AG42"/>
  <c r="AD43"/>
  <c r="AG43"/>
  <c r="AD44"/>
  <c r="AG44"/>
  <c r="AD45"/>
  <c r="AG45"/>
  <c r="AD46"/>
  <c r="AG46"/>
  <c r="AD47"/>
  <c r="AG47"/>
  <c r="AD48"/>
  <c r="AG48"/>
  <c r="AD49"/>
  <c r="AG49"/>
  <c r="AD50"/>
  <c r="AG50"/>
  <c r="AD51"/>
  <c r="AG51"/>
  <c r="AD52"/>
  <c r="AG52"/>
  <c r="AD53"/>
  <c r="AG53"/>
  <c r="AD54"/>
  <c r="AG54"/>
  <c r="AD55"/>
  <c r="AG55"/>
  <c r="AD56"/>
  <c r="AG56"/>
  <c r="AD57"/>
  <c r="AG57"/>
  <c r="AD58"/>
  <c r="AG58"/>
  <c r="AD59"/>
  <c r="AG59"/>
  <c r="AD60"/>
  <c r="AG60"/>
  <c r="AD61"/>
  <c r="AG61"/>
  <c r="AD62"/>
  <c r="AG62"/>
  <c r="AD63"/>
  <c r="AG63"/>
  <c r="AD64"/>
  <c r="AG64"/>
  <c r="AD65"/>
  <c r="AG65"/>
  <c r="AD66"/>
  <c r="AG66"/>
  <c r="AD67"/>
  <c r="AG67"/>
  <c r="AD68"/>
  <c r="AG68"/>
  <c r="AD69"/>
  <c r="AG69"/>
  <c r="AD70"/>
  <c r="AG70"/>
  <c r="AD71"/>
  <c r="AG71"/>
  <c r="AD72"/>
  <c r="AG72"/>
  <c r="AD73"/>
  <c r="AG73"/>
  <c r="AD74"/>
  <c r="AG74"/>
  <c r="AD75"/>
  <c r="AG75"/>
  <c r="AD76"/>
  <c r="AG76"/>
  <c r="AD77"/>
  <c r="AG77"/>
  <c r="AD78"/>
  <c r="AG78"/>
  <c r="AD79"/>
  <c r="AG79"/>
  <c r="AD80"/>
  <c r="AG80"/>
  <c r="AD81"/>
  <c r="AG81"/>
  <c r="AD82"/>
  <c r="AG82"/>
  <c r="AD83"/>
  <c r="AG83"/>
  <c r="AD84"/>
  <c r="AG84"/>
  <c r="AD85"/>
  <c r="AG85"/>
  <c r="AD86"/>
  <c r="AG86"/>
  <c r="AD87"/>
  <c r="AG87"/>
  <c r="AD88"/>
  <c r="AG88"/>
  <c r="AD89"/>
  <c r="AG89"/>
  <c r="AD90"/>
  <c r="AG90"/>
  <c r="AD91"/>
  <c r="AG91"/>
  <c r="AD92"/>
  <c r="AG92"/>
  <c r="AD93"/>
  <c r="AG93"/>
  <c r="AD94"/>
  <c r="AG94"/>
  <c r="AD95"/>
  <c r="AG95"/>
  <c r="AD96"/>
  <c r="AG96"/>
  <c r="AD97"/>
  <c r="AG97"/>
  <c r="AD98"/>
  <c r="AG98"/>
  <c r="AD99"/>
  <c r="AG99"/>
  <c r="AD100"/>
  <c r="AG100"/>
  <c r="AD101"/>
  <c r="AG101"/>
  <c r="AD102"/>
  <c r="AG102"/>
  <c r="AD103"/>
  <c r="AG103"/>
  <c r="AD104"/>
  <c r="AG104"/>
  <c r="AD105"/>
  <c r="AG105"/>
  <c r="AD106"/>
  <c r="AG106"/>
  <c r="AD107"/>
  <c r="AG107"/>
  <c r="AG7"/>
  <c r="AD7"/>
  <c r="E7"/>
  <c r="Z8" i="7"/>
  <c r="AC8"/>
  <c r="Z9"/>
  <c r="AC9"/>
  <c r="Z10"/>
  <c r="AC10"/>
  <c r="Z11"/>
  <c r="AC11"/>
  <c r="Z12"/>
  <c r="AC12"/>
  <c r="Z13"/>
  <c r="AC13"/>
  <c r="Z14"/>
  <c r="AC14"/>
  <c r="Z15"/>
  <c r="AC15"/>
  <c r="Z16"/>
  <c r="AC16"/>
  <c r="Z17"/>
  <c r="AC17"/>
  <c r="Z18"/>
  <c r="AC18"/>
  <c r="Z19"/>
  <c r="AC19"/>
  <c r="Z20"/>
  <c r="AC20"/>
  <c r="Z21"/>
  <c r="AC21"/>
  <c r="Z22"/>
  <c r="AC22"/>
  <c r="Z23"/>
  <c r="AC23"/>
  <c r="Z24"/>
  <c r="AC24"/>
  <c r="Z25"/>
  <c r="AC25"/>
  <c r="Z26"/>
  <c r="AC26"/>
  <c r="Z27"/>
  <c r="AC27"/>
  <c r="Z28"/>
  <c r="AC28"/>
  <c r="Z29"/>
  <c r="AC29"/>
  <c r="Z30"/>
  <c r="AC30"/>
  <c r="Z31"/>
  <c r="AC31"/>
  <c r="Z32"/>
  <c r="AC32"/>
  <c r="Z33"/>
  <c r="AC33"/>
  <c r="Z34"/>
  <c r="AC34"/>
  <c r="Z35"/>
  <c r="AC35"/>
  <c r="Z36"/>
  <c r="AC36"/>
  <c r="Z37"/>
  <c r="AC37"/>
  <c r="Z38"/>
  <c r="AC38"/>
  <c r="Z39"/>
  <c r="AC39"/>
  <c r="Z40"/>
  <c r="AC40"/>
  <c r="Z41"/>
  <c r="AC41"/>
  <c r="Z42"/>
  <c r="AC42"/>
  <c r="Z43"/>
  <c r="AC43"/>
  <c r="Z44"/>
  <c r="AC44"/>
  <c r="Z45"/>
  <c r="AC45"/>
  <c r="Z46"/>
  <c r="AC46"/>
  <c r="Z47"/>
  <c r="AC47"/>
  <c r="Z48"/>
  <c r="AC48"/>
  <c r="Z49"/>
  <c r="AC49"/>
  <c r="Z50"/>
  <c r="AC50"/>
  <c r="Z51"/>
  <c r="AC51"/>
  <c r="Z52"/>
  <c r="AC52"/>
  <c r="Z53"/>
  <c r="AC53"/>
  <c r="Z54"/>
  <c r="AC54"/>
  <c r="Z55"/>
  <c r="AC55"/>
  <c r="Z56"/>
  <c r="AC56"/>
  <c r="Z57"/>
  <c r="AC57"/>
  <c r="Z58"/>
  <c r="AC58"/>
  <c r="Z59"/>
  <c r="AC59"/>
  <c r="Z60"/>
  <c r="AC60"/>
  <c r="Z61"/>
  <c r="AC61"/>
  <c r="Z62"/>
  <c r="AC62"/>
  <c r="Z63"/>
  <c r="AC63"/>
  <c r="Z64"/>
  <c r="AC64"/>
  <c r="Z65"/>
  <c r="AC65"/>
  <c r="Z66"/>
  <c r="AC66"/>
  <c r="Z67"/>
  <c r="AC67"/>
  <c r="Z68"/>
  <c r="AC68"/>
  <c r="Z69"/>
  <c r="AC69"/>
  <c r="Z70"/>
  <c r="AC70"/>
  <c r="Z71"/>
  <c r="AC71"/>
  <c r="Z72"/>
  <c r="AC72"/>
  <c r="Z73"/>
  <c r="AC73"/>
  <c r="Z74"/>
  <c r="AC74"/>
  <c r="Z75"/>
  <c r="AC75"/>
  <c r="Z76"/>
  <c r="AC76"/>
  <c r="Z77"/>
  <c r="AC77"/>
  <c r="Z78"/>
  <c r="AC78"/>
  <c r="Z79"/>
  <c r="AC79"/>
  <c r="Z80"/>
  <c r="AC80"/>
  <c r="Z81"/>
  <c r="AC81"/>
  <c r="Z82"/>
  <c r="AC82"/>
  <c r="Z83"/>
  <c r="AC83"/>
  <c r="Z84"/>
  <c r="AC84"/>
  <c r="Z85"/>
  <c r="AC85"/>
  <c r="Z86"/>
  <c r="AC86"/>
  <c r="Z87"/>
  <c r="AC87"/>
  <c r="Z88"/>
  <c r="AC88"/>
  <c r="Z89"/>
  <c r="AC89"/>
  <c r="Z90"/>
  <c r="AC90"/>
  <c r="Z91"/>
  <c r="AC91"/>
  <c r="Z92"/>
  <c r="AC92"/>
  <c r="Z93"/>
  <c r="AC93"/>
  <c r="Z94"/>
  <c r="AC94"/>
  <c r="Z95"/>
  <c r="AC95"/>
  <c r="Z96"/>
  <c r="AC96"/>
  <c r="Z97"/>
  <c r="AC97"/>
  <c r="Z98"/>
  <c r="AC98"/>
  <c r="Z99"/>
  <c r="AC99"/>
  <c r="Z100"/>
  <c r="AC100"/>
  <c r="Z101"/>
  <c r="AC101"/>
  <c r="Z102"/>
  <c r="AC102"/>
  <c r="Z103"/>
  <c r="AC103"/>
  <c r="Z104"/>
  <c r="AC104"/>
  <c r="Z105"/>
  <c r="AC105"/>
  <c r="Z116"/>
  <c r="AC116"/>
  <c r="AC7"/>
  <c r="Z7"/>
  <c r="B7" i="25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C30"/>
  <c r="F30" i="21"/>
  <c r="F30" i="37"/>
  <c r="D30" i="25"/>
  <c r="H30" i="21"/>
  <c r="H30" i="37"/>
  <c r="K57" i="21"/>
  <c r="K56"/>
  <c r="K55"/>
  <c r="K54"/>
  <c r="K53"/>
  <c r="K52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4"/>
  <c r="K23"/>
  <c r="K22"/>
  <c r="K21"/>
  <c r="K20"/>
  <c r="K18"/>
  <c r="K17"/>
  <c r="K14"/>
  <c r="K13"/>
  <c r="K12"/>
  <c r="K9"/>
  <c r="K8"/>
  <c r="J7" i="25"/>
  <c r="K7" i="21"/>
  <c r="K7" i="37"/>
  <c r="K57"/>
  <c r="K56"/>
  <c r="K55"/>
  <c r="K54"/>
  <c r="K53"/>
  <c r="K52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8"/>
  <c r="K17"/>
  <c r="K14"/>
  <c r="K13"/>
  <c r="K10"/>
  <c r="K9"/>
  <c r="K8"/>
  <c r="K116" i="21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0"/>
  <c r="K89"/>
  <c r="K88"/>
  <c r="K87"/>
  <c r="K86"/>
  <c r="K85"/>
  <c r="K84"/>
  <c r="K83"/>
  <c r="K82"/>
  <c r="K81"/>
  <c r="K80"/>
  <c r="K79"/>
  <c r="K78"/>
  <c r="K77"/>
  <c r="K77" i="37"/>
  <c r="K76"/>
  <c r="K75" i="21"/>
  <c r="K75" i="37"/>
  <c r="K74" i="21"/>
  <c r="K74" i="37"/>
  <c r="K73" i="21"/>
  <c r="K73" i="37"/>
  <c r="K72"/>
  <c r="K71" i="21"/>
  <c r="K71" i="37"/>
  <c r="K70" i="21"/>
  <c r="K70" i="37"/>
  <c r="K69"/>
  <c r="K68" i="21"/>
  <c r="K68" i="37"/>
  <c r="K67" i="21"/>
  <c r="K67" i="37"/>
  <c r="K66" i="21"/>
  <c r="K66" i="37"/>
  <c r="K65" i="21"/>
  <c r="K65" i="37"/>
  <c r="K64" i="21"/>
  <c r="K64" i="37"/>
  <c r="K63"/>
  <c r="K62" i="21"/>
  <c r="K62" i="37"/>
  <c r="K61" i="21"/>
  <c r="K61" i="37"/>
  <c r="K60" i="21"/>
  <c r="K60" i="37"/>
  <c r="K59" i="21"/>
  <c r="K59" i="37"/>
  <c r="K58" i="21"/>
  <c r="K58" i="37"/>
  <c r="K116"/>
  <c r="K115"/>
  <c r="K114"/>
  <c r="K113"/>
  <c r="K112"/>
  <c r="K111"/>
  <c r="K110"/>
  <c r="K109"/>
  <c r="K108"/>
  <c r="K107"/>
  <c r="K106"/>
  <c r="K105"/>
  <c r="K104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3"/>
  <c r="K82"/>
  <c r="K81"/>
  <c r="K80"/>
  <c r="K79"/>
  <c r="K78"/>
  <c r="J116" i="21"/>
  <c r="E116" i="25"/>
  <c r="CK113" i="10"/>
  <c r="CM107"/>
  <c r="C27" i="41"/>
  <c r="G104" i="37"/>
  <c r="E98" i="25"/>
  <c r="G98" i="21"/>
  <c r="I110" i="37"/>
  <c r="I110" i="21"/>
  <c r="P110"/>
  <c r="BC110"/>
  <c r="G106" i="37"/>
  <c r="G106" i="21"/>
  <c r="E97" i="25"/>
  <c r="E96"/>
  <c r="H92"/>
  <c r="I100" i="37"/>
  <c r="H100" i="25"/>
  <c r="I108" i="37"/>
  <c r="G104" i="21"/>
  <c r="H110" i="25"/>
  <c r="E104"/>
  <c r="G98" i="37"/>
  <c r="C31" i="41"/>
  <c r="CJ96" i="10"/>
  <c r="CL96"/>
  <c r="CM109"/>
  <c r="L51" i="41"/>
  <c r="E51"/>
  <c r="J114" i="37"/>
  <c r="J114" i="21"/>
  <c r="I114" i="25"/>
  <c r="CI111" i="10"/>
  <c r="CJ111"/>
  <c r="CL111"/>
  <c r="CI108"/>
  <c r="CJ108"/>
  <c r="CL108"/>
  <c r="I110" i="25"/>
  <c r="J110" i="21"/>
  <c r="E108" i="25"/>
  <c r="G108" i="21"/>
  <c r="Q104" i="10"/>
  <c r="G107" i="25" s="1"/>
  <c r="CK99" i="10"/>
  <c r="CK90"/>
  <c r="CH90"/>
  <c r="CJ90"/>
  <c r="CL90"/>
  <c r="CM90"/>
  <c r="I94" i="37"/>
  <c r="H94" i="25"/>
  <c r="CJ94" i="10"/>
  <c r="CL94"/>
  <c r="E115" i="25"/>
  <c r="E103"/>
  <c r="G102" i="37"/>
  <c r="G102" i="21"/>
  <c r="G101" i="37"/>
  <c r="G95"/>
  <c r="G92"/>
  <c r="G92" i="21"/>
  <c r="E92" i="25"/>
  <c r="I104" i="37"/>
  <c r="I112"/>
  <c r="CJ95" i="10"/>
  <c r="CL95"/>
  <c r="CI110"/>
  <c r="CK110"/>
  <c r="CH110"/>
  <c r="CJ110"/>
  <c r="CL110"/>
  <c r="CI106"/>
  <c r="CK106"/>
  <c r="CJ106"/>
  <c r="CL106"/>
  <c r="CM106"/>
  <c r="CI104"/>
  <c r="CK104"/>
  <c r="CH103"/>
  <c r="CI103"/>
  <c r="CJ103"/>
  <c r="CL103"/>
  <c r="CK103"/>
  <c r="E105" i="25"/>
  <c r="I103"/>
  <c r="G100" i="37"/>
  <c r="E99" i="25"/>
  <c r="J94" i="37"/>
  <c r="P90" i="10"/>
  <c r="B93" i="37" s="1"/>
  <c r="H106" i="25"/>
  <c r="H114"/>
  <c r="CM93" i="10"/>
  <c r="H102" i="25"/>
  <c r="CJ99" i="10"/>
  <c r="CL99"/>
  <c r="J111" i="21"/>
  <c r="CK108" i="10"/>
  <c r="CM108"/>
  <c r="G95" i="21"/>
  <c r="E95" i="25"/>
  <c r="L33" i="41"/>
  <c r="CI102" i="10"/>
  <c r="CK102"/>
  <c r="CJ102"/>
  <c r="CL102"/>
  <c r="CM98"/>
  <c r="BC109" i="21"/>
  <c r="BE109"/>
  <c r="BC113"/>
  <c r="BE113"/>
  <c r="CJ91" i="10"/>
  <c r="CL91"/>
  <c r="CM91" s="1"/>
  <c r="CK109"/>
  <c r="BC97" i="21"/>
  <c r="BE97"/>
  <c r="BE105"/>
  <c r="CK112" i="10"/>
  <c r="CM112"/>
  <c r="CK105"/>
  <c r="CM105"/>
  <c r="CK98"/>
  <c r="CK95"/>
  <c r="CM95"/>
  <c r="CK94"/>
  <c r="CM94" s="1"/>
  <c r="CK93"/>
  <c r="CK100"/>
  <c r="CM100"/>
  <c r="CH77"/>
  <c r="I42" i="37"/>
  <c r="H42" i="25"/>
  <c r="E38"/>
  <c r="G38" i="21"/>
  <c r="G38" i="37"/>
  <c r="H53" i="25"/>
  <c r="I53" i="21"/>
  <c r="P53"/>
  <c r="BC53"/>
  <c r="I53" i="37"/>
  <c r="G44" i="21"/>
  <c r="E44" i="25"/>
  <c r="BD36" i="21"/>
  <c r="BE20"/>
  <c r="BE24"/>
  <c r="I10" i="25"/>
  <c r="I39" i="21"/>
  <c r="P39"/>
  <c r="I39" i="37"/>
  <c r="H39" i="25"/>
  <c r="I48" i="21"/>
  <c r="P48"/>
  <c r="BE48"/>
  <c r="I48" i="37"/>
  <c r="H48" i="25"/>
  <c r="BD43" i="21"/>
  <c r="BE45"/>
  <c r="BD65"/>
  <c r="K91"/>
  <c r="CI88" i="10"/>
  <c r="CH88"/>
  <c r="CJ88"/>
  <c r="CL88"/>
  <c r="E85" i="25"/>
  <c r="G85" i="37"/>
  <c r="G85" i="21"/>
  <c r="K63"/>
  <c r="I52" i="25"/>
  <c r="J52" i="37"/>
  <c r="J52" i="21"/>
  <c r="K25"/>
  <c r="I19" i="25"/>
  <c r="CI77" i="10"/>
  <c r="CK77"/>
  <c r="BD67" i="21"/>
  <c r="BE67"/>
  <c r="G68" i="37"/>
  <c r="G55" i="21"/>
  <c r="J22"/>
  <c r="I22" i="25"/>
  <c r="J22" i="37"/>
  <c r="G9"/>
  <c r="E9" i="25"/>
  <c r="I47" i="37"/>
  <c r="H47" i="25"/>
  <c r="H56"/>
  <c r="I71" i="21"/>
  <c r="P71"/>
  <c r="BC71"/>
  <c r="H71" i="25"/>
  <c r="CJ55" i="10"/>
  <c r="CL55"/>
  <c r="CJ50"/>
  <c r="CL50"/>
  <c r="Q109"/>
  <c r="M112" i="21" s="1"/>
  <c r="I82" i="25"/>
  <c r="J82" i="37"/>
  <c r="G76" i="21"/>
  <c r="E76" i="25"/>
  <c r="J71" i="37"/>
  <c r="I71" i="25"/>
  <c r="CH66" i="10"/>
  <c r="CM66"/>
  <c r="CI66"/>
  <c r="CK66"/>
  <c r="G61" i="37"/>
  <c r="E61" i="25"/>
  <c r="G61" i="21"/>
  <c r="G60" i="37"/>
  <c r="G60" i="21"/>
  <c r="E60" i="25"/>
  <c r="J58" i="37"/>
  <c r="J58" i="21"/>
  <c r="CI51" i="10"/>
  <c r="CK51"/>
  <c r="CJ51"/>
  <c r="CL51"/>
  <c r="CM51" s="1"/>
  <c r="G53" i="37"/>
  <c r="G53" i="21"/>
  <c r="J48"/>
  <c r="I48" i="25"/>
  <c r="E34"/>
  <c r="G34" i="21"/>
  <c r="G32" i="37"/>
  <c r="G32" i="21"/>
  <c r="CH21" i="10"/>
  <c r="CM21"/>
  <c r="CI21"/>
  <c r="CJ21" s="1"/>
  <c r="CL21" s="1"/>
  <c r="CK21"/>
  <c r="C20" i="25"/>
  <c r="D20"/>
  <c r="H20" i="21"/>
  <c r="F20" i="37"/>
  <c r="I61" i="21"/>
  <c r="P61"/>
  <c r="BC61"/>
  <c r="I61" i="37"/>
  <c r="H88" i="25"/>
  <c r="I88" i="37"/>
  <c r="E68" i="25"/>
  <c r="CM30" i="10"/>
  <c r="CJ70"/>
  <c r="CL70"/>
  <c r="E82" i="25"/>
  <c r="E71"/>
  <c r="I49"/>
  <c r="CH25" i="10"/>
  <c r="I12" i="25"/>
  <c r="J12" i="21"/>
  <c r="I50" i="37"/>
  <c r="H50" i="25"/>
  <c r="H74"/>
  <c r="H85"/>
  <c r="CJ74" i="10"/>
  <c r="CL74"/>
  <c r="G90" i="37"/>
  <c r="E90" i="25"/>
  <c r="G73" i="37"/>
  <c r="CH67" i="10"/>
  <c r="CM67"/>
  <c r="CJ67"/>
  <c r="CL67"/>
  <c r="G59" i="21"/>
  <c r="E40" i="25"/>
  <c r="G39" i="21"/>
  <c r="G39" i="37"/>
  <c r="G30" i="21"/>
  <c r="G14"/>
  <c r="J13"/>
  <c r="I11" i="25"/>
  <c r="J11" i="37"/>
  <c r="K69" i="21"/>
  <c r="K72"/>
  <c r="K76"/>
  <c r="G82"/>
  <c r="H80" i="25"/>
  <c r="G71" i="37"/>
  <c r="BE34" i="21"/>
  <c r="BD59"/>
  <c r="BD20"/>
  <c r="BD24"/>
  <c r="CI64" i="10"/>
  <c r="CH64"/>
  <c r="CJ64"/>
  <c r="CL64"/>
  <c r="CM86"/>
  <c r="F65" i="21"/>
  <c r="P110" i="10"/>
  <c r="F113" i="25" s="1"/>
  <c r="CK78" i="10"/>
  <c r="CH78"/>
  <c r="CM78"/>
  <c r="CJ78"/>
  <c r="CL78"/>
  <c r="CH59"/>
  <c r="CI59"/>
  <c r="CJ59"/>
  <c r="CL59"/>
  <c r="CK59"/>
  <c r="I59" i="25"/>
  <c r="CI49" i="10"/>
  <c r="CK49"/>
  <c r="CH49"/>
  <c r="CJ49"/>
  <c r="CL49"/>
  <c r="J50" i="21"/>
  <c r="CI42" i="10"/>
  <c r="CK42"/>
  <c r="CJ42"/>
  <c r="CL42"/>
  <c r="CM42"/>
  <c r="I44" i="25"/>
  <c r="J44" i="37"/>
  <c r="J39"/>
  <c r="I38" i="25"/>
  <c r="J38" i="21"/>
  <c r="J32" i="37"/>
  <c r="I23" i="25"/>
  <c r="J23" i="37"/>
  <c r="I21" i="25"/>
  <c r="J21" i="21"/>
  <c r="I17" i="25"/>
  <c r="J17" i="21"/>
  <c r="J17" i="37"/>
  <c r="BD69" i="21"/>
  <c r="BC83"/>
  <c r="BE83"/>
  <c r="CJ76" i="10"/>
  <c r="CL76"/>
  <c r="CJ23"/>
  <c r="CL23"/>
  <c r="CK11"/>
  <c r="CK31"/>
  <c r="CM31"/>
  <c r="F86" i="21"/>
  <c r="F82"/>
  <c r="C82" i="25"/>
  <c r="CJ58" i="10"/>
  <c r="CL58"/>
  <c r="P99"/>
  <c r="B102" i="21" s="1"/>
  <c r="J84"/>
  <c r="J74"/>
  <c r="CI71" i="10"/>
  <c r="CK71"/>
  <c r="CH71"/>
  <c r="CH65"/>
  <c r="CM65"/>
  <c r="CJ65"/>
  <c r="CL65"/>
  <c r="I64" i="25"/>
  <c r="J64" i="21"/>
  <c r="CK61" i="10"/>
  <c r="CJ61"/>
  <c r="CL61"/>
  <c r="I63" i="25"/>
  <c r="J63" i="37"/>
  <c r="I54" i="25"/>
  <c r="J47" i="37"/>
  <c r="J47" i="21"/>
  <c r="CH43" i="10"/>
  <c r="CK43"/>
  <c r="I42" i="25"/>
  <c r="J42" i="21"/>
  <c r="J33" i="37"/>
  <c r="J33" i="21"/>
  <c r="CI24" i="10"/>
  <c r="CI22"/>
  <c r="CK22"/>
  <c r="CH22"/>
  <c r="CJ22"/>
  <c r="CL22"/>
  <c r="CI5"/>
  <c r="CJ5" s="1"/>
  <c r="CL5" s="1"/>
  <c r="J7" i="37"/>
  <c r="I9" i="21"/>
  <c r="BD9" s="1"/>
  <c r="P9"/>
  <c r="BC9"/>
  <c r="BC57"/>
  <c r="BD63"/>
  <c r="BE85"/>
  <c r="BD23"/>
  <c r="F65" i="37"/>
  <c r="CK68" i="10"/>
  <c r="CJ18"/>
  <c r="CL18"/>
  <c r="P112"/>
  <c r="B115" i="37" s="1"/>
  <c r="Q112" i="10"/>
  <c r="M115" i="21" s="1"/>
  <c r="CK82" i="10"/>
  <c r="CM82"/>
  <c r="CK81"/>
  <c r="CM81"/>
  <c r="CK63"/>
  <c r="CM63"/>
  <c r="I86" i="25"/>
  <c r="CK75" i="10"/>
  <c r="CM75"/>
  <c r="CK62"/>
  <c r="CK33"/>
  <c r="CK26"/>
  <c r="CM26"/>
  <c r="Q106"/>
  <c r="M109" i="37" s="1"/>
  <c r="CK85" i="10"/>
  <c r="CM85"/>
  <c r="I68" i="25"/>
  <c r="CK38" i="10"/>
  <c r="CH38"/>
  <c r="CJ38"/>
  <c r="CL38"/>
  <c r="CM38"/>
  <c r="I25" i="25"/>
  <c r="BD34" i="21"/>
  <c r="BE89"/>
  <c r="CK87" i="10"/>
  <c r="CK70"/>
  <c r="CM70"/>
  <c r="CM68"/>
  <c r="CK46"/>
  <c r="CK27"/>
  <c r="CM8"/>
  <c r="C11" i="25" s="1"/>
  <c r="CK86" i="10"/>
  <c r="CK79"/>
  <c r="CK74"/>
  <c r="CM74"/>
  <c r="CK73"/>
  <c r="CK58"/>
  <c r="CM58" s="1"/>
  <c r="CK55"/>
  <c r="CM55"/>
  <c r="CK54"/>
  <c r="CK53"/>
  <c r="CM53"/>
  <c r="CK50"/>
  <c r="CM50"/>
  <c r="CK47"/>
  <c r="CK30"/>
  <c r="CK18"/>
  <c r="CM18"/>
  <c r="CK17"/>
  <c r="BD28" i="21"/>
  <c r="BD27"/>
  <c r="BD75"/>
  <c r="BC87"/>
  <c r="BE87"/>
  <c r="BC91"/>
  <c r="BE91"/>
  <c r="BC99"/>
  <c r="BE99"/>
  <c r="BE107"/>
  <c r="BE90"/>
  <c r="BC38"/>
  <c r="BD38"/>
  <c r="BE38"/>
  <c r="BD26"/>
  <c r="BD30"/>
  <c r="BD48"/>
  <c r="BD76"/>
  <c r="BE28"/>
  <c r="J113" i="37"/>
  <c r="J113" i="21"/>
  <c r="I113" i="25"/>
  <c r="J89" i="37"/>
  <c r="J89" i="21"/>
  <c r="I89" i="25"/>
  <c r="J53" i="37"/>
  <c r="J53" i="21"/>
  <c r="I53" i="25"/>
  <c r="CH48" i="10"/>
  <c r="CM48"/>
  <c r="CI48"/>
  <c r="CK48"/>
  <c r="CH40"/>
  <c r="CI40"/>
  <c r="CJ40"/>
  <c r="CL40"/>
  <c r="CH4"/>
  <c r="CM4" s="1"/>
  <c r="CI4"/>
  <c r="Q100"/>
  <c r="M103" i="21" s="1"/>
  <c r="F101"/>
  <c r="F101" i="37"/>
  <c r="D101" i="25"/>
  <c r="H101" i="21"/>
  <c r="C76" i="25"/>
  <c r="H76" i="21"/>
  <c r="H76" i="37"/>
  <c r="F76"/>
  <c r="D76" i="25"/>
  <c r="I70"/>
  <c r="CH35" i="10"/>
  <c r="J18" i="21"/>
  <c r="BD35"/>
  <c r="BE22"/>
  <c r="I115" i="25"/>
  <c r="J115" i="21"/>
  <c r="J115" i="37"/>
  <c r="CH92" i="10"/>
  <c r="CI92"/>
  <c r="CJ92"/>
  <c r="CL92"/>
  <c r="CK92"/>
  <c r="CK72"/>
  <c r="CH72"/>
  <c r="CM72"/>
  <c r="CJ72"/>
  <c r="CL72"/>
  <c r="CK57"/>
  <c r="CM57"/>
  <c r="CJ57"/>
  <c r="CL57"/>
  <c r="I58" i="25"/>
  <c r="CI34" i="10"/>
  <c r="CK34"/>
  <c r="CH34"/>
  <c r="CJ34"/>
  <c r="CL34"/>
  <c r="I31" i="25"/>
  <c r="J31" i="37"/>
  <c r="I11" i="21"/>
  <c r="BD11" s="1"/>
  <c r="P11"/>
  <c r="BC11" s="1"/>
  <c r="I33"/>
  <c r="P33"/>
  <c r="BC33"/>
  <c r="I37"/>
  <c r="P37"/>
  <c r="I40"/>
  <c r="P40"/>
  <c r="I42"/>
  <c r="P42"/>
  <c r="BC42"/>
  <c r="I46"/>
  <c r="P46"/>
  <c r="I50"/>
  <c r="P50"/>
  <c r="BC50"/>
  <c r="I52"/>
  <c r="P52"/>
  <c r="I54"/>
  <c r="P54"/>
  <c r="BC54"/>
  <c r="I56"/>
  <c r="P56"/>
  <c r="BC56"/>
  <c r="I58"/>
  <c r="P58"/>
  <c r="I60"/>
  <c r="P60"/>
  <c r="BC60"/>
  <c r="I62"/>
  <c r="P62"/>
  <c r="BC62"/>
  <c r="I64"/>
  <c r="P64"/>
  <c r="BC64"/>
  <c r="I66"/>
  <c r="P66"/>
  <c r="I68"/>
  <c r="P68"/>
  <c r="I70"/>
  <c r="P70"/>
  <c r="BC70"/>
  <c r="I72"/>
  <c r="P72"/>
  <c r="I78"/>
  <c r="P78"/>
  <c r="BC78"/>
  <c r="I80"/>
  <c r="P80"/>
  <c r="I82"/>
  <c r="P82"/>
  <c r="BC82"/>
  <c r="I84"/>
  <c r="P84"/>
  <c r="I88"/>
  <c r="P88"/>
  <c r="I92"/>
  <c r="P92"/>
  <c r="BC92"/>
  <c r="I94"/>
  <c r="P94"/>
  <c r="BC94"/>
  <c r="I96"/>
  <c r="P96"/>
  <c r="BC96"/>
  <c r="I98"/>
  <c r="P98"/>
  <c r="I100"/>
  <c r="P100"/>
  <c r="BC100"/>
  <c r="I102"/>
  <c r="P102"/>
  <c r="I104"/>
  <c r="P104"/>
  <c r="I106"/>
  <c r="P106"/>
  <c r="I108"/>
  <c r="P108"/>
  <c r="BC108"/>
  <c r="I112"/>
  <c r="P112"/>
  <c r="BC112"/>
  <c r="I114"/>
  <c r="P114"/>
  <c r="BC114"/>
  <c r="H56" i="37"/>
  <c r="G8"/>
  <c r="CK35" i="10"/>
  <c r="C56" i="25"/>
  <c r="G103" i="21"/>
  <c r="G51"/>
  <c r="G47"/>
  <c r="E8" i="25"/>
  <c r="G116" i="37"/>
  <c r="G103"/>
  <c r="AH117" i="21"/>
  <c r="BE116"/>
  <c r="BD90"/>
  <c r="BE115"/>
  <c r="BD17"/>
  <c r="H101" i="37"/>
  <c r="BD31" i="21"/>
  <c r="BE79"/>
  <c r="BD21"/>
  <c r="BE47"/>
  <c r="BE51"/>
  <c r="BC74"/>
  <c r="BD74"/>
  <c r="BC98"/>
  <c r="J70" i="37"/>
  <c r="BE74" i="21"/>
  <c r="BD86"/>
  <c r="BE86"/>
  <c r="I46" i="25"/>
  <c r="J46" i="37"/>
  <c r="J46" i="21"/>
  <c r="BE44"/>
  <c r="I66" i="25"/>
  <c r="J66" i="37"/>
  <c r="CH52" i="10"/>
  <c r="CI52"/>
  <c r="CJ52"/>
  <c r="CL52"/>
  <c r="CK52"/>
  <c r="I47" i="25"/>
  <c r="BE55" i="21"/>
  <c r="BE110"/>
  <c r="BD110"/>
  <c r="CK97" i="10"/>
  <c r="CH97"/>
  <c r="CJ97"/>
  <c r="CL97"/>
  <c r="CM97" s="1"/>
  <c r="J97" i="37"/>
  <c r="J97" i="21"/>
  <c r="I97" i="25"/>
  <c r="CM77" i="10"/>
  <c r="J78" i="37"/>
  <c r="I78" i="25"/>
  <c r="J78" i="21"/>
  <c r="C64" i="25"/>
  <c r="H64" i="37"/>
  <c r="G116" i="21"/>
  <c r="G8"/>
  <c r="K84" i="37"/>
  <c r="K103"/>
  <c r="K51"/>
  <c r="K51" i="21"/>
  <c r="G54"/>
  <c r="G50"/>
  <c r="CI101" i="10"/>
  <c r="CK101"/>
  <c r="F76" i="21"/>
  <c r="CH101" i="10"/>
  <c r="C101" i="25"/>
  <c r="C57"/>
  <c r="BD73" i="21"/>
  <c r="BE57"/>
  <c r="BD57"/>
  <c r="I111" i="25"/>
  <c r="J111" i="37"/>
  <c r="J109"/>
  <c r="I109" i="25"/>
  <c r="J109" i="21"/>
  <c r="CM89" i="10"/>
  <c r="CI89"/>
  <c r="CK89"/>
  <c r="CJ89"/>
  <c r="CL89"/>
  <c r="I90" i="25"/>
  <c r="C88"/>
  <c r="H88" i="21"/>
  <c r="H88" i="37"/>
  <c r="J85"/>
  <c r="J85" i="21"/>
  <c r="CK80" i="10"/>
  <c r="CH80"/>
  <c r="CJ80"/>
  <c r="CL80"/>
  <c r="J77" i="37"/>
  <c r="J77" i="21"/>
  <c r="C65" i="25"/>
  <c r="H65" i="21"/>
  <c r="H65" i="37"/>
  <c r="CK60" i="10"/>
  <c r="CH60"/>
  <c r="CJ60"/>
  <c r="CL60"/>
  <c r="CM60"/>
  <c r="J57" i="37"/>
  <c r="J57" i="21"/>
  <c r="CI44" i="10"/>
  <c r="CH44"/>
  <c r="CM44"/>
  <c r="CK44"/>
  <c r="CJ44"/>
  <c r="CL44"/>
  <c r="CH36"/>
  <c r="CJ36"/>
  <c r="CL36"/>
  <c r="J38" i="37"/>
  <c r="BD22" i="21"/>
  <c r="BD32"/>
  <c r="CK36" i="10"/>
  <c r="CM36" s="1"/>
  <c r="I107" i="25"/>
  <c r="I102"/>
  <c r="I98"/>
  <c r="J98" i="37"/>
  <c r="F96"/>
  <c r="H89"/>
  <c r="CH84" i="10"/>
  <c r="CM84"/>
  <c r="CK69"/>
  <c r="CH69"/>
  <c r="CJ69"/>
  <c r="CL69"/>
  <c r="CK65"/>
  <c r="J65" i="37"/>
  <c r="J65" i="21"/>
  <c r="CK45" i="10"/>
  <c r="CH45"/>
  <c r="CM45"/>
  <c r="J42" i="37"/>
  <c r="I34" i="25"/>
  <c r="BD25" i="21"/>
  <c r="BD29"/>
  <c r="CK84" i="10"/>
  <c r="I116" i="25"/>
  <c r="J116" i="37"/>
  <c r="I112" i="25"/>
  <c r="J112" i="37"/>
  <c r="I108" i="25"/>
  <c r="J108" i="37"/>
  <c r="J101"/>
  <c r="CK96" i="10"/>
  <c r="CM96"/>
  <c r="CK88"/>
  <c r="J69" i="37"/>
  <c r="CK56" i="10"/>
  <c r="CM56"/>
  <c r="CK37"/>
  <c r="CM37"/>
  <c r="I36" i="25"/>
  <c r="J36" i="37"/>
  <c r="CK29" i="10"/>
  <c r="CM29"/>
  <c r="CH28"/>
  <c r="CJ28"/>
  <c r="CL28"/>
  <c r="CH24"/>
  <c r="CJ24"/>
  <c r="CL24"/>
  <c r="CK24"/>
  <c r="CI19"/>
  <c r="CH19"/>
  <c r="CM19"/>
  <c r="J21" i="37"/>
  <c r="CH16" i="10"/>
  <c r="CJ16" s="1"/>
  <c r="CL16" s="1"/>
  <c r="I16" i="25"/>
  <c r="J16" i="37"/>
  <c r="CK28" i="10"/>
  <c r="CK19"/>
  <c r="J105" i="37"/>
  <c r="J93"/>
  <c r="J81"/>
  <c r="J73"/>
  <c r="J61"/>
  <c r="J49"/>
  <c r="CK41" i="10"/>
  <c r="CM41"/>
  <c r="I43" i="25"/>
  <c r="I39"/>
  <c r="I35"/>
  <c r="CI20" i="10"/>
  <c r="CH20"/>
  <c r="CJ20"/>
  <c r="CL20"/>
  <c r="CK76"/>
  <c r="CM76"/>
  <c r="CK20"/>
  <c r="CM20" s="1"/>
  <c r="CK39"/>
  <c r="CM39" s="1"/>
  <c r="CI32"/>
  <c r="CH32"/>
  <c r="CM32"/>
  <c r="CI25"/>
  <c r="CJ25"/>
  <c r="CL25"/>
  <c r="CK25"/>
  <c r="CM25"/>
  <c r="CK5"/>
  <c r="CH5"/>
  <c r="CH33"/>
  <c r="CK32"/>
  <c r="C98" i="25"/>
  <c r="D98"/>
  <c r="F98" i="37"/>
  <c r="H98"/>
  <c r="F98" i="21"/>
  <c r="H98"/>
  <c r="D111" i="25"/>
  <c r="F111" i="37"/>
  <c r="H111" i="21"/>
  <c r="F111"/>
  <c r="H111" i="37"/>
  <c r="C111" i="25"/>
  <c r="F109" i="21"/>
  <c r="F109" i="37"/>
  <c r="H109" i="21"/>
  <c r="H109" i="37"/>
  <c r="C109" i="25"/>
  <c r="D109"/>
  <c r="CM102" i="10"/>
  <c r="F115" i="21"/>
  <c r="F115" i="37"/>
  <c r="H115" i="21"/>
  <c r="C115" i="25"/>
  <c r="H115" i="37"/>
  <c r="D115" i="25"/>
  <c r="CM99" i="10"/>
  <c r="C103" i="25"/>
  <c r="F103" i="21"/>
  <c r="H103" i="37"/>
  <c r="F103"/>
  <c r="D103" i="25"/>
  <c r="H103" i="21"/>
  <c r="C93" i="25"/>
  <c r="F93" i="21"/>
  <c r="H93" i="37"/>
  <c r="H93" i="21"/>
  <c r="F93" i="37"/>
  <c r="D93" i="25"/>
  <c r="H108" i="37"/>
  <c r="C108" i="25"/>
  <c r="D108"/>
  <c r="F108" i="37"/>
  <c r="F108" i="21"/>
  <c r="H108"/>
  <c r="C96" i="25"/>
  <c r="H96" i="21"/>
  <c r="H96" i="37"/>
  <c r="C112" i="25"/>
  <c r="D112"/>
  <c r="F112" i="37"/>
  <c r="F112" i="21"/>
  <c r="H112"/>
  <c r="H112" i="37"/>
  <c r="CM92" i="10"/>
  <c r="CJ104"/>
  <c r="CL104"/>
  <c r="CM104" s="1"/>
  <c r="F96" i="21"/>
  <c r="CJ101" i="10"/>
  <c r="CL101"/>
  <c r="CM101"/>
  <c r="CM103"/>
  <c r="CM110"/>
  <c r="CK111"/>
  <c r="CM111"/>
  <c r="C110" i="25"/>
  <c r="F110" i="21"/>
  <c r="F110" i="37"/>
  <c r="H110" i="21"/>
  <c r="H110" i="37"/>
  <c r="D110" i="25"/>
  <c r="D96"/>
  <c r="D53"/>
  <c r="F53" i="21"/>
  <c r="H53" i="37"/>
  <c r="H53" i="21"/>
  <c r="C53" i="25"/>
  <c r="F53" i="37"/>
  <c r="F79"/>
  <c r="D79" i="25"/>
  <c r="H79" i="21"/>
  <c r="C79" i="25"/>
  <c r="F79" i="21"/>
  <c r="H79" i="37"/>
  <c r="D70" i="25"/>
  <c r="H70" i="21"/>
  <c r="F70" i="37"/>
  <c r="C70" i="25"/>
  <c r="H70" i="37"/>
  <c r="F70" i="21"/>
  <c r="D24" i="25"/>
  <c r="F24" i="37"/>
  <c r="H24" i="21"/>
  <c r="F24"/>
  <c r="H24" i="37"/>
  <c r="C24" i="25"/>
  <c r="H69" i="21"/>
  <c r="H69" i="37"/>
  <c r="C69" i="25"/>
  <c r="F69" i="37"/>
  <c r="F69" i="21"/>
  <c r="D69" i="25"/>
  <c r="F77" i="37"/>
  <c r="C77" i="25"/>
  <c r="H77" i="37"/>
  <c r="F77" i="21"/>
  <c r="H77"/>
  <c r="D77" i="25"/>
  <c r="CM35" i="10"/>
  <c r="CM52"/>
  <c r="CM28"/>
  <c r="CM59"/>
  <c r="D56" i="25"/>
  <c r="C71"/>
  <c r="F71" i="37"/>
  <c r="F71" i="21"/>
  <c r="H71" i="37"/>
  <c r="D71" i="25"/>
  <c r="H71" i="21"/>
  <c r="C68" i="25"/>
  <c r="F68" i="37"/>
  <c r="H68" i="21"/>
  <c r="H68" i="37"/>
  <c r="D68" i="25"/>
  <c r="F68" i="21"/>
  <c r="F89" i="37"/>
  <c r="D89" i="25"/>
  <c r="C89"/>
  <c r="F89" i="21"/>
  <c r="F73"/>
  <c r="D73" i="25"/>
  <c r="H73" i="21"/>
  <c r="C73" i="25"/>
  <c r="F73" i="37"/>
  <c r="H73"/>
  <c r="BE53" i="21"/>
  <c r="BD53"/>
  <c r="D41" i="25"/>
  <c r="F41" i="21"/>
  <c r="H41" i="37"/>
  <c r="F41"/>
  <c r="C41" i="25"/>
  <c r="H41" i="21"/>
  <c r="F88"/>
  <c r="D88" i="25"/>
  <c r="F88" i="37"/>
  <c r="D66" i="25"/>
  <c r="F66" i="21"/>
  <c r="H66" i="37"/>
  <c r="C66" i="25"/>
  <c r="H66" i="21"/>
  <c r="F66" i="37"/>
  <c r="F85"/>
  <c r="D85" i="25"/>
  <c r="H85" i="21"/>
  <c r="C85" i="25"/>
  <c r="H85" i="37"/>
  <c r="F85" i="21"/>
  <c r="CJ71" i="10"/>
  <c r="CL71"/>
  <c r="CM71" s="1"/>
  <c r="D45" i="25"/>
  <c r="F45" i="21"/>
  <c r="H45" i="37"/>
  <c r="C45" i="25"/>
  <c r="H45" i="21"/>
  <c r="F45" i="37"/>
  <c r="C33" i="25"/>
  <c r="D33"/>
  <c r="F33" i="21"/>
  <c r="F33" i="37"/>
  <c r="H33"/>
  <c r="H33" i="21"/>
  <c r="CM88" i="10"/>
  <c r="F56" i="21"/>
  <c r="CJ43" i="10"/>
  <c r="CL43"/>
  <c r="CM5"/>
  <c r="F8" i="21" s="1"/>
  <c r="CJ19" i="10"/>
  <c r="CL19"/>
  <c r="CK64"/>
  <c r="CM64" s="1"/>
  <c r="CJ45"/>
  <c r="CL45"/>
  <c r="CM69"/>
  <c r="CJ84"/>
  <c r="CL84"/>
  <c r="F56" i="37"/>
  <c r="CJ35" i="10"/>
  <c r="CL35"/>
  <c r="CM49"/>
  <c r="CJ66"/>
  <c r="CL66"/>
  <c r="C21" i="25"/>
  <c r="F21" i="37"/>
  <c r="H21" i="21"/>
  <c r="D21" i="25"/>
  <c r="F21" i="21"/>
  <c r="H21" i="37"/>
  <c r="F84"/>
  <c r="D84" i="25"/>
  <c r="H84" i="21"/>
  <c r="F84"/>
  <c r="C84" i="25"/>
  <c r="H84" i="37"/>
  <c r="BE9" i="21"/>
  <c r="O12" i="10"/>
  <c r="P12" s="1"/>
  <c r="B15" i="37" s="1"/>
  <c r="O13" i="10"/>
  <c r="P13" s="1"/>
  <c r="F16" i="25" s="1"/>
  <c r="O18" i="10"/>
  <c r="Q18" s="1"/>
  <c r="O24"/>
  <c r="Q24" s="1"/>
  <c r="M27" i="37" s="1"/>
  <c r="O25" i="10"/>
  <c r="Q25" s="1"/>
  <c r="G28" i="25" s="1"/>
  <c r="O27" i="10"/>
  <c r="Q27" s="1"/>
  <c r="O39"/>
  <c r="O44"/>
  <c r="Q44" s="1"/>
  <c r="O45"/>
  <c r="P45" s="1"/>
  <c r="O47"/>
  <c r="Q47" s="1"/>
  <c r="G50" i="25" s="1"/>
  <c r="O48" i="10"/>
  <c r="Q48"/>
  <c r="M51" i="37" s="1"/>
  <c r="O49" i="10"/>
  <c r="Q49" s="1"/>
  <c r="O50"/>
  <c r="Q50" s="1"/>
  <c r="M53" i="21" s="1"/>
  <c r="O55" i="10"/>
  <c r="O56"/>
  <c r="Q56" s="1"/>
  <c r="O58"/>
  <c r="Q58" s="1"/>
  <c r="O61"/>
  <c r="Q61" s="1"/>
  <c r="O66"/>
  <c r="P66" s="1"/>
  <c r="B69" i="37" s="1"/>
  <c r="O79" i="10"/>
  <c r="P79" s="1"/>
  <c r="O80"/>
  <c r="Q80" s="1"/>
  <c r="M83" i="21" s="1"/>
  <c r="O81" i="10"/>
  <c r="Q81" s="1"/>
  <c r="G84" i="25" s="1"/>
  <c r="O86" i="10"/>
  <c r="Q86" s="1"/>
  <c r="O88"/>
  <c r="O7"/>
  <c r="P7" s="1"/>
  <c r="O8"/>
  <c r="P8" s="1"/>
  <c r="O9"/>
  <c r="Q9" s="1"/>
  <c r="M12" i="37" s="1"/>
  <c r="O16" i="10"/>
  <c r="P16" s="1"/>
  <c r="O17"/>
  <c r="Q17" s="1"/>
  <c r="M20" i="21" s="1"/>
  <c r="O19" i="10"/>
  <c r="P19" s="1"/>
  <c r="B22" i="37" s="1"/>
  <c r="O23" i="10"/>
  <c r="P23" s="1"/>
  <c r="O46"/>
  <c r="Q46" s="1"/>
  <c r="M49" i="37" s="1"/>
  <c r="O63" i="10"/>
  <c r="P63" s="1"/>
  <c r="O69"/>
  <c r="P69" s="1"/>
  <c r="B72" i="37" s="1"/>
  <c r="O72" i="10"/>
  <c r="P72" s="1"/>
  <c r="F75" i="25" s="1"/>
  <c r="O74" i="10"/>
  <c r="Q74" s="1"/>
  <c r="O82"/>
  <c r="P82" s="1"/>
  <c r="B85" i="37" s="1"/>
  <c r="O6" i="10"/>
  <c r="P6" s="1"/>
  <c r="B9" i="37" s="1"/>
  <c r="O20" i="10"/>
  <c r="Q20" s="1"/>
  <c r="O21"/>
  <c r="O22"/>
  <c r="P22" s="1"/>
  <c r="B25" i="21" s="1"/>
  <c r="O26" i="10"/>
  <c r="P26" s="1"/>
  <c r="O28"/>
  <c r="P28" s="1"/>
  <c r="O31"/>
  <c r="Q31" s="1"/>
  <c r="O34"/>
  <c r="Q34" s="1"/>
  <c r="O43"/>
  <c r="P43" s="1"/>
  <c r="B46" i="21" s="1"/>
  <c r="O51" i="10"/>
  <c r="P51" s="1"/>
  <c r="O52"/>
  <c r="P52" s="1"/>
  <c r="O59"/>
  <c r="P59" s="1"/>
  <c r="F62" i="25" s="1"/>
  <c r="O64" i="10"/>
  <c r="Q64" s="1"/>
  <c r="O65"/>
  <c r="P65" s="1"/>
  <c r="F68" i="25" s="1"/>
  <c r="O75" i="10"/>
  <c r="Q75" s="1"/>
  <c r="O77"/>
  <c r="P77" s="1"/>
  <c r="F80" i="25" s="1"/>
  <c r="O83" i="10"/>
  <c r="Q83" s="1"/>
  <c r="G86" i="25" s="1"/>
  <c r="O40" i="10"/>
  <c r="P40" s="1"/>
  <c r="O53"/>
  <c r="O60"/>
  <c r="P60" s="1"/>
  <c r="F63" i="25" s="1"/>
  <c r="O62" i="10"/>
  <c r="P62" s="1"/>
  <c r="O70"/>
  <c r="Q70" s="1"/>
  <c r="O76"/>
  <c r="Q76" s="1"/>
  <c r="O78"/>
  <c r="Q78" s="1"/>
  <c r="G81" i="25" s="1"/>
  <c r="O85" i="10"/>
  <c r="Q85" s="1"/>
  <c r="M88" i="21" s="1"/>
  <c r="O87" i="10"/>
  <c r="O14"/>
  <c r="Q14" s="1"/>
  <c r="G17" i="25" s="1"/>
  <c r="O15" i="10"/>
  <c r="Q15" s="1"/>
  <c r="M18" i="21" s="1"/>
  <c r="O29" i="10"/>
  <c r="P29" s="1"/>
  <c r="B32" i="37" s="1"/>
  <c r="O35" i="10"/>
  <c r="Q35" s="1"/>
  <c r="M38" i="37" s="1"/>
  <c r="O36" i="10"/>
  <c r="Q36" s="1"/>
  <c r="O41"/>
  <c r="Q41" s="1"/>
  <c r="M44" i="37" s="1"/>
  <c r="O67" i="10"/>
  <c r="Q67" s="1"/>
  <c r="O73"/>
  <c r="Q73" s="1"/>
  <c r="O5"/>
  <c r="O11"/>
  <c r="Q11" s="1"/>
  <c r="M14" i="21" s="1"/>
  <c r="O42" i="10"/>
  <c r="Q42" s="1"/>
  <c r="O57"/>
  <c r="Q57" s="1"/>
  <c r="M60" i="37" s="1"/>
  <c r="O71" i="10"/>
  <c r="P71" s="1"/>
  <c r="F74" i="25" s="1"/>
  <c r="O32" i="10"/>
  <c r="P32" s="1"/>
  <c r="O33"/>
  <c r="O37"/>
  <c r="O38"/>
  <c r="P38" s="1"/>
  <c r="B41" i="21" s="1"/>
  <c r="O54" i="10"/>
  <c r="P54" s="1"/>
  <c r="O68"/>
  <c r="P68" s="1"/>
  <c r="O10"/>
  <c r="P10" s="1"/>
  <c r="B13" i="21" s="1"/>
  <c r="O30" i="10"/>
  <c r="Q30" s="1"/>
  <c r="M33" i="21" s="1"/>
  <c r="O84" i="10"/>
  <c r="P84" s="1"/>
  <c r="BD61" i="21"/>
  <c r="BE61"/>
  <c r="CJ33" i="10"/>
  <c r="CL33"/>
  <c r="CM33" s="1"/>
  <c r="F81" i="21"/>
  <c r="F81" i="37"/>
  <c r="H81"/>
  <c r="C81" i="25"/>
  <c r="H81" i="21"/>
  <c r="D81" i="25"/>
  <c r="C58"/>
  <c r="D58"/>
  <c r="H58" i="21"/>
  <c r="F58" i="37"/>
  <c r="F58" i="21"/>
  <c r="H58" i="37"/>
  <c r="BD71" i="21"/>
  <c r="BE71"/>
  <c r="BE39"/>
  <c r="BD39"/>
  <c r="CJ77" i="10"/>
  <c r="CL77"/>
  <c r="H56" i="21"/>
  <c r="CK40" i="10"/>
  <c r="CM40"/>
  <c r="CJ32"/>
  <c r="CL32"/>
  <c r="CM24"/>
  <c r="H89" i="21"/>
  <c r="CM80" i="10"/>
  <c r="CM22"/>
  <c r="C32" i="25"/>
  <c r="H32" i="21"/>
  <c r="F32"/>
  <c r="BD112"/>
  <c r="BE112"/>
  <c r="BD108"/>
  <c r="BE108"/>
  <c r="BD104"/>
  <c r="BE104"/>
  <c r="BD82"/>
  <c r="BE82"/>
  <c r="BD68"/>
  <c r="BE68"/>
  <c r="BE56"/>
  <c r="BD56"/>
  <c r="BE50"/>
  <c r="BD50"/>
  <c r="BD106"/>
  <c r="BE106"/>
  <c r="BD100"/>
  <c r="BE100"/>
  <c r="BD98"/>
  <c r="BE98"/>
  <c r="BD96"/>
  <c r="BE96"/>
  <c r="BD92"/>
  <c r="BE92"/>
  <c r="BD80"/>
  <c r="BE80"/>
  <c r="BD64"/>
  <c r="BE64"/>
  <c r="BD60"/>
  <c r="BE60"/>
  <c r="BE52"/>
  <c r="BD52"/>
  <c r="BE42"/>
  <c r="BD42"/>
  <c r="BD40"/>
  <c r="BE40"/>
  <c r="D60" i="25"/>
  <c r="H60" i="21"/>
  <c r="F60"/>
  <c r="H60" i="37"/>
  <c r="C60" i="25"/>
  <c r="F60" i="37"/>
  <c r="F75" i="21"/>
  <c r="F75" i="37"/>
  <c r="D75" i="25"/>
  <c r="H75" i="21"/>
  <c r="C75" i="25"/>
  <c r="H75" i="37"/>
  <c r="F72" i="21"/>
  <c r="F72" i="37"/>
  <c r="C80" i="25"/>
  <c r="H80" i="21"/>
  <c r="H80" i="37"/>
  <c r="F80"/>
  <c r="D80" i="25"/>
  <c r="F80" i="21"/>
  <c r="C104" i="25"/>
  <c r="H104" i="21"/>
  <c r="H104" i="37"/>
  <c r="F104" i="21"/>
  <c r="D104" i="25"/>
  <c r="F104" i="37"/>
  <c r="BE114" i="21"/>
  <c r="BD114"/>
  <c r="BD94"/>
  <c r="BE94"/>
  <c r="BD88"/>
  <c r="BE88"/>
  <c r="BD78"/>
  <c r="BE78"/>
  <c r="BD62"/>
  <c r="BE62"/>
  <c r="BD58"/>
  <c r="BE58"/>
  <c r="BD46"/>
  <c r="BE46"/>
  <c r="F28" i="37"/>
  <c r="H28" i="21"/>
  <c r="D28" i="25"/>
  <c r="F28" i="21"/>
  <c r="H28" i="37"/>
  <c r="C28" i="25"/>
  <c r="BD102" i="21"/>
  <c r="BE102"/>
  <c r="BD84"/>
  <c r="BE84"/>
  <c r="BD66"/>
  <c r="BE66"/>
  <c r="BD54"/>
  <c r="BE54"/>
  <c r="BD33"/>
  <c r="BE33"/>
  <c r="BE11"/>
  <c r="C8" i="25"/>
  <c r="C44"/>
  <c r="H44" i="21"/>
  <c r="H44" i="37"/>
  <c r="F44"/>
  <c r="D44" i="25"/>
  <c r="F44" i="21"/>
  <c r="C31" i="25"/>
  <c r="H31" i="21"/>
  <c r="F31" i="37"/>
  <c r="D31" i="25"/>
  <c r="F31" i="21"/>
  <c r="H31" i="37"/>
  <c r="F91" i="21"/>
  <c r="F91" i="37"/>
  <c r="D91" i="25"/>
  <c r="C91"/>
  <c r="H91" i="21"/>
  <c r="H91" i="37"/>
  <c r="H99" i="21"/>
  <c r="H99" i="37"/>
  <c r="C99" i="25"/>
  <c r="F99" i="37"/>
  <c r="D99" i="25"/>
  <c r="F99" i="21"/>
  <c r="F43"/>
  <c r="D43" i="25"/>
  <c r="C43"/>
  <c r="H43" i="37"/>
  <c r="F51" i="21"/>
  <c r="F51" i="37"/>
  <c r="D51" i="25"/>
  <c r="H51" i="37"/>
  <c r="C51" i="25"/>
  <c r="H51" i="21"/>
  <c r="F22" i="37"/>
  <c r="H22" i="21"/>
  <c r="F22"/>
  <c r="H22" i="37"/>
  <c r="C22" i="25"/>
  <c r="D22"/>
  <c r="C27"/>
  <c r="H27" i="21"/>
  <c r="H27" i="37"/>
  <c r="F27" i="21"/>
  <c r="F27" i="37"/>
  <c r="D27" i="25"/>
  <c r="F40" i="21"/>
  <c r="F40" i="37"/>
  <c r="D40" i="25"/>
  <c r="H40" i="37"/>
  <c r="C40" i="25"/>
  <c r="H40" i="21"/>
  <c r="C59" i="25"/>
  <c r="D59"/>
  <c r="F59" i="21"/>
  <c r="H59" i="37"/>
  <c r="F59"/>
  <c r="H59" i="21"/>
  <c r="F48"/>
  <c r="F48" i="37"/>
  <c r="D48" i="25"/>
  <c r="H48" i="21"/>
  <c r="C48" i="25"/>
  <c r="H48" i="37"/>
  <c r="F87" i="21"/>
  <c r="F87" i="37"/>
  <c r="D87" i="25"/>
  <c r="C87"/>
  <c r="H87" i="37"/>
  <c r="H87" i="21"/>
  <c r="F83"/>
  <c r="F83" i="37"/>
  <c r="C92" i="25"/>
  <c r="H92" i="21"/>
  <c r="H92" i="37"/>
  <c r="D92" i="25"/>
  <c r="F92" i="21"/>
  <c r="F92" i="37"/>
  <c r="H55"/>
  <c r="F55" i="21"/>
  <c r="BD72"/>
  <c r="BE72"/>
  <c r="BD70"/>
  <c r="BE70"/>
  <c r="BE37"/>
  <c r="BD37"/>
  <c r="D95" i="25"/>
  <c r="H95" i="37"/>
  <c r="C102" i="25"/>
  <c r="H102" i="37"/>
  <c r="D102" i="25"/>
  <c r="F102" i="37"/>
  <c r="F102" i="21"/>
  <c r="H102"/>
  <c r="C106" i="25"/>
  <c r="F106" i="21"/>
  <c r="F106" i="37"/>
  <c r="H106" i="21"/>
  <c r="D106" i="25"/>
  <c r="H106" i="37"/>
  <c r="F105" i="21"/>
  <c r="F105" i="37"/>
  <c r="H105" i="21"/>
  <c r="H105" i="37"/>
  <c r="D105" i="25"/>
  <c r="C105"/>
  <c r="H113" i="37"/>
  <c r="D113" i="25"/>
  <c r="F113" i="37"/>
  <c r="F113" i="21"/>
  <c r="H113"/>
  <c r="C114" i="25"/>
  <c r="F114" i="21"/>
  <c r="F114" i="37"/>
  <c r="H114" i="21"/>
  <c r="H114" i="37"/>
  <c r="D114" i="25"/>
  <c r="F95" i="21"/>
  <c r="C95" i="25"/>
  <c r="H95" i="21"/>
  <c r="F95" i="37"/>
  <c r="F25"/>
  <c r="H25" i="21"/>
  <c r="F25"/>
  <c r="H25" i="37"/>
  <c r="C25" i="25"/>
  <c r="D25"/>
  <c r="Q19" i="10"/>
  <c r="P81"/>
  <c r="F84" i="25" s="1"/>
  <c r="Q37" i="10"/>
  <c r="G40" i="25" s="1"/>
  <c r="P37" i="10"/>
  <c r="B40" i="21" s="1"/>
  <c r="Q87" i="10"/>
  <c r="M90" i="21" s="1"/>
  <c r="P87" i="10"/>
  <c r="F90" i="25" s="1"/>
  <c r="Q51" i="10"/>
  <c r="G54" i="25" s="1"/>
  <c r="P55" i="10"/>
  <c r="B58" i="21" s="1"/>
  <c r="Q55" i="10"/>
  <c r="M58" i="21" s="1"/>
  <c r="Q38" i="10"/>
  <c r="G41" i="25" s="1"/>
  <c r="P56" i="10"/>
  <c r="F59" i="25" s="1"/>
  <c r="P48" i="10"/>
  <c r="B51" i="37" s="1"/>
  <c r="H38"/>
  <c r="D55" i="25"/>
  <c r="F55" i="37"/>
  <c r="C83" i="25"/>
  <c r="F38" i="21"/>
  <c r="F38" i="37"/>
  <c r="Q68" i="10"/>
  <c r="G71" i="25" s="1"/>
  <c r="Q69" i="10"/>
  <c r="M72" i="37" s="1"/>
  <c r="P57" i="10"/>
  <c r="P35"/>
  <c r="F38" i="25" s="1"/>
  <c r="P70" i="10"/>
  <c r="B73" i="37" s="1"/>
  <c r="P9" i="10"/>
  <c r="F12" i="25" s="1"/>
  <c r="P47" i="10"/>
  <c r="Q22"/>
  <c r="G25" i="25" s="1"/>
  <c r="C52"/>
  <c r="F52" i="37"/>
  <c r="H52" i="21"/>
  <c r="F52"/>
  <c r="H52" i="37"/>
  <c r="D52" i="25"/>
  <c r="F62" i="37"/>
  <c r="H62" i="21"/>
  <c r="F62"/>
  <c r="H62" i="37"/>
  <c r="C62" i="25"/>
  <c r="D62"/>
  <c r="C38"/>
  <c r="D38"/>
  <c r="C55"/>
  <c r="H55" i="21"/>
  <c r="H83"/>
  <c r="H83" i="37"/>
  <c r="D83" i="25"/>
  <c r="H38" i="21"/>
  <c r="M38"/>
  <c r="G12" i="25"/>
  <c r="G73"/>
  <c r="G60"/>
  <c r="B40" i="37"/>
  <c r="B48" i="40"/>
  <c r="R50"/>
  <c r="I24"/>
  <c r="S26"/>
  <c r="I48"/>
  <c r="S50"/>
  <c r="B24"/>
  <c r="R26"/>
  <c r="B12"/>
  <c r="R14"/>
  <c r="N4" i="25"/>
  <c r="N3"/>
  <c r="F1" i="7"/>
  <c r="F1" i="36"/>
  <c r="I7" i="7"/>
  <c r="AX7" s="1"/>
  <c r="G7"/>
  <c r="G7" i="36"/>
  <c r="I8" i="7"/>
  <c r="P8"/>
  <c r="I8" i="36"/>
  <c r="G8"/>
  <c r="K8"/>
  <c r="I9" i="7"/>
  <c r="I9" i="36"/>
  <c r="G9"/>
  <c r="K9"/>
  <c r="I10" i="7"/>
  <c r="AX10" s="1"/>
  <c r="I10" i="36"/>
  <c r="G10"/>
  <c r="K10" i="7"/>
  <c r="K10" i="36"/>
  <c r="I11" i="7"/>
  <c r="AX11" s="1"/>
  <c r="I11" i="36"/>
  <c r="G11"/>
  <c r="I12" i="7"/>
  <c r="I12" i="36"/>
  <c r="G12" i="7"/>
  <c r="J12" i="36"/>
  <c r="I13" i="7"/>
  <c r="AX13" s="1"/>
  <c r="I13" i="36"/>
  <c r="G13" i="7"/>
  <c r="J13" i="36"/>
  <c r="K13" i="7"/>
  <c r="I14"/>
  <c r="AX14" s="1"/>
  <c r="I14" i="36"/>
  <c r="G14" i="7"/>
  <c r="J14" i="36"/>
  <c r="K14" i="7"/>
  <c r="K14" i="36"/>
  <c r="I15" i="7"/>
  <c r="AW15" s="1"/>
  <c r="P15"/>
  <c r="AV15" s="1"/>
  <c r="I15" i="36"/>
  <c r="J15" i="7"/>
  <c r="K15" i="36"/>
  <c r="I16" i="7"/>
  <c r="P16"/>
  <c r="AV16" s="1"/>
  <c r="AX16" s="1"/>
  <c r="I16" i="36"/>
  <c r="J16" i="7"/>
  <c r="I17"/>
  <c r="AW17" s="1"/>
  <c r="P17"/>
  <c r="I17" i="36"/>
  <c r="G17"/>
  <c r="K17"/>
  <c r="I18" i="7"/>
  <c r="P18"/>
  <c r="AV18" s="1"/>
  <c r="I18" i="36"/>
  <c r="G18" i="7"/>
  <c r="G18" i="36"/>
  <c r="K18" i="7"/>
  <c r="K18" i="36"/>
  <c r="I19" i="7"/>
  <c r="AW19" s="1"/>
  <c r="P19"/>
  <c r="AV19" s="1"/>
  <c r="I19" i="36"/>
  <c r="G19" i="7"/>
  <c r="J19" i="36"/>
  <c r="K19" i="7"/>
  <c r="I20"/>
  <c r="P20"/>
  <c r="AV20" s="1"/>
  <c r="I20" i="36"/>
  <c r="G20" i="7"/>
  <c r="G20" i="36"/>
  <c r="J20" i="7"/>
  <c r="J20" i="36"/>
  <c r="K20" i="7"/>
  <c r="K20" i="36"/>
  <c r="I21" i="7"/>
  <c r="P21"/>
  <c r="AV21" s="1"/>
  <c r="I21" i="36"/>
  <c r="G21" i="7"/>
  <c r="G21" i="36"/>
  <c r="J21" i="7"/>
  <c r="J21" i="36"/>
  <c r="K21" i="7"/>
  <c r="K21" i="36"/>
  <c r="I22" i="7"/>
  <c r="P22"/>
  <c r="AV22" s="1"/>
  <c r="AX22"/>
  <c r="I22" i="36"/>
  <c r="G22" i="7"/>
  <c r="G22" i="36"/>
  <c r="J22" i="7"/>
  <c r="J22" i="36"/>
  <c r="K22" i="7"/>
  <c r="K22" i="36"/>
  <c r="I23" i="7"/>
  <c r="P23"/>
  <c r="AV23" s="1"/>
  <c r="I23" i="36"/>
  <c r="G23" i="7"/>
  <c r="G23" i="36"/>
  <c r="J23" i="7"/>
  <c r="J23" i="36"/>
  <c r="K23" i="7"/>
  <c r="K23" i="36"/>
  <c r="I24" i="7"/>
  <c r="P24"/>
  <c r="AV24" s="1"/>
  <c r="I24" i="36"/>
  <c r="G24" i="7"/>
  <c r="G24" i="36"/>
  <c r="J24" i="7"/>
  <c r="J24" i="36"/>
  <c r="K24" i="7"/>
  <c r="K24" i="36"/>
  <c r="I25" i="7"/>
  <c r="AX25"/>
  <c r="P25"/>
  <c r="AV25" s="1"/>
  <c r="I25" i="36"/>
  <c r="G25" i="7"/>
  <c r="G25" i="36"/>
  <c r="J25" i="7"/>
  <c r="J25" i="36"/>
  <c r="K25" i="7"/>
  <c r="K25" i="36"/>
  <c r="I26" i="7"/>
  <c r="P26"/>
  <c r="AV26" s="1"/>
  <c r="I26" i="36"/>
  <c r="G26" i="7"/>
  <c r="G26" i="36"/>
  <c r="J26" i="7"/>
  <c r="J26" i="36"/>
  <c r="K26" i="7"/>
  <c r="K26" i="36"/>
  <c r="I27" i="7"/>
  <c r="P27"/>
  <c r="AV27" s="1"/>
  <c r="I27" i="36"/>
  <c r="G27" i="7"/>
  <c r="G27" i="36"/>
  <c r="J27" i="7"/>
  <c r="J27" i="36"/>
  <c r="K27" i="7"/>
  <c r="K27" i="36"/>
  <c r="I28" i="7"/>
  <c r="P28"/>
  <c r="AV28" s="1"/>
  <c r="AX28"/>
  <c r="I28" i="36"/>
  <c r="G28" i="7"/>
  <c r="G28" i="36"/>
  <c r="J28" i="7"/>
  <c r="J28" i="36"/>
  <c r="K28" i="7"/>
  <c r="K28" i="36"/>
  <c r="I29" i="7"/>
  <c r="P29"/>
  <c r="AV29" s="1"/>
  <c r="I29" i="36"/>
  <c r="G29" i="7"/>
  <c r="G29" i="36"/>
  <c r="J29" i="7"/>
  <c r="J29" i="36"/>
  <c r="K29" i="7"/>
  <c r="K29" i="36"/>
  <c r="I30" i="7"/>
  <c r="P30"/>
  <c r="AV30" s="1"/>
  <c r="I30" i="36"/>
  <c r="G30" i="7"/>
  <c r="G30" i="36"/>
  <c r="J30" i="7"/>
  <c r="J30" i="36"/>
  <c r="K30" i="7"/>
  <c r="K30" i="36"/>
  <c r="I31" i="7"/>
  <c r="P31"/>
  <c r="AV31" s="1"/>
  <c r="I31" i="36"/>
  <c r="G31" i="7"/>
  <c r="G31" i="36"/>
  <c r="J31" i="7"/>
  <c r="J31" i="36"/>
  <c r="K31" i="7"/>
  <c r="K31" i="36"/>
  <c r="I32" i="7"/>
  <c r="P32"/>
  <c r="AV32" s="1"/>
  <c r="I32" i="36"/>
  <c r="G32" i="7"/>
  <c r="G32" i="36"/>
  <c r="J32" i="7"/>
  <c r="J32" i="36"/>
  <c r="K32" i="7"/>
  <c r="K32" i="36"/>
  <c r="I33" i="7"/>
  <c r="P33"/>
  <c r="AV33" s="1"/>
  <c r="I33" i="36"/>
  <c r="G33" i="7"/>
  <c r="G33" i="36"/>
  <c r="J33" i="7"/>
  <c r="J33" i="36"/>
  <c r="K33" i="7"/>
  <c r="K33" i="36"/>
  <c r="I34" i="7"/>
  <c r="P34"/>
  <c r="AV34" s="1"/>
  <c r="I34" i="36"/>
  <c r="G34" i="7"/>
  <c r="G34" i="36"/>
  <c r="J34" i="7"/>
  <c r="J34" i="36"/>
  <c r="K34" i="7"/>
  <c r="K34" i="36"/>
  <c r="I35" i="7"/>
  <c r="P35"/>
  <c r="AV35" s="1"/>
  <c r="I35" i="36"/>
  <c r="G35" i="7"/>
  <c r="G35" i="36"/>
  <c r="J35" i="7"/>
  <c r="J35" i="36"/>
  <c r="K35" i="7"/>
  <c r="K35" i="36"/>
  <c r="I36" i="7"/>
  <c r="P36"/>
  <c r="AV36" s="1"/>
  <c r="I36" i="36"/>
  <c r="G36" i="7"/>
  <c r="G36" i="36"/>
  <c r="J36" i="7"/>
  <c r="J36" i="36"/>
  <c r="K36" i="7"/>
  <c r="K36" i="36"/>
  <c r="I37" i="7"/>
  <c r="I37" i="36"/>
  <c r="G37" i="7"/>
  <c r="G37" i="36"/>
  <c r="J37" i="7"/>
  <c r="J37" i="36"/>
  <c r="K37" i="7"/>
  <c r="K37" i="36"/>
  <c r="I38" i="7"/>
  <c r="I38" i="36"/>
  <c r="G38" i="7"/>
  <c r="G38" i="36"/>
  <c r="J38" i="7"/>
  <c r="J38" i="36"/>
  <c r="K38" i="7"/>
  <c r="K38" i="36"/>
  <c r="I39" i="7"/>
  <c r="I39" i="36"/>
  <c r="G39" i="7"/>
  <c r="G39" i="36"/>
  <c r="J39" i="7"/>
  <c r="J39" i="36"/>
  <c r="K39" i="7"/>
  <c r="K39" i="36"/>
  <c r="I40" i="7"/>
  <c r="I40" i="36"/>
  <c r="G40" i="7"/>
  <c r="G40" i="36"/>
  <c r="J40" i="7"/>
  <c r="J40" i="36"/>
  <c r="K40" i="7"/>
  <c r="K40" i="36"/>
  <c r="I41" i="7"/>
  <c r="I41" i="36"/>
  <c r="G41" i="7"/>
  <c r="G41" i="36"/>
  <c r="J41" i="7"/>
  <c r="J41" i="36"/>
  <c r="K41" i="7"/>
  <c r="K41" i="36"/>
  <c r="I42" i="7"/>
  <c r="I42" i="36"/>
  <c r="G42" i="7"/>
  <c r="G42" i="36"/>
  <c r="J42" i="7"/>
  <c r="J42" i="36"/>
  <c r="K42" i="7"/>
  <c r="K42" i="36"/>
  <c r="I43" i="7"/>
  <c r="AW43"/>
  <c r="P43"/>
  <c r="AV43" s="1"/>
  <c r="I43" i="36"/>
  <c r="G43" i="7"/>
  <c r="G43" i="36"/>
  <c r="J43" i="7"/>
  <c r="J43" i="36"/>
  <c r="K43" i="7"/>
  <c r="K43" i="36"/>
  <c r="I44" i="7"/>
  <c r="P44"/>
  <c r="AV44" s="1"/>
  <c r="I44" i="36"/>
  <c r="G44" i="7"/>
  <c r="G44" i="36"/>
  <c r="J44" i="7"/>
  <c r="J44" i="36"/>
  <c r="K44" i="7"/>
  <c r="K44" i="36"/>
  <c r="I45" i="7"/>
  <c r="P45"/>
  <c r="AV45" s="1"/>
  <c r="I45" i="36"/>
  <c r="G45" i="7"/>
  <c r="G45" i="36"/>
  <c r="J45" i="7"/>
  <c r="J45" i="36"/>
  <c r="K45" i="7"/>
  <c r="K45" i="36"/>
  <c r="I46" i="7"/>
  <c r="P46"/>
  <c r="AV46" s="1"/>
  <c r="I46" i="36"/>
  <c r="G46" i="7"/>
  <c r="G46" i="36"/>
  <c r="J46" i="7"/>
  <c r="J46" i="36"/>
  <c r="K46" i="7"/>
  <c r="K46" i="36"/>
  <c r="I47" i="7"/>
  <c r="P47"/>
  <c r="AV47" s="1"/>
  <c r="I47" i="36"/>
  <c r="G47" i="7"/>
  <c r="G47" i="36"/>
  <c r="J47" i="7"/>
  <c r="J47" i="36"/>
  <c r="K47" i="7"/>
  <c r="K47" i="36"/>
  <c r="I48" i="7"/>
  <c r="P48"/>
  <c r="AV48" s="1"/>
  <c r="I48" i="36"/>
  <c r="G48" i="7"/>
  <c r="G48" i="36"/>
  <c r="J48" i="7"/>
  <c r="J48" i="36"/>
  <c r="K48" i="7"/>
  <c r="K48" i="36"/>
  <c r="I49" i="7"/>
  <c r="P49"/>
  <c r="AV49"/>
  <c r="I49" i="36"/>
  <c r="G49" i="7"/>
  <c r="G49" i="36"/>
  <c r="J49" i="7"/>
  <c r="J49" i="36"/>
  <c r="K49" i="7"/>
  <c r="K49" i="36"/>
  <c r="I50" i="7"/>
  <c r="P50"/>
  <c r="AV50" s="1"/>
  <c r="I50" i="36"/>
  <c r="G50" i="7"/>
  <c r="G50" i="36"/>
  <c r="J50" i="7"/>
  <c r="J50" i="36"/>
  <c r="K50" i="7"/>
  <c r="K50" i="36"/>
  <c r="I51" i="7"/>
  <c r="P51"/>
  <c r="AV51" s="1"/>
  <c r="I51" i="36"/>
  <c r="G51" i="7"/>
  <c r="G51" i="36"/>
  <c r="J51" i="7"/>
  <c r="J51" i="36"/>
  <c r="K51" i="7"/>
  <c r="K51" i="36"/>
  <c r="I52" i="7"/>
  <c r="P52"/>
  <c r="AV52" s="1"/>
  <c r="I52" i="36"/>
  <c r="G52" i="7"/>
  <c r="G52" i="36"/>
  <c r="J52" i="7"/>
  <c r="J52" i="36"/>
  <c r="K52" i="7"/>
  <c r="K52" i="36"/>
  <c r="I53" i="7"/>
  <c r="P53"/>
  <c r="AV53" s="1"/>
  <c r="I53" i="36"/>
  <c r="G53" i="7"/>
  <c r="G53" i="36"/>
  <c r="J53" i="7"/>
  <c r="J53" i="36"/>
  <c r="K53" i="7"/>
  <c r="K53" i="36"/>
  <c r="I54" i="7"/>
  <c r="P54"/>
  <c r="AV54" s="1"/>
  <c r="I54" i="36"/>
  <c r="G54" i="7"/>
  <c r="G54" i="36"/>
  <c r="J54" i="7"/>
  <c r="J54" i="36"/>
  <c r="K54" i="7"/>
  <c r="K54" i="36"/>
  <c r="I55" i="7"/>
  <c r="P55"/>
  <c r="AV55" s="1"/>
  <c r="AW55"/>
  <c r="I55" i="36"/>
  <c r="G55" i="7"/>
  <c r="G55" i="36"/>
  <c r="J55" i="7"/>
  <c r="J55" i="36"/>
  <c r="K55" i="7"/>
  <c r="K55" i="36"/>
  <c r="I56" i="7"/>
  <c r="P56"/>
  <c r="AV56"/>
  <c r="I56" i="36"/>
  <c r="G56" i="7"/>
  <c r="G56" i="36"/>
  <c r="J56" i="7"/>
  <c r="J56" i="36"/>
  <c r="K56" i="7"/>
  <c r="K56" i="36"/>
  <c r="I57" i="7"/>
  <c r="P57"/>
  <c r="AV57" s="1"/>
  <c r="I57" i="36"/>
  <c r="G57" i="7"/>
  <c r="G57" i="36"/>
  <c r="J57" i="7"/>
  <c r="J57" i="36"/>
  <c r="K57" i="7"/>
  <c r="K57" i="36"/>
  <c r="I58" i="7"/>
  <c r="P58"/>
  <c r="AV58" s="1"/>
  <c r="AW58" s="1"/>
  <c r="I58" i="36"/>
  <c r="G58" i="7"/>
  <c r="G58" i="36"/>
  <c r="J58" i="7"/>
  <c r="J58" i="36"/>
  <c r="K58" i="7"/>
  <c r="K58" i="36"/>
  <c r="I59" i="7"/>
  <c r="P59"/>
  <c r="AV59" s="1"/>
  <c r="AX59"/>
  <c r="I59" i="36"/>
  <c r="G59" i="7"/>
  <c r="G59" i="36"/>
  <c r="J59" i="7"/>
  <c r="J59" i="36"/>
  <c r="K59" i="7"/>
  <c r="K59" i="36"/>
  <c r="I60" i="7"/>
  <c r="P60"/>
  <c r="AV60" s="1"/>
  <c r="I60" i="36"/>
  <c r="G60" i="7"/>
  <c r="G60" i="36"/>
  <c r="J60" i="7"/>
  <c r="J60" i="36"/>
  <c r="K60" i="7"/>
  <c r="K60" i="36"/>
  <c r="I61" i="7"/>
  <c r="P61"/>
  <c r="AV61" s="1"/>
  <c r="I61" i="36"/>
  <c r="G61" i="7"/>
  <c r="G61" i="36"/>
  <c r="J61" i="7"/>
  <c r="J61" i="36"/>
  <c r="K61" i="7"/>
  <c r="K61" i="36"/>
  <c r="I62" i="7"/>
  <c r="P62"/>
  <c r="AV62" s="1"/>
  <c r="I62" i="36"/>
  <c r="G62" i="7"/>
  <c r="G62" i="36"/>
  <c r="J62" i="7"/>
  <c r="J62" i="36"/>
  <c r="K62" i="7"/>
  <c r="K62" i="36"/>
  <c r="I63" i="7"/>
  <c r="P63"/>
  <c r="AV63" s="1"/>
  <c r="I63" i="36"/>
  <c r="G63" i="7"/>
  <c r="G63" i="36"/>
  <c r="J63" i="7"/>
  <c r="J63" i="36"/>
  <c r="K63" i="7"/>
  <c r="K63" i="36"/>
  <c r="I64" i="7"/>
  <c r="P64"/>
  <c r="AV64"/>
  <c r="I64" i="36"/>
  <c r="G64" i="7"/>
  <c r="G64" i="36"/>
  <c r="J64" i="7"/>
  <c r="J64" i="36"/>
  <c r="K64" i="7"/>
  <c r="K64" i="36"/>
  <c r="I65" i="7"/>
  <c r="P65"/>
  <c r="AV65" s="1"/>
  <c r="AX65"/>
  <c r="I65" i="36"/>
  <c r="G65" i="7"/>
  <c r="G65" i="36"/>
  <c r="J65" i="7"/>
  <c r="J65" i="36"/>
  <c r="AW59" i="7"/>
  <c r="AX55"/>
  <c r="AX43"/>
  <c r="AW16"/>
  <c r="AW22"/>
  <c r="AW25"/>
  <c r="AW28"/>
  <c r="AX58"/>
  <c r="AW65"/>
  <c r="K65"/>
  <c r="K65" i="36"/>
  <c r="I66" i="7"/>
  <c r="P66"/>
  <c r="AV66" s="1"/>
  <c r="I66" i="36"/>
  <c r="G66" i="7"/>
  <c r="G66" i="36"/>
  <c r="J66" i="7"/>
  <c r="J66" i="36"/>
  <c r="K66" i="7"/>
  <c r="K66" i="36"/>
  <c r="I67" i="7"/>
  <c r="P67"/>
  <c r="AV67" s="1"/>
  <c r="AX67"/>
  <c r="I67" i="36"/>
  <c r="G67" i="7"/>
  <c r="G67" i="36"/>
  <c r="J67" i="7"/>
  <c r="J67" i="36"/>
  <c r="K67" i="7"/>
  <c r="K67" i="36"/>
  <c r="I68" i="7"/>
  <c r="P68"/>
  <c r="AV68" s="1"/>
  <c r="I68" i="36"/>
  <c r="G68" i="7"/>
  <c r="G68" i="36"/>
  <c r="J68" i="7"/>
  <c r="J68" i="36"/>
  <c r="K68" i="7"/>
  <c r="K68" i="36"/>
  <c r="I69" i="7"/>
  <c r="P69"/>
  <c r="AV69" s="1"/>
  <c r="I69" i="36"/>
  <c r="G69" i="7"/>
  <c r="G69" i="36"/>
  <c r="J69" i="7"/>
  <c r="J69" i="36"/>
  <c r="K69" i="7"/>
  <c r="K69" i="36"/>
  <c r="I70" i="7"/>
  <c r="P70"/>
  <c r="AV70" s="1"/>
  <c r="I70" i="36"/>
  <c r="G70" i="7"/>
  <c r="G70" i="36"/>
  <c r="J70" i="7"/>
  <c r="J70" i="36"/>
  <c r="K70" i="7"/>
  <c r="K70" i="36"/>
  <c r="I71" i="7"/>
  <c r="P71"/>
  <c r="AV71" s="1"/>
  <c r="I71" i="36"/>
  <c r="G71" i="7"/>
  <c r="G71" i="36"/>
  <c r="J71" i="7"/>
  <c r="J71" i="36"/>
  <c r="K71" i="7"/>
  <c r="K71" i="36"/>
  <c r="I72" i="7"/>
  <c r="P72"/>
  <c r="AV72" s="1"/>
  <c r="I72" i="36"/>
  <c r="G72" i="7"/>
  <c r="G72" i="36"/>
  <c r="J72" i="7"/>
  <c r="J72" i="36"/>
  <c r="K72" i="7"/>
  <c r="K72" i="36"/>
  <c r="I73" i="7"/>
  <c r="P73"/>
  <c r="AV73" s="1"/>
  <c r="AX73" s="1"/>
  <c r="I73" i="36"/>
  <c r="G73" i="7"/>
  <c r="G73" i="36"/>
  <c r="J73" i="7"/>
  <c r="J73" i="36"/>
  <c r="K73" i="7"/>
  <c r="K73" i="36"/>
  <c r="I74" i="7"/>
  <c r="P74"/>
  <c r="AV74" s="1"/>
  <c r="AX74"/>
  <c r="I74" i="36"/>
  <c r="G74" i="7"/>
  <c r="G74" i="36"/>
  <c r="J74" i="7"/>
  <c r="J74" i="36"/>
  <c r="K74" i="7"/>
  <c r="K74" i="36"/>
  <c r="I75" i="7"/>
  <c r="P75"/>
  <c r="AV75" s="1"/>
  <c r="I75" i="36"/>
  <c r="G75" i="7"/>
  <c r="G75" i="36"/>
  <c r="J75" i="7"/>
  <c r="J75" i="36"/>
  <c r="K75" i="7"/>
  <c r="K75" i="36"/>
  <c r="I76" i="7"/>
  <c r="P76"/>
  <c r="AV76" s="1"/>
  <c r="AX76" s="1"/>
  <c r="I76" i="36"/>
  <c r="G76" i="7"/>
  <c r="G76" i="36"/>
  <c r="J76" i="7"/>
  <c r="J76" i="36"/>
  <c r="K76" i="7"/>
  <c r="K76" i="36"/>
  <c r="I77" i="7"/>
  <c r="P77"/>
  <c r="AV77" s="1"/>
  <c r="I77" i="36"/>
  <c r="G77" i="7"/>
  <c r="G77" i="36"/>
  <c r="J77" i="7"/>
  <c r="J77" i="36"/>
  <c r="K77" i="7"/>
  <c r="K77" i="36"/>
  <c r="I78" i="7"/>
  <c r="P78"/>
  <c r="AV78" s="1"/>
  <c r="I78" i="36"/>
  <c r="G78" i="7"/>
  <c r="G78" i="36"/>
  <c r="J78" i="7"/>
  <c r="J78" i="36"/>
  <c r="K78" i="7"/>
  <c r="K78" i="36"/>
  <c r="I79" i="7"/>
  <c r="P79"/>
  <c r="AV79" s="1"/>
  <c r="I79" i="36"/>
  <c r="G79" i="7"/>
  <c r="G79" i="36"/>
  <c r="J79" i="7"/>
  <c r="J79" i="36"/>
  <c r="K79" i="7"/>
  <c r="K79" i="36"/>
  <c r="I80" i="7"/>
  <c r="P80"/>
  <c r="AV80" s="1"/>
  <c r="AW80"/>
  <c r="I80" i="36"/>
  <c r="G80" i="7"/>
  <c r="G80" i="36"/>
  <c r="J80" i="7"/>
  <c r="J80" i="36"/>
  <c r="K80" i="7"/>
  <c r="K80" i="36"/>
  <c r="I81" i="7"/>
  <c r="P81"/>
  <c r="AV81"/>
  <c r="AW81" s="1"/>
  <c r="I81" i="36"/>
  <c r="G81" i="7"/>
  <c r="G81" i="36"/>
  <c r="J81" i="7"/>
  <c r="J81" i="36"/>
  <c r="K81" i="7"/>
  <c r="K81" i="36"/>
  <c r="I82" i="7"/>
  <c r="P82"/>
  <c r="AV82" s="1"/>
  <c r="I82" i="36"/>
  <c r="G82" i="7"/>
  <c r="G82" i="36"/>
  <c r="J82" i="7"/>
  <c r="J82" i="36"/>
  <c r="K82" i="7"/>
  <c r="K82" i="36"/>
  <c r="I83" i="7"/>
  <c r="P83"/>
  <c r="AV83" s="1"/>
  <c r="AW83"/>
  <c r="I83" i="36"/>
  <c r="G83" i="7"/>
  <c r="G83" i="36"/>
  <c r="J83" i="7"/>
  <c r="J83" i="36"/>
  <c r="K83" i="7"/>
  <c r="K83" i="36"/>
  <c r="I84" i="7"/>
  <c r="P84"/>
  <c r="AV84" s="1"/>
  <c r="I84" i="36"/>
  <c r="G84" i="7"/>
  <c r="G84" i="36"/>
  <c r="J84" i="7"/>
  <c r="J84" i="36"/>
  <c r="K84" i="7"/>
  <c r="K84" i="36"/>
  <c r="I85" i="7"/>
  <c r="AW85"/>
  <c r="P85"/>
  <c r="AV85" s="1"/>
  <c r="I85" i="36"/>
  <c r="G85" i="7"/>
  <c r="G85" i="36"/>
  <c r="J85" i="7"/>
  <c r="J85" i="36"/>
  <c r="K85" i="7"/>
  <c r="K85" i="36"/>
  <c r="I86" i="7"/>
  <c r="P86"/>
  <c r="AV86" s="1"/>
  <c r="I86" i="36"/>
  <c r="G86" i="7"/>
  <c r="G86" i="36"/>
  <c r="J86" i="7"/>
  <c r="J86" i="36"/>
  <c r="K86" i="7"/>
  <c r="K86" i="36"/>
  <c r="I87" i="7"/>
  <c r="P87"/>
  <c r="AV87" s="1"/>
  <c r="I87" i="36"/>
  <c r="G87" i="7"/>
  <c r="G87" i="36"/>
  <c r="J87" i="7"/>
  <c r="J87" i="36"/>
  <c r="K87" i="7"/>
  <c r="K87" i="36"/>
  <c r="I88" i="7"/>
  <c r="P88"/>
  <c r="AV88" s="1"/>
  <c r="I88" i="36"/>
  <c r="G88" i="7"/>
  <c r="G88" i="36"/>
  <c r="J88" i="7"/>
  <c r="J88" i="36"/>
  <c r="K88" i="7"/>
  <c r="K88" i="36"/>
  <c r="I89" i="7"/>
  <c r="P89"/>
  <c r="AV89" s="1"/>
  <c r="I89" i="36"/>
  <c r="G89" i="7"/>
  <c r="G89" i="36"/>
  <c r="J89" i="7"/>
  <c r="J89" i="36"/>
  <c r="K89" i="7"/>
  <c r="K89" i="36"/>
  <c r="I90" i="7"/>
  <c r="P90"/>
  <c r="AV90" s="1"/>
  <c r="AW90"/>
  <c r="I90" i="36"/>
  <c r="G90" i="7"/>
  <c r="G90" i="36"/>
  <c r="J90" i="7"/>
  <c r="J90" i="36"/>
  <c r="K90" i="7"/>
  <c r="K90" i="36"/>
  <c r="I91" i="7"/>
  <c r="P91"/>
  <c r="AV91" s="1"/>
  <c r="I91" i="36"/>
  <c r="G91" i="7"/>
  <c r="G91" i="36"/>
  <c r="J91" i="7"/>
  <c r="J91" i="36"/>
  <c r="K91" i="7"/>
  <c r="K91" i="36"/>
  <c r="I92" i="7"/>
  <c r="P92"/>
  <c r="AV92" s="1"/>
  <c r="I92" i="36"/>
  <c r="G92" i="7"/>
  <c r="G92" i="36"/>
  <c r="J92" i="7"/>
  <c r="J92" i="36"/>
  <c r="K92" i="7"/>
  <c r="K92" i="36"/>
  <c r="I93" i="7"/>
  <c r="P93"/>
  <c r="AV93" s="1"/>
  <c r="I93" i="36"/>
  <c r="G93" i="7"/>
  <c r="G93" i="36"/>
  <c r="J93" i="7"/>
  <c r="J93" i="36"/>
  <c r="K93" i="7"/>
  <c r="K93" i="36"/>
  <c r="I94" i="7"/>
  <c r="P94"/>
  <c r="AV94"/>
  <c r="I94" i="36"/>
  <c r="G94" i="7"/>
  <c r="G94" i="36"/>
  <c r="J94" i="7"/>
  <c r="J94" i="36"/>
  <c r="K94" i="7"/>
  <c r="K94" i="36"/>
  <c r="I95" i="7"/>
  <c r="P95"/>
  <c r="AV95" s="1"/>
  <c r="I95" i="36"/>
  <c r="G95" i="7"/>
  <c r="G95" i="36"/>
  <c r="J95" i="7"/>
  <c r="J95" i="36"/>
  <c r="K95" i="7"/>
  <c r="K95" i="36"/>
  <c r="I96" i="7"/>
  <c r="P96"/>
  <c r="AV96" s="1"/>
  <c r="I96" i="36"/>
  <c r="G96" i="7"/>
  <c r="G96" i="36"/>
  <c r="J96" i="7"/>
  <c r="J96" i="36"/>
  <c r="K96" i="7"/>
  <c r="K96" i="36"/>
  <c r="I97" i="7"/>
  <c r="AW97"/>
  <c r="P97"/>
  <c r="AV97" s="1"/>
  <c r="I97" i="36"/>
  <c r="G97" i="7"/>
  <c r="G97" i="36"/>
  <c r="J97" i="7"/>
  <c r="J97" i="36"/>
  <c r="K97" i="7"/>
  <c r="K97" i="36"/>
  <c r="I98" i="7"/>
  <c r="P98"/>
  <c r="AV98" s="1"/>
  <c r="I98" i="36"/>
  <c r="G98" i="7"/>
  <c r="G98" i="36"/>
  <c r="J98" i="7"/>
  <c r="J98" i="36"/>
  <c r="K98" i="7"/>
  <c r="K98" i="36"/>
  <c r="I99" i="7"/>
  <c r="P99"/>
  <c r="AV99" s="1"/>
  <c r="AW99"/>
  <c r="I99" i="36"/>
  <c r="G99" i="7"/>
  <c r="G99" i="36"/>
  <c r="J99" i="7"/>
  <c r="J99" i="36"/>
  <c r="K99" i="7"/>
  <c r="K99" i="36"/>
  <c r="I100" i="7"/>
  <c r="P100"/>
  <c r="AV100" s="1"/>
  <c r="I100" i="36"/>
  <c r="G100" i="7"/>
  <c r="G100" i="36"/>
  <c r="J100" i="7"/>
  <c r="J100" i="36"/>
  <c r="K100" i="7"/>
  <c r="K100" i="36"/>
  <c r="I101" i="7"/>
  <c r="P101"/>
  <c r="AV101" s="1"/>
  <c r="I101" i="36"/>
  <c r="G101" i="7"/>
  <c r="G101" i="36"/>
  <c r="J101" i="7"/>
  <c r="J101" i="36"/>
  <c r="K101" i="7"/>
  <c r="K101" i="36"/>
  <c r="I102" i="7"/>
  <c r="P102"/>
  <c r="AV102" s="1"/>
  <c r="I102" i="36"/>
  <c r="G102" i="7"/>
  <c r="G102" i="36"/>
  <c r="J102" i="7"/>
  <c r="J102" i="36"/>
  <c r="K102" i="7"/>
  <c r="K102" i="36"/>
  <c r="I103" i="7"/>
  <c r="P103"/>
  <c r="AV103" s="1"/>
  <c r="I103" i="36"/>
  <c r="G103" i="7"/>
  <c r="G103" i="36"/>
  <c r="J103" i="7"/>
  <c r="J103" i="36"/>
  <c r="K103" i="7"/>
  <c r="K103" i="36"/>
  <c r="I104" i="7"/>
  <c r="P104"/>
  <c r="AV104" s="1"/>
  <c r="I104" i="36"/>
  <c r="G104" i="7"/>
  <c r="G104" i="36"/>
  <c r="J104" i="7"/>
  <c r="J104" i="36"/>
  <c r="K104" i="7"/>
  <c r="K104" i="36"/>
  <c r="I105" i="7"/>
  <c r="P105"/>
  <c r="AV105" s="1"/>
  <c r="I105" i="36"/>
  <c r="G105" i="7"/>
  <c r="G105" i="36"/>
  <c r="J105" i="7"/>
  <c r="J105" i="36"/>
  <c r="K105" i="7"/>
  <c r="K105" i="36"/>
  <c r="I106" i="7"/>
  <c r="P106"/>
  <c r="AV106" s="1"/>
  <c r="I106" i="36"/>
  <c r="G106" i="7"/>
  <c r="G106" i="36"/>
  <c r="J106" i="7"/>
  <c r="J106" i="36"/>
  <c r="K106" i="7"/>
  <c r="K106" i="36"/>
  <c r="I107" i="7"/>
  <c r="P107"/>
  <c r="AV107"/>
  <c r="I107" i="36"/>
  <c r="G107" i="7"/>
  <c r="G107" i="36"/>
  <c r="J107" i="7"/>
  <c r="J107" i="36"/>
  <c r="K107" i="7"/>
  <c r="K107" i="36"/>
  <c r="I108" i="7"/>
  <c r="P108"/>
  <c r="AV108" s="1"/>
  <c r="I108" i="36"/>
  <c r="G108" i="7"/>
  <c r="G108" i="36"/>
  <c r="J108" i="7"/>
  <c r="J108" i="36"/>
  <c r="K108" i="7"/>
  <c r="K108" i="36"/>
  <c r="I109" i="7"/>
  <c r="P109"/>
  <c r="AV109" s="1"/>
  <c r="I109" i="36"/>
  <c r="G109" i="7"/>
  <c r="G109" i="36"/>
  <c r="J109" i="7"/>
  <c r="J109" i="36"/>
  <c r="K109" i="7"/>
  <c r="K109" i="36"/>
  <c r="I110" i="7"/>
  <c r="P110"/>
  <c r="AV110" s="1"/>
  <c r="I110" i="36"/>
  <c r="G110" i="7"/>
  <c r="G110" i="36"/>
  <c r="J110" i="7"/>
  <c r="J110" i="36"/>
  <c r="K110" i="7"/>
  <c r="K110" i="36"/>
  <c r="I111" i="7"/>
  <c r="P111"/>
  <c r="AV111" s="1"/>
  <c r="I111" i="36"/>
  <c r="G111" i="7"/>
  <c r="G111" i="36"/>
  <c r="J111" i="7"/>
  <c r="J111" i="36"/>
  <c r="K111" i="7"/>
  <c r="K111" i="36"/>
  <c r="I112" i="7"/>
  <c r="P112"/>
  <c r="AV112" s="1"/>
  <c r="I112" i="36"/>
  <c r="G112" i="7"/>
  <c r="G112" i="36"/>
  <c r="J112" i="7"/>
  <c r="J112" i="36"/>
  <c r="K112" i="7"/>
  <c r="K112" i="36"/>
  <c r="I113" i="7"/>
  <c r="P113"/>
  <c r="AV113" s="1"/>
  <c r="I113" i="36"/>
  <c r="G113" i="7"/>
  <c r="G113" i="36"/>
  <c r="J113" i="7"/>
  <c r="J113" i="36"/>
  <c r="K113" i="7"/>
  <c r="K113" i="36"/>
  <c r="I114" i="7"/>
  <c r="P114"/>
  <c r="AV114" s="1"/>
  <c r="I114" i="36"/>
  <c r="G114" i="7"/>
  <c r="G114" i="36"/>
  <c r="J114" i="7"/>
  <c r="J114" i="36"/>
  <c r="K114" i="7"/>
  <c r="K114" i="36"/>
  <c r="I115" i="7"/>
  <c r="P115"/>
  <c r="AV115"/>
  <c r="I115" i="36"/>
  <c r="G115" i="7"/>
  <c r="G115" i="36"/>
  <c r="J115" i="7"/>
  <c r="J115" i="36"/>
  <c r="K115" i="7"/>
  <c r="K115" i="36"/>
  <c r="I116" i="7"/>
  <c r="I116" i="36"/>
  <c r="G116" i="7"/>
  <c r="G116" i="36"/>
  <c r="J116" i="7"/>
  <c r="J116" i="36"/>
  <c r="K116" i="7"/>
  <c r="K116" i="36"/>
  <c r="O113" i="49"/>
  <c r="Q113" s="1"/>
  <c r="O112"/>
  <c r="P112" s="1"/>
  <c r="O111"/>
  <c r="P111" s="1"/>
  <c r="O110"/>
  <c r="Q110" s="1"/>
  <c r="O109"/>
  <c r="P109" s="1"/>
  <c r="O108"/>
  <c r="P108" s="1"/>
  <c r="O107"/>
  <c r="P107" s="1"/>
  <c r="O106"/>
  <c r="Q106" s="1"/>
  <c r="O105"/>
  <c r="Q105" s="1"/>
  <c r="O104"/>
  <c r="Q104" s="1"/>
  <c r="M107" i="7" s="1"/>
  <c r="O103" i="49"/>
  <c r="P103" s="1"/>
  <c r="O102"/>
  <c r="Q102" s="1"/>
  <c r="O101"/>
  <c r="P101" s="1"/>
  <c r="O100"/>
  <c r="Q100" s="1"/>
  <c r="M103" i="7" s="1"/>
  <c r="O99" i="49"/>
  <c r="P99" s="1"/>
  <c r="O98"/>
  <c r="Q98" s="1"/>
  <c r="O97"/>
  <c r="Q97" s="1"/>
  <c r="O96"/>
  <c r="Q96" s="1"/>
  <c r="M99" i="36" s="1"/>
  <c r="O95" i="49"/>
  <c r="P95" s="1"/>
  <c r="O94"/>
  <c r="Q94" s="1"/>
  <c r="O93"/>
  <c r="P93" s="1"/>
  <c r="O92"/>
  <c r="Q92" s="1"/>
  <c r="M95" i="36" s="1"/>
  <c r="O91" i="49"/>
  <c r="P91" s="1"/>
  <c r="O90"/>
  <c r="Q90" s="1"/>
  <c r="O89"/>
  <c r="Q89" s="1"/>
  <c r="O88"/>
  <c r="P88" s="1"/>
  <c r="O87"/>
  <c r="P87" s="1"/>
  <c r="O86"/>
  <c r="Q86" s="1"/>
  <c r="O85"/>
  <c r="P85" s="1"/>
  <c r="O84"/>
  <c r="P84" s="1"/>
  <c r="B87" i="36" s="1"/>
  <c r="O83" i="49"/>
  <c r="P83" s="1"/>
  <c r="O82"/>
  <c r="Q82" s="1"/>
  <c r="O81"/>
  <c r="Q81" s="1"/>
  <c r="O80"/>
  <c r="P80" s="1"/>
  <c r="O79"/>
  <c r="P79" s="1"/>
  <c r="O78"/>
  <c r="Q78" s="1"/>
  <c r="O77"/>
  <c r="P77" s="1"/>
  <c r="O76"/>
  <c r="P76" s="1"/>
  <c r="O75"/>
  <c r="P75" s="1"/>
  <c r="O74"/>
  <c r="Q74" s="1"/>
  <c r="O73"/>
  <c r="Q73" s="1"/>
  <c r="O72"/>
  <c r="Q72" s="1"/>
  <c r="M75" i="36" s="1"/>
  <c r="O71" i="49"/>
  <c r="P71" s="1"/>
  <c r="O70"/>
  <c r="Q70" s="1"/>
  <c r="O69"/>
  <c r="P69" s="1"/>
  <c r="O68"/>
  <c r="Q68" s="1"/>
  <c r="M71" i="36" s="1"/>
  <c r="O67" i="49"/>
  <c r="P67" s="1"/>
  <c r="O66"/>
  <c r="Q66" s="1"/>
  <c r="O65"/>
  <c r="Q65" s="1"/>
  <c r="O64"/>
  <c r="P64" s="1"/>
  <c r="O63"/>
  <c r="P63" s="1"/>
  <c r="O62"/>
  <c r="Q62" s="1"/>
  <c r="O61"/>
  <c r="P61" s="1"/>
  <c r="O60"/>
  <c r="P60" s="1"/>
  <c r="B63" i="7" s="1"/>
  <c r="O59" i="49"/>
  <c r="P59" s="1"/>
  <c r="O58"/>
  <c r="Q58" s="1"/>
  <c r="O57"/>
  <c r="Q57" s="1"/>
  <c r="O56"/>
  <c r="P56" s="1"/>
  <c r="O55"/>
  <c r="P55" s="1"/>
  <c r="O54"/>
  <c r="Q54" s="1"/>
  <c r="O53"/>
  <c r="P53" s="1"/>
  <c r="O52"/>
  <c r="P52" s="1"/>
  <c r="B55" i="36" s="1"/>
  <c r="O51" i="49"/>
  <c r="P51" s="1"/>
  <c r="O50"/>
  <c r="Q50" s="1"/>
  <c r="O49"/>
  <c r="Q49" s="1"/>
  <c r="O48"/>
  <c r="P48" s="1"/>
  <c r="O47"/>
  <c r="P47" s="1"/>
  <c r="O46"/>
  <c r="Q46" s="1"/>
  <c r="O45"/>
  <c r="P45" s="1"/>
  <c r="O44"/>
  <c r="P44" s="1"/>
  <c r="O43"/>
  <c r="P43" s="1"/>
  <c r="O42"/>
  <c r="Q42" s="1"/>
  <c r="O41"/>
  <c r="Q41" s="1"/>
  <c r="O40"/>
  <c r="Q40" s="1"/>
  <c r="M43" i="36" s="1"/>
  <c r="O39" i="49"/>
  <c r="P39" s="1"/>
  <c r="O38"/>
  <c r="Q38" s="1"/>
  <c r="O37"/>
  <c r="P37" s="1"/>
  <c r="O36"/>
  <c r="Q36" s="1"/>
  <c r="M39" i="36" s="1"/>
  <c r="O35" i="49"/>
  <c r="P35" s="1"/>
  <c r="O34"/>
  <c r="Q34" s="1"/>
  <c r="O33"/>
  <c r="Q33" s="1"/>
  <c r="O32"/>
  <c r="Q32" s="1"/>
  <c r="M35" i="7" s="1"/>
  <c r="Q4" i="49"/>
  <c r="M7" i="7" s="1"/>
  <c r="O5" i="49"/>
  <c r="CH5"/>
  <c r="CJ5" s="1"/>
  <c r="CL5" s="1"/>
  <c r="CI5"/>
  <c r="O6"/>
  <c r="Q6" s="1"/>
  <c r="CH6"/>
  <c r="CM6"/>
  <c r="F9" i="7" s="1"/>
  <c r="CK6" i="49"/>
  <c r="CL6"/>
  <c r="O7"/>
  <c r="Q7" s="1"/>
  <c r="CI7"/>
  <c r="CK7" s="1"/>
  <c r="O8"/>
  <c r="Q8" s="1"/>
  <c r="CK8"/>
  <c r="CM8"/>
  <c r="F11" i="7" s="1"/>
  <c r="O9" i="49"/>
  <c r="P9" s="1"/>
  <c r="CI9"/>
  <c r="CK9"/>
  <c r="O10"/>
  <c r="Q10" s="1"/>
  <c r="CI10"/>
  <c r="CK10" s="1"/>
  <c r="O11"/>
  <c r="Q11" s="1"/>
  <c r="CI11"/>
  <c r="CJ11"/>
  <c r="CL11" s="1"/>
  <c r="O12"/>
  <c r="P12" s="1"/>
  <c r="CH12"/>
  <c r="CJ12" s="1"/>
  <c r="CL12" s="1"/>
  <c r="CI12"/>
  <c r="O13"/>
  <c r="CH13"/>
  <c r="CI13"/>
  <c r="O14"/>
  <c r="Q14" s="1"/>
  <c r="CH14"/>
  <c r="CK14"/>
  <c r="O15"/>
  <c r="Q15" s="1"/>
  <c r="O16"/>
  <c r="Q16" s="1"/>
  <c r="CH16"/>
  <c r="CK16"/>
  <c r="CM16"/>
  <c r="F19" i="7" s="1"/>
  <c r="O17" i="49"/>
  <c r="P17" s="1"/>
  <c r="CH17"/>
  <c r="CM17"/>
  <c r="H20" i="7"/>
  <c r="CI17" i="49"/>
  <c r="CJ17"/>
  <c r="CK17"/>
  <c r="CL17"/>
  <c r="O18"/>
  <c r="P18" s="1"/>
  <c r="CH18"/>
  <c r="CM18"/>
  <c r="CI18"/>
  <c r="CJ18"/>
  <c r="CK18"/>
  <c r="CL18"/>
  <c r="O19"/>
  <c r="Q19" s="1"/>
  <c r="M22" i="36" s="1"/>
  <c r="CH19" i="49"/>
  <c r="CM19"/>
  <c r="H22" i="7"/>
  <c r="CI19" i="49"/>
  <c r="CJ19"/>
  <c r="CK19"/>
  <c r="CL19"/>
  <c r="O20"/>
  <c r="P20" s="1"/>
  <c r="CH20"/>
  <c r="CI20"/>
  <c r="CJ20"/>
  <c r="CK20"/>
  <c r="CL20"/>
  <c r="O21"/>
  <c r="P21" s="1"/>
  <c r="CH21"/>
  <c r="CM21"/>
  <c r="H24" i="7"/>
  <c r="CI21" i="49"/>
  <c r="CJ21"/>
  <c r="CK21"/>
  <c r="CL21"/>
  <c r="O22"/>
  <c r="P22" s="1"/>
  <c r="CH22"/>
  <c r="CM22"/>
  <c r="CI22"/>
  <c r="CJ22"/>
  <c r="CK22"/>
  <c r="CL22"/>
  <c r="O23"/>
  <c r="Q23" s="1"/>
  <c r="CH23"/>
  <c r="CI23"/>
  <c r="CJ23"/>
  <c r="CK23"/>
  <c r="CL23"/>
  <c r="O24"/>
  <c r="P24" s="1"/>
  <c r="CH24"/>
  <c r="CI24"/>
  <c r="CJ24"/>
  <c r="CK24"/>
  <c r="CL24"/>
  <c r="O25"/>
  <c r="P25" s="1"/>
  <c r="CH25"/>
  <c r="CM25"/>
  <c r="H28" i="7"/>
  <c r="CI25" i="49"/>
  <c r="CJ25"/>
  <c r="CK25"/>
  <c r="CL25"/>
  <c r="O26"/>
  <c r="P26" s="1"/>
  <c r="CH26"/>
  <c r="CI26"/>
  <c r="CJ26"/>
  <c r="CK26"/>
  <c r="CL26"/>
  <c r="CM26" s="1"/>
  <c r="O27"/>
  <c r="P27" s="1"/>
  <c r="B30" i="7" s="1"/>
  <c r="CH27" i="49"/>
  <c r="CM27"/>
  <c r="H30" i="7"/>
  <c r="CI27" i="49"/>
  <c r="CJ27"/>
  <c r="CK27"/>
  <c r="CL27"/>
  <c r="O28"/>
  <c r="Q28" s="1"/>
  <c r="CH28"/>
  <c r="CM28"/>
  <c r="CI28"/>
  <c r="CJ28"/>
  <c r="CK28"/>
  <c r="CL28"/>
  <c r="O29"/>
  <c r="P29" s="1"/>
  <c r="CH29"/>
  <c r="CM29"/>
  <c r="H32" i="7"/>
  <c r="CI29" i="49"/>
  <c r="CJ29"/>
  <c r="CK29"/>
  <c r="CL29"/>
  <c r="O30"/>
  <c r="P30" s="1"/>
  <c r="CH30"/>
  <c r="CM30"/>
  <c r="CI30"/>
  <c r="CJ30"/>
  <c r="CK30"/>
  <c r="CL30"/>
  <c r="O31"/>
  <c r="Q31" s="1"/>
  <c r="CH31"/>
  <c r="CI31"/>
  <c r="CJ31"/>
  <c r="CL31"/>
  <c r="CK31"/>
  <c r="CM31"/>
  <c r="CH32"/>
  <c r="CM32"/>
  <c r="H35" i="7"/>
  <c r="CI32" i="49"/>
  <c r="CJ32"/>
  <c r="CK32"/>
  <c r="CL32"/>
  <c r="CH33"/>
  <c r="CI33"/>
  <c r="CJ33"/>
  <c r="CK33"/>
  <c r="CL33"/>
  <c r="CH34"/>
  <c r="CM34"/>
  <c r="H37" i="7"/>
  <c r="CI34" i="49"/>
  <c r="CJ34"/>
  <c r="CK34"/>
  <c r="CL34"/>
  <c r="CH35"/>
  <c r="CM35"/>
  <c r="H38" i="7"/>
  <c r="CI35" i="49"/>
  <c r="CJ35"/>
  <c r="CK35"/>
  <c r="CL35"/>
  <c r="CH36"/>
  <c r="CI36"/>
  <c r="CJ36"/>
  <c r="CK36"/>
  <c r="CL36"/>
  <c r="CH37"/>
  <c r="CI37"/>
  <c r="CJ37"/>
  <c r="CK37"/>
  <c r="CM37"/>
  <c r="CL37"/>
  <c r="CH38"/>
  <c r="CI38"/>
  <c r="CJ38"/>
  <c r="CK38"/>
  <c r="CM38"/>
  <c r="CL38"/>
  <c r="CH39"/>
  <c r="CI39"/>
  <c r="CJ39"/>
  <c r="CK39"/>
  <c r="CL39"/>
  <c r="CH40"/>
  <c r="CI40"/>
  <c r="CJ40"/>
  <c r="CK40"/>
  <c r="CM40"/>
  <c r="CL40"/>
  <c r="CH41"/>
  <c r="CM41"/>
  <c r="H44" i="7"/>
  <c r="CI41" i="49"/>
  <c r="CJ41"/>
  <c r="CK41"/>
  <c r="CL41"/>
  <c r="CH42"/>
  <c r="CM42"/>
  <c r="H45" i="7"/>
  <c r="CI42" i="49"/>
  <c r="CJ42"/>
  <c r="CK42"/>
  <c r="CL42"/>
  <c r="CH43"/>
  <c r="CI43"/>
  <c r="CJ43"/>
  <c r="CK43"/>
  <c r="CM43"/>
  <c r="CL43"/>
  <c r="CH44"/>
  <c r="CM44"/>
  <c r="H47" i="7"/>
  <c r="CI44" i="49"/>
  <c r="CJ44"/>
  <c r="CK44"/>
  <c r="CL44"/>
  <c r="CH45"/>
  <c r="CM45"/>
  <c r="H48" i="7"/>
  <c r="CI45" i="49"/>
  <c r="CJ45"/>
  <c r="CK45"/>
  <c r="CL45"/>
  <c r="CH46"/>
  <c r="CM46"/>
  <c r="H49" i="7"/>
  <c r="CI46" i="49"/>
  <c r="CJ46"/>
  <c r="CK46"/>
  <c r="CL46"/>
  <c r="CH47"/>
  <c r="CM47"/>
  <c r="H50" i="7"/>
  <c r="CI47" i="49"/>
  <c r="CJ47"/>
  <c r="CK47"/>
  <c r="CL47"/>
  <c r="CH48"/>
  <c r="CM48"/>
  <c r="H51" i="7"/>
  <c r="CI48" i="49"/>
  <c r="CJ48"/>
  <c r="CK48"/>
  <c r="CL48"/>
  <c r="CH49"/>
  <c r="CM49"/>
  <c r="H52" i="7"/>
  <c r="CI49" i="49"/>
  <c r="CJ49"/>
  <c r="CK49"/>
  <c r="CL49"/>
  <c r="CH50"/>
  <c r="CM50"/>
  <c r="H53" i="7"/>
  <c r="CI50" i="49"/>
  <c r="CJ50"/>
  <c r="CK50"/>
  <c r="CL50"/>
  <c r="CH51"/>
  <c r="CI51"/>
  <c r="CJ51"/>
  <c r="CK51"/>
  <c r="CL51"/>
  <c r="CH52"/>
  <c r="CI52"/>
  <c r="CJ52"/>
  <c r="CK52"/>
  <c r="CL52"/>
  <c r="CH53"/>
  <c r="CM53"/>
  <c r="H56" i="7"/>
  <c r="CI53" i="49"/>
  <c r="CJ53"/>
  <c r="CK53"/>
  <c r="CL53"/>
  <c r="CH54"/>
  <c r="CM54"/>
  <c r="H57" i="7"/>
  <c r="CI54" i="49"/>
  <c r="CJ54"/>
  <c r="CK54"/>
  <c r="CL54"/>
  <c r="CH55"/>
  <c r="CI55"/>
  <c r="CJ55"/>
  <c r="CK55"/>
  <c r="CM55"/>
  <c r="CL55"/>
  <c r="CH56"/>
  <c r="CI56"/>
  <c r="CJ56"/>
  <c r="CK56"/>
  <c r="CL56"/>
  <c r="CH57"/>
  <c r="CM57"/>
  <c r="H60" i="7"/>
  <c r="CI57" i="49"/>
  <c r="CJ57"/>
  <c r="CK57"/>
  <c r="CL57"/>
  <c r="CH58"/>
  <c r="CI58"/>
  <c r="CJ58"/>
  <c r="CK58"/>
  <c r="CL58"/>
  <c r="CH59"/>
  <c r="CM59"/>
  <c r="H62" i="7"/>
  <c r="CI59" i="49"/>
  <c r="CJ59"/>
  <c r="CK59"/>
  <c r="CL59"/>
  <c r="CH60"/>
  <c r="CI60"/>
  <c r="CJ60"/>
  <c r="CK60"/>
  <c r="CM60"/>
  <c r="CL60"/>
  <c r="CH61"/>
  <c r="CM61"/>
  <c r="H64" i="7"/>
  <c r="CI61" i="49"/>
  <c r="CJ61"/>
  <c r="CK61"/>
  <c r="CL61"/>
  <c r="CH62"/>
  <c r="CM62"/>
  <c r="H65" i="7"/>
  <c r="CI62" i="49"/>
  <c r="CJ62"/>
  <c r="CK62"/>
  <c r="CL62"/>
  <c r="CH63"/>
  <c r="CM63"/>
  <c r="H66" i="7"/>
  <c r="CI63" i="49"/>
  <c r="CJ63"/>
  <c r="CK63"/>
  <c r="CL63"/>
  <c r="CH64"/>
  <c r="CI64"/>
  <c r="CJ64"/>
  <c r="CK64"/>
  <c r="CL64"/>
  <c r="CH65"/>
  <c r="CM65"/>
  <c r="H68" i="7"/>
  <c r="CI65" i="49"/>
  <c r="CJ65"/>
  <c r="CK65"/>
  <c r="CL65"/>
  <c r="CH66"/>
  <c r="CM66"/>
  <c r="H69" i="7"/>
  <c r="CI66" i="49"/>
  <c r="CJ66"/>
  <c r="CK66"/>
  <c r="CL66"/>
  <c r="CH67"/>
  <c r="CM67"/>
  <c r="H70" i="7"/>
  <c r="CI67" i="49"/>
  <c r="CJ67"/>
  <c r="CK67"/>
  <c r="CL67"/>
  <c r="CH68"/>
  <c r="CI68"/>
  <c r="CJ68"/>
  <c r="CK68"/>
  <c r="CL68"/>
  <c r="CH69"/>
  <c r="CI69"/>
  <c r="CJ69"/>
  <c r="CK69"/>
  <c r="CL69"/>
  <c r="CH70"/>
  <c r="CI70"/>
  <c r="CJ70"/>
  <c r="CK70"/>
  <c r="CM70"/>
  <c r="CL70"/>
  <c r="CH71"/>
  <c r="CI71"/>
  <c r="CJ71"/>
  <c r="CK71"/>
  <c r="CL71"/>
  <c r="CH72"/>
  <c r="CM72"/>
  <c r="H75" i="7"/>
  <c r="CI72" i="49"/>
  <c r="CJ72"/>
  <c r="CK72"/>
  <c r="CL72"/>
  <c r="CH73"/>
  <c r="CM73"/>
  <c r="H76" i="7"/>
  <c r="CI73" i="49"/>
  <c r="CJ73"/>
  <c r="CK73"/>
  <c r="CL73"/>
  <c r="CH74"/>
  <c r="CI74"/>
  <c r="CJ74"/>
  <c r="CK74"/>
  <c r="CL74"/>
  <c r="CH75"/>
  <c r="CI75"/>
  <c r="CJ75"/>
  <c r="CK75"/>
  <c r="CM75"/>
  <c r="CL75"/>
  <c r="CH76"/>
  <c r="CM76"/>
  <c r="H79" i="7"/>
  <c r="CI76" i="49"/>
  <c r="CJ76"/>
  <c r="CK76"/>
  <c r="CL76"/>
  <c r="CH77"/>
  <c r="CM77"/>
  <c r="H80" i="7"/>
  <c r="CI77" i="49"/>
  <c r="CJ77"/>
  <c r="CK77"/>
  <c r="CL77"/>
  <c r="CH78"/>
  <c r="CM78"/>
  <c r="H81" i="7"/>
  <c r="CI78" i="49"/>
  <c r="CJ78"/>
  <c r="CK78"/>
  <c r="CL78"/>
  <c r="CH79"/>
  <c r="CM79"/>
  <c r="H82" i="7"/>
  <c r="CI79" i="49"/>
  <c r="CJ79"/>
  <c r="CK79"/>
  <c r="CL79"/>
  <c r="CH80"/>
  <c r="CM80"/>
  <c r="H83" i="7"/>
  <c r="CI80" i="49"/>
  <c r="CJ80"/>
  <c r="CK80"/>
  <c r="CL80"/>
  <c r="CH81"/>
  <c r="CI81"/>
  <c r="CJ81"/>
  <c r="CK81"/>
  <c r="CL81"/>
  <c r="CH82"/>
  <c r="CM82"/>
  <c r="H85" i="7"/>
  <c r="CI82" i="49"/>
  <c r="CJ82"/>
  <c r="CK82"/>
  <c r="CL82"/>
  <c r="CH83"/>
  <c r="CM83"/>
  <c r="H86" i="7"/>
  <c r="CI83" i="49"/>
  <c r="CJ83"/>
  <c r="CK83"/>
  <c r="CL83"/>
  <c r="CH84"/>
  <c r="CM84"/>
  <c r="H87" i="7"/>
  <c r="CI84" i="49"/>
  <c r="CJ84"/>
  <c r="CK84"/>
  <c r="CL84"/>
  <c r="CH85"/>
  <c r="CI85"/>
  <c r="CK85"/>
  <c r="CM85"/>
  <c r="CH86"/>
  <c r="CM86"/>
  <c r="H89" i="7"/>
  <c r="CI86" i="49"/>
  <c r="CJ86"/>
  <c r="CK86"/>
  <c r="CL86"/>
  <c r="CH87"/>
  <c r="CM87"/>
  <c r="H90" i="7"/>
  <c r="CI87" i="49"/>
  <c r="CJ87"/>
  <c r="CK87"/>
  <c r="CL87"/>
  <c r="CH88"/>
  <c r="CM88"/>
  <c r="H91" i="7"/>
  <c r="CI88" i="49"/>
  <c r="CJ88"/>
  <c r="CK88"/>
  <c r="CL88"/>
  <c r="CH89"/>
  <c r="CM89"/>
  <c r="H92" i="7"/>
  <c r="CI89" i="49"/>
  <c r="CJ89"/>
  <c r="CK89"/>
  <c r="CL89"/>
  <c r="CH90"/>
  <c r="CI90"/>
  <c r="CJ90"/>
  <c r="CK90"/>
  <c r="CM90"/>
  <c r="CL90"/>
  <c r="CH91"/>
  <c r="CI91"/>
  <c r="CJ91"/>
  <c r="CK91"/>
  <c r="CL91"/>
  <c r="CH92"/>
  <c r="CM92"/>
  <c r="H95" i="7"/>
  <c r="CI92" i="49"/>
  <c r="CJ92"/>
  <c r="CK92"/>
  <c r="CL92"/>
  <c r="CH93"/>
  <c r="CM93"/>
  <c r="H96" i="7"/>
  <c r="CI93" i="49"/>
  <c r="CJ93"/>
  <c r="CK93"/>
  <c r="CL93"/>
  <c r="CH94"/>
  <c r="CI94"/>
  <c r="CJ94"/>
  <c r="CK94"/>
  <c r="CL94"/>
  <c r="CH95"/>
  <c r="CI95"/>
  <c r="CJ95"/>
  <c r="CK95"/>
  <c r="CL95"/>
  <c r="CH96"/>
  <c r="CM96"/>
  <c r="H99" i="7"/>
  <c r="CI96" i="49"/>
  <c r="CJ96"/>
  <c r="CK96"/>
  <c r="CL96"/>
  <c r="CH97"/>
  <c r="CI97"/>
  <c r="CJ97"/>
  <c r="CK97"/>
  <c r="CL97"/>
  <c r="CH98"/>
  <c r="CM98"/>
  <c r="H101" i="7"/>
  <c r="CI98" i="49"/>
  <c r="CJ98"/>
  <c r="CK98"/>
  <c r="CL98"/>
  <c r="CH99"/>
  <c r="CM99"/>
  <c r="H102" i="7"/>
  <c r="CI99" i="49"/>
  <c r="CJ99"/>
  <c r="CK99"/>
  <c r="CL99"/>
  <c r="CH100"/>
  <c r="CI100"/>
  <c r="CJ100"/>
  <c r="CK100"/>
  <c r="CM100"/>
  <c r="CL100"/>
  <c r="CH101"/>
  <c r="CM101"/>
  <c r="H104" i="7"/>
  <c r="CI101" i="49"/>
  <c r="CJ101"/>
  <c r="CK101"/>
  <c r="CL101"/>
  <c r="CH102"/>
  <c r="CM102"/>
  <c r="H105" i="7"/>
  <c r="CI102" i="49"/>
  <c r="CJ102"/>
  <c r="CK102"/>
  <c r="CL102"/>
  <c r="CH103"/>
  <c r="CM103"/>
  <c r="H106" i="7"/>
  <c r="CI103" i="49"/>
  <c r="CJ103"/>
  <c r="CK103"/>
  <c r="CL103"/>
  <c r="CH104"/>
  <c r="CI104"/>
  <c r="CJ104"/>
  <c r="CK104"/>
  <c r="CL104"/>
  <c r="CH105"/>
  <c r="CI105"/>
  <c r="CJ105"/>
  <c r="CK105"/>
  <c r="CM105"/>
  <c r="CL105"/>
  <c r="CH106"/>
  <c r="CM106"/>
  <c r="H109" i="7"/>
  <c r="CI106" i="49"/>
  <c r="CJ106"/>
  <c r="CK106"/>
  <c r="CL106"/>
  <c r="CH107"/>
  <c r="CI107"/>
  <c r="CJ107"/>
  <c r="CK107"/>
  <c r="CL107"/>
  <c r="CH108"/>
  <c r="CM108"/>
  <c r="H111" i="7"/>
  <c r="CI108" i="49"/>
  <c r="CJ108"/>
  <c r="CK108"/>
  <c r="CL108"/>
  <c r="CH109"/>
  <c r="CM109"/>
  <c r="H112" i="7"/>
  <c r="CI109" i="49"/>
  <c r="CJ109"/>
  <c r="CK109"/>
  <c r="CL109"/>
  <c r="CH110"/>
  <c r="CI110"/>
  <c r="CJ110"/>
  <c r="CK110"/>
  <c r="CL110"/>
  <c r="CH111"/>
  <c r="CI111"/>
  <c r="CJ111"/>
  <c r="CK111"/>
  <c r="CM111"/>
  <c r="CL111"/>
  <c r="CH112"/>
  <c r="CM112"/>
  <c r="H115" i="7"/>
  <c r="CI112" i="49"/>
  <c r="CJ112"/>
  <c r="CK112"/>
  <c r="CL112"/>
  <c r="CH113"/>
  <c r="CM113"/>
  <c r="H116" i="7"/>
  <c r="CI113" i="49"/>
  <c r="CJ113"/>
  <c r="CK113"/>
  <c r="CL113"/>
  <c r="H116" i="36"/>
  <c r="H115"/>
  <c r="F112" i="7"/>
  <c r="F112" i="36"/>
  <c r="F111" i="7"/>
  <c r="F111" i="36"/>
  <c r="F109" i="7"/>
  <c r="F109" i="36"/>
  <c r="F106" i="7"/>
  <c r="F106" i="36"/>
  <c r="F105" i="7"/>
  <c r="F105" i="36"/>
  <c r="F104" i="7"/>
  <c r="F104" i="36"/>
  <c r="F102" i="7"/>
  <c r="F102" i="36"/>
  <c r="F101" i="7"/>
  <c r="F101" i="36"/>
  <c r="F99" i="7"/>
  <c r="F99" i="36"/>
  <c r="F96" i="7"/>
  <c r="F96" i="36"/>
  <c r="F95" i="7"/>
  <c r="F95" i="36"/>
  <c r="F92" i="7"/>
  <c r="F92" i="36"/>
  <c r="F91" i="7"/>
  <c r="F91" i="36"/>
  <c r="F90" i="7"/>
  <c r="F90" i="36"/>
  <c r="F89" i="7"/>
  <c r="F89" i="36"/>
  <c r="F87" i="7"/>
  <c r="F87" i="36"/>
  <c r="F86" i="7"/>
  <c r="F86" i="36"/>
  <c r="F85" i="7"/>
  <c r="F85" i="36"/>
  <c r="F83" i="7"/>
  <c r="F83" i="36"/>
  <c r="F82" i="7"/>
  <c r="F82" i="36"/>
  <c r="F81" i="7"/>
  <c r="F81" i="36"/>
  <c r="F80" i="7"/>
  <c r="F80" i="36"/>
  <c r="F79" i="7"/>
  <c r="F79" i="36"/>
  <c r="F76" i="7"/>
  <c r="F76" i="36"/>
  <c r="F75" i="7"/>
  <c r="F75" i="36"/>
  <c r="F70" i="7"/>
  <c r="F70" i="36"/>
  <c r="F69" i="7"/>
  <c r="F69" i="36"/>
  <c r="F68" i="7"/>
  <c r="F68" i="36"/>
  <c r="F66" i="7"/>
  <c r="F66" i="36"/>
  <c r="F65" i="7"/>
  <c r="F65" i="36"/>
  <c r="F64" i="7"/>
  <c r="F64" i="36"/>
  <c r="F62" i="7"/>
  <c r="F62" i="36"/>
  <c r="F60" i="7"/>
  <c r="F60" i="36"/>
  <c r="F57" i="7"/>
  <c r="F57" i="36"/>
  <c r="F56" i="7"/>
  <c r="F56" i="36"/>
  <c r="F53" i="7"/>
  <c r="F53" i="36"/>
  <c r="F52" i="7"/>
  <c r="F52" i="36"/>
  <c r="F51" i="7"/>
  <c r="F51" i="36"/>
  <c r="F50" i="7"/>
  <c r="F50" i="36"/>
  <c r="F49" i="7"/>
  <c r="F49" i="36"/>
  <c r="F48" i="7"/>
  <c r="F48" i="36"/>
  <c r="F47" i="7"/>
  <c r="F47" i="36"/>
  <c r="F45" i="7"/>
  <c r="F45" i="36"/>
  <c r="F44" i="7"/>
  <c r="F44" i="36"/>
  <c r="F38" i="7"/>
  <c r="F38" i="36"/>
  <c r="F37" i="7"/>
  <c r="F37" i="36"/>
  <c r="F35" i="7"/>
  <c r="F35" i="36"/>
  <c r="H33" i="7"/>
  <c r="F33"/>
  <c r="H33" i="36"/>
  <c r="F33"/>
  <c r="F32" i="7"/>
  <c r="F32" i="36"/>
  <c r="H31" i="7"/>
  <c r="F31"/>
  <c r="H31" i="36"/>
  <c r="F31"/>
  <c r="F30" i="7"/>
  <c r="F30" i="36"/>
  <c r="F28" i="7"/>
  <c r="F28" i="36"/>
  <c r="H25" i="7"/>
  <c r="F25"/>
  <c r="H25" i="36"/>
  <c r="F25"/>
  <c r="F24" i="7"/>
  <c r="F24" i="36"/>
  <c r="F22" i="7"/>
  <c r="F22" i="36"/>
  <c r="H21" i="7"/>
  <c r="F21"/>
  <c r="H21" i="36"/>
  <c r="F21"/>
  <c r="F20" i="7"/>
  <c r="F20" i="36"/>
  <c r="H9"/>
  <c r="P5" i="49"/>
  <c r="B8" i="36" s="1"/>
  <c r="P116" i="7"/>
  <c r="AV116" s="1"/>
  <c r="AW116" s="1"/>
  <c r="U116"/>
  <c r="AW115"/>
  <c r="AX115"/>
  <c r="AW114"/>
  <c r="AX114"/>
  <c r="AW113"/>
  <c r="AX113"/>
  <c r="AW112"/>
  <c r="AX112"/>
  <c r="AW111"/>
  <c r="AX111"/>
  <c r="AW110"/>
  <c r="AX110"/>
  <c r="AW109"/>
  <c r="AX109"/>
  <c r="AW108"/>
  <c r="AX108"/>
  <c r="AW107"/>
  <c r="AX107"/>
  <c r="AW106"/>
  <c r="AX106"/>
  <c r="AW105"/>
  <c r="AX105"/>
  <c r="AW104"/>
  <c r="AX104"/>
  <c r="AW103"/>
  <c r="AX103"/>
  <c r="AW102"/>
  <c r="AX102"/>
  <c r="AW101"/>
  <c r="AX101"/>
  <c r="AW100"/>
  <c r="AX100"/>
  <c r="AW98"/>
  <c r="AX98"/>
  <c r="AX96"/>
  <c r="AW96"/>
  <c r="AW95"/>
  <c r="AX95"/>
  <c r="AW94"/>
  <c r="AX94"/>
  <c r="AW93"/>
  <c r="AX93"/>
  <c r="AW92"/>
  <c r="AX92"/>
  <c r="AW91"/>
  <c r="AX91"/>
  <c r="AW89"/>
  <c r="AX89"/>
  <c r="AX88"/>
  <c r="AW88"/>
  <c r="AW87"/>
  <c r="AX87"/>
  <c r="AW86"/>
  <c r="AX86"/>
  <c r="AW84"/>
  <c r="AX84"/>
  <c r="AW82"/>
  <c r="AX82"/>
  <c r="AW79"/>
  <c r="AX79"/>
  <c r="AW78"/>
  <c r="AX78"/>
  <c r="AX77"/>
  <c r="AW77"/>
  <c r="AW75"/>
  <c r="AX75"/>
  <c r="AW72"/>
  <c r="AX72"/>
  <c r="AW71"/>
  <c r="AX71"/>
  <c r="AW70"/>
  <c r="AX70"/>
  <c r="AX69"/>
  <c r="AW69"/>
  <c r="AW68"/>
  <c r="AX68"/>
  <c r="AW66"/>
  <c r="AX66"/>
  <c r="AX64"/>
  <c r="AW64"/>
  <c r="AW63"/>
  <c r="AX63"/>
  <c r="AW62"/>
  <c r="AX62"/>
  <c r="AX61"/>
  <c r="AW61"/>
  <c r="AW57"/>
  <c r="AX57"/>
  <c r="AX56"/>
  <c r="AW56"/>
  <c r="AX54"/>
  <c r="AW54"/>
  <c r="AX53"/>
  <c r="AW53"/>
  <c r="AW52"/>
  <c r="AX52"/>
  <c r="AW51"/>
  <c r="AX51"/>
  <c r="AW50"/>
  <c r="AX50"/>
  <c r="AW49"/>
  <c r="AX49"/>
  <c r="AW48"/>
  <c r="AX48"/>
  <c r="AW47"/>
  <c r="AX47"/>
  <c r="AW46"/>
  <c r="AX46"/>
  <c r="AW45"/>
  <c r="AX45"/>
  <c r="AW44"/>
  <c r="AX44"/>
  <c r="P42"/>
  <c r="AV42" s="1"/>
  <c r="AW42"/>
  <c r="AX42"/>
  <c r="AW41"/>
  <c r="P41"/>
  <c r="AV41"/>
  <c r="AX41"/>
  <c r="P40"/>
  <c r="AV40" s="1"/>
  <c r="AX40"/>
  <c r="AW40"/>
  <c r="P39"/>
  <c r="AV39" s="1"/>
  <c r="AX39"/>
  <c r="AW39"/>
  <c r="P38"/>
  <c r="AV38" s="1"/>
  <c r="AW38"/>
  <c r="AX38"/>
  <c r="P37"/>
  <c r="AV37" s="1"/>
  <c r="AX37"/>
  <c r="AW37"/>
  <c r="AX36"/>
  <c r="AW36"/>
  <c r="AX35"/>
  <c r="AW35"/>
  <c r="AX34"/>
  <c r="AW34"/>
  <c r="AX33"/>
  <c r="AW33"/>
  <c r="AX32"/>
  <c r="AW32"/>
  <c r="AX31"/>
  <c r="AW31"/>
  <c r="AX30"/>
  <c r="AW30"/>
  <c r="AX29"/>
  <c r="AW29"/>
  <c r="AX27"/>
  <c r="AW27"/>
  <c r="AX26"/>
  <c r="AW26"/>
  <c r="AX24"/>
  <c r="AW24"/>
  <c r="AX23"/>
  <c r="AW23"/>
  <c r="AX21"/>
  <c r="AW21"/>
  <c r="AX20"/>
  <c r="AW20"/>
  <c r="AW18"/>
  <c r="P14"/>
  <c r="AV14" s="1"/>
  <c r="P13"/>
  <c r="P12"/>
  <c r="AV12" s="1"/>
  <c r="P11"/>
  <c r="AV11" s="1"/>
  <c r="P10"/>
  <c r="AV10" s="1"/>
  <c r="P9"/>
  <c r="AX8"/>
  <c r="P7"/>
  <c r="AX83"/>
  <c r="AX81"/>
  <c r="AW76"/>
  <c r="AW74"/>
  <c r="AW67"/>
  <c r="AX90"/>
  <c r="AW73"/>
  <c r="AX97"/>
  <c r="AX99"/>
  <c r="AX80"/>
  <c r="AX85"/>
  <c r="Q30" i="49"/>
  <c r="M33" i="36" s="1"/>
  <c r="Q24" i="49"/>
  <c r="M27" i="36" s="1"/>
  <c r="Q22" i="49"/>
  <c r="M25" i="36" s="1"/>
  <c r="Q17" i="49"/>
  <c r="M20" i="36" s="1"/>
  <c r="Q13" i="49"/>
  <c r="M16" i="36" s="1"/>
  <c r="P13" i="49"/>
  <c r="B16" i="7" s="1"/>
  <c r="P6" i="49"/>
  <c r="B9" i="36" s="1"/>
  <c r="P38" i="49"/>
  <c r="B41" i="7" s="1"/>
  <c r="Q45" i="49"/>
  <c r="M48" i="36" s="1"/>
  <c r="P46" i="49"/>
  <c r="B49" i="7" s="1"/>
  <c r="P49" i="49"/>
  <c r="B52" i="7" s="1"/>
  <c r="P54" i="49"/>
  <c r="B57" i="36" s="1"/>
  <c r="P62" i="49"/>
  <c r="B65" i="36" s="1"/>
  <c r="P70" i="49"/>
  <c r="B73" i="7" s="1"/>
  <c r="Q77" i="49"/>
  <c r="M80" i="36" s="1"/>
  <c r="P78" i="49"/>
  <c r="B81" i="7" s="1"/>
  <c r="P81" i="49"/>
  <c r="B84" i="7" s="1"/>
  <c r="P86" i="49"/>
  <c r="B89" i="36" s="1"/>
  <c r="P94" i="49"/>
  <c r="B97" i="36" s="1"/>
  <c r="P102" i="49"/>
  <c r="B105" i="7" s="1"/>
  <c r="Q109" i="49"/>
  <c r="M112" i="36" s="1"/>
  <c r="P110" i="49"/>
  <c r="B113" i="7" s="1"/>
  <c r="P113" i="49"/>
  <c r="B116" i="36" s="1"/>
  <c r="CJ85" i="49"/>
  <c r="CL85"/>
  <c r="AX116" i="7"/>
  <c r="Q4" i="10"/>
  <c r="M7" i="37" s="1"/>
  <c r="C1" i="25"/>
  <c r="Q115" s="1"/>
  <c r="S115" s="1"/>
  <c r="BC44" i="21"/>
  <c r="BD44" s="1"/>
  <c r="BC45"/>
  <c r="BD45" s="1"/>
  <c r="BC47"/>
  <c r="BD47" s="1"/>
  <c r="BC51"/>
  <c r="BD51" s="1"/>
  <c r="BC55"/>
  <c r="BD55" s="1"/>
  <c r="BE73"/>
  <c r="BC77"/>
  <c r="BD77" s="1"/>
  <c r="BE77"/>
  <c r="BC32"/>
  <c r="BE32" s="1"/>
  <c r="BC35"/>
  <c r="BE35" s="1"/>
  <c r="C35" i="25"/>
  <c r="H35" i="21"/>
  <c r="H35" i="37"/>
  <c r="F35" i="21"/>
  <c r="F35" i="37"/>
  <c r="D35" i="25"/>
  <c r="C47"/>
  <c r="H47" i="21"/>
  <c r="H47" i="37"/>
  <c r="D47" i="25"/>
  <c r="F47" i="21"/>
  <c r="F47" i="37"/>
  <c r="C63" i="25"/>
  <c r="F63" i="21"/>
  <c r="H63" i="37"/>
  <c r="F63"/>
  <c r="H63" i="21"/>
  <c r="D63" i="25"/>
  <c r="F11" i="21"/>
  <c r="H11"/>
  <c r="F29" i="37"/>
  <c r="D29" i="25"/>
  <c r="H29" i="21"/>
  <c r="F29"/>
  <c r="H29" i="37"/>
  <c r="C29" i="25"/>
  <c r="F78" i="21"/>
  <c r="H78" i="37"/>
  <c r="C78" i="25"/>
  <c r="F78" i="37"/>
  <c r="D78" i="25"/>
  <c r="H78" i="21"/>
  <c r="C34" i="25"/>
  <c r="F34" i="21"/>
  <c r="D34" i="25"/>
  <c r="F34" i="37"/>
  <c r="H34" i="21"/>
  <c r="H34" i="37"/>
  <c r="F116" i="21"/>
  <c r="H116" i="37"/>
  <c r="D116" i="25"/>
  <c r="H116" i="21"/>
  <c r="F116" i="37"/>
  <c r="C116" i="25"/>
  <c r="F90" i="21"/>
  <c r="H90"/>
  <c r="H90" i="37"/>
  <c r="C90" i="25"/>
  <c r="F90" i="37"/>
  <c r="D90" i="25"/>
  <c r="H64" i="21"/>
  <c r="F64"/>
  <c r="F64" i="37"/>
  <c r="D64" i="25"/>
  <c r="H57" i="37"/>
  <c r="F57" i="21"/>
  <c r="F57" i="37"/>
  <c r="D57" i="25"/>
  <c r="H57" i="21"/>
  <c r="F50"/>
  <c r="D50" i="25"/>
  <c r="H50" i="37"/>
  <c r="C50" i="25"/>
  <c r="F50" i="37"/>
  <c r="H50" i="21"/>
  <c r="C49" i="25"/>
  <c r="F49" i="37"/>
  <c r="D49" i="25"/>
  <c r="F49" i="21"/>
  <c r="H49" i="37"/>
  <c r="H49" i="21"/>
  <c r="CM43" i="10"/>
  <c r="CM34"/>
  <c r="CJ48"/>
  <c r="CL48"/>
  <c r="H114" i="7"/>
  <c r="F114"/>
  <c r="H114" i="36"/>
  <c r="F114"/>
  <c r="H108" i="7"/>
  <c r="F108"/>
  <c r="H108" i="36"/>
  <c r="F108"/>
  <c r="H103" i="7"/>
  <c r="F103"/>
  <c r="H103" i="36"/>
  <c r="F103"/>
  <c r="H93" i="7"/>
  <c r="F93"/>
  <c r="H93" i="36"/>
  <c r="F93"/>
  <c r="H88" i="7"/>
  <c r="F88"/>
  <c r="H88" i="36"/>
  <c r="F88"/>
  <c r="H78" i="7"/>
  <c r="F78"/>
  <c r="H78" i="36"/>
  <c r="F78"/>
  <c r="H73" i="7"/>
  <c r="F73"/>
  <c r="H73" i="36"/>
  <c r="F73"/>
  <c r="H63" i="7"/>
  <c r="F63"/>
  <c r="H63" i="36"/>
  <c r="F63"/>
  <c r="H58" i="7"/>
  <c r="F58"/>
  <c r="H58" i="36"/>
  <c r="F58"/>
  <c r="H46" i="7"/>
  <c r="F46"/>
  <c r="H46" i="36"/>
  <c r="F46"/>
  <c r="H43" i="7"/>
  <c r="F43"/>
  <c r="H43" i="36"/>
  <c r="F43"/>
  <c r="H41" i="7"/>
  <c r="F41"/>
  <c r="H41" i="36"/>
  <c r="F41"/>
  <c r="H40" i="7"/>
  <c r="F40"/>
  <c r="H40" i="36"/>
  <c r="F40"/>
  <c r="H34" i="7"/>
  <c r="F34"/>
  <c r="H34" i="36"/>
  <c r="F34"/>
  <c r="H19"/>
  <c r="F19"/>
  <c r="H11"/>
  <c r="F11"/>
  <c r="C37" i="25"/>
  <c r="F37" i="21"/>
  <c r="F37" i="37"/>
  <c r="H37" i="21"/>
  <c r="D37" i="25"/>
  <c r="H37" i="37"/>
  <c r="C46" i="25"/>
  <c r="F46" i="37"/>
  <c r="F46" i="21"/>
  <c r="D46" i="25"/>
  <c r="H46" i="37"/>
  <c r="H46" i="21"/>
  <c r="H20" i="36"/>
  <c r="H22"/>
  <c r="H24"/>
  <c r="H28"/>
  <c r="H30"/>
  <c r="H32"/>
  <c r="H35"/>
  <c r="H37"/>
  <c r="H38"/>
  <c r="H44"/>
  <c r="H45"/>
  <c r="H47"/>
  <c r="H48"/>
  <c r="H49"/>
  <c r="H50"/>
  <c r="H51"/>
  <c r="H52"/>
  <c r="H53"/>
  <c r="H56"/>
  <c r="H57"/>
  <c r="H60"/>
  <c r="H62"/>
  <c r="H64"/>
  <c r="H65"/>
  <c r="H66"/>
  <c r="H68"/>
  <c r="H69"/>
  <c r="H70"/>
  <c r="H75"/>
  <c r="H76"/>
  <c r="H79"/>
  <c r="H80"/>
  <c r="H81"/>
  <c r="H82"/>
  <c r="H83"/>
  <c r="H85"/>
  <c r="H86"/>
  <c r="H87"/>
  <c r="H89"/>
  <c r="H90"/>
  <c r="H91"/>
  <c r="H92"/>
  <c r="H95"/>
  <c r="H96"/>
  <c r="H99"/>
  <c r="H101"/>
  <c r="H102"/>
  <c r="H104"/>
  <c r="H105"/>
  <c r="H106"/>
  <c r="H109"/>
  <c r="H111"/>
  <c r="H112"/>
  <c r="B69" i="21"/>
  <c r="G38" i="25"/>
  <c r="B74" i="37"/>
  <c r="F116" i="7"/>
  <c r="F116" i="36"/>
  <c r="F115" i="7"/>
  <c r="F115" i="36"/>
  <c r="AX60" i="7"/>
  <c r="AW60"/>
  <c r="F43" i="37"/>
  <c r="H43" i="21"/>
  <c r="C113" i="25"/>
  <c r="H72" i="37"/>
  <c r="H72" i="21"/>
  <c r="C72" i="25"/>
  <c r="D72"/>
  <c r="D32"/>
  <c r="F32" i="37"/>
  <c r="H32"/>
  <c r="AM108" i="36"/>
  <c r="AN108"/>
  <c r="AM102"/>
  <c r="AN102" s="1"/>
  <c r="AM95"/>
  <c r="AN95" s="1"/>
  <c r="AM42"/>
  <c r="AN42" s="1"/>
  <c r="AM89"/>
  <c r="AN89" s="1"/>
  <c r="AM86"/>
  <c r="AN86"/>
  <c r="AM58"/>
  <c r="AN58" s="1"/>
  <c r="AM56"/>
  <c r="AN56" s="1"/>
  <c r="AM26"/>
  <c r="AN26"/>
  <c r="AM24"/>
  <c r="BD93" i="21"/>
  <c r="BE93"/>
  <c r="AM80" i="36"/>
  <c r="AM32"/>
  <c r="AN32" s="1"/>
  <c r="AG117" i="21"/>
  <c r="AG118" s="1"/>
  <c r="BD101"/>
  <c r="BF25" i="7"/>
  <c r="BC29"/>
  <c r="BE28"/>
  <c r="BF27"/>
  <c r="BE17"/>
  <c r="BD19"/>
  <c r="BH11" i="37"/>
  <c r="BF9" i="7"/>
  <c r="BC13"/>
  <c r="BG17" i="37"/>
  <c r="BF11" i="7"/>
  <c r="BC17"/>
  <c r="BE11"/>
  <c r="BH9" i="37"/>
  <c r="BG16"/>
  <c r="BE16" i="7"/>
  <c r="BD25"/>
  <c r="BF26"/>
  <c r="BH10" i="37"/>
  <c r="BD13" i="7"/>
  <c r="BG18" i="37"/>
  <c r="BD28" i="7"/>
  <c r="BH12" i="37"/>
  <c r="BF24" i="7"/>
  <c r="BC28"/>
  <c r="BD8"/>
  <c r="BE19"/>
  <c r="BE29"/>
  <c r="BG11" i="37"/>
  <c r="BG19"/>
  <c r="BF8" i="7"/>
  <c r="BC12"/>
  <c r="BE8"/>
  <c r="BF16"/>
  <c r="BC20"/>
  <c r="BD17"/>
  <c r="BF18"/>
  <c r="BC24"/>
  <c r="BG20" i="37"/>
  <c r="BC10" i="7"/>
  <c r="BH8" i="37"/>
  <c r="BE27" i="7"/>
  <c r="BD26"/>
  <c r="BG10" i="37"/>
  <c r="BD20" i="7"/>
  <c r="BD10"/>
  <c r="BD9"/>
  <c r="BD21"/>
  <c r="BC9"/>
  <c r="BH21" i="37"/>
  <c r="BG21"/>
  <c r="BF29" i="7"/>
  <c r="BF28"/>
  <c r="BD24"/>
  <c r="BD18"/>
  <c r="BD12"/>
  <c r="BH19" i="37"/>
  <c r="BC19" i="7"/>
  <c r="BF17"/>
  <c r="BE21"/>
  <c r="BG9" i="37"/>
  <c r="BH13"/>
  <c r="BC8" i="7"/>
  <c r="BG13" i="37"/>
  <c r="BF10" i="7"/>
  <c r="BC16"/>
  <c r="BC27"/>
  <c r="BE13"/>
  <c r="BE25"/>
  <c r="BD11"/>
  <c r="BE24"/>
  <c r="BH16" i="37"/>
  <c r="BG8"/>
  <c r="BF19" i="7"/>
  <c r="BC25"/>
  <c r="BG12" i="37"/>
  <c r="BE26" i="7"/>
  <c r="BH18" i="37"/>
  <c r="BE10" i="7"/>
  <c r="BF12"/>
  <c r="BC18"/>
  <c r="BE12"/>
  <c r="BF20"/>
  <c r="BC26"/>
  <c r="BD27"/>
  <c r="BH17" i="37"/>
  <c r="BC11" i="7"/>
  <c r="BD29"/>
  <c r="BD16"/>
  <c r="BE20"/>
  <c r="BH20" i="37"/>
  <c r="BE18" i="7"/>
  <c r="BF21"/>
  <c r="BF13"/>
  <c r="BE9"/>
  <c r="BC21"/>
  <c r="H14" i="36" l="1"/>
  <c r="H14" i="7"/>
  <c r="F14"/>
  <c r="F14" i="36"/>
  <c r="J17" i="7"/>
  <c r="J10"/>
  <c r="J9"/>
  <c r="J8"/>
  <c r="CU7" i="49"/>
  <c r="L10" i="7" s="1"/>
  <c r="H11"/>
  <c r="H19"/>
  <c r="CI16" i="49"/>
  <c r="CH15"/>
  <c r="CM14"/>
  <c r="CJ13"/>
  <c r="CL13" s="1"/>
  <c r="CK11"/>
  <c r="CH11"/>
  <c r="CH8"/>
  <c r="CJ8" s="1"/>
  <c r="CL8" s="1"/>
  <c r="CI6"/>
  <c r="CH4"/>
  <c r="J18" i="7"/>
  <c r="AX18"/>
  <c r="K16"/>
  <c r="G16"/>
  <c r="G15"/>
  <c r="K12" i="36"/>
  <c r="J11"/>
  <c r="K7" i="7"/>
  <c r="CU13" i="49"/>
  <c r="L16" i="7" s="1"/>
  <c r="CU11" i="49"/>
  <c r="L14" i="7" s="1"/>
  <c r="CU6" i="49"/>
  <c r="L9" i="7" s="1"/>
  <c r="AV17"/>
  <c r="AV13"/>
  <c r="CU10" i="49"/>
  <c r="L13" i="7" s="1"/>
  <c r="Q64" i="49"/>
  <c r="M67" i="36" s="1"/>
  <c r="P36" i="49"/>
  <c r="B39" i="36" s="1"/>
  <c r="B9" i="7"/>
  <c r="Q20" i="49"/>
  <c r="M23" i="36" s="1"/>
  <c r="P28" i="49"/>
  <c r="B31" i="7" s="1"/>
  <c r="P92" i="49"/>
  <c r="B95" i="7" s="1"/>
  <c r="P16" i="49"/>
  <c r="B19" i="36" s="1"/>
  <c r="P100" i="49"/>
  <c r="B103" i="36" s="1"/>
  <c r="Q84" i="49"/>
  <c r="M87" i="36" s="1"/>
  <c r="P72" i="49"/>
  <c r="B75" i="36" s="1"/>
  <c r="Q56" i="49"/>
  <c r="M59" i="36" s="1"/>
  <c r="P19" i="49"/>
  <c r="B22" i="36" s="1"/>
  <c r="Q27" i="49"/>
  <c r="M30" i="36" s="1"/>
  <c r="Q11" i="25"/>
  <c r="S11" s="1"/>
  <c r="B90" i="37"/>
  <c r="G20" i="25"/>
  <c r="Q60" i="10"/>
  <c r="M63" i="21" s="1"/>
  <c r="P31" i="10"/>
  <c r="B34" i="21" s="1"/>
  <c r="M102"/>
  <c r="P107" i="10"/>
  <c r="P76"/>
  <c r="B79" i="37" s="1"/>
  <c r="Q75" i="25"/>
  <c r="S75" s="1"/>
  <c r="M27" i="21"/>
  <c r="P75" i="10"/>
  <c r="F78" i="25" s="1"/>
  <c r="B113" i="37"/>
  <c r="P102" i="10"/>
  <c r="B105" i="21" s="1"/>
  <c r="Q105" i="10"/>
  <c r="M108" i="37" s="1"/>
  <c r="D14" i="25"/>
  <c r="C14"/>
  <c r="F14" i="37"/>
  <c r="H11"/>
  <c r="CI15" i="10"/>
  <c r="CK15" s="1"/>
  <c r="CM15" s="1"/>
  <c r="D18" i="25" s="1"/>
  <c r="I11" i="37"/>
  <c r="BC15" i="21"/>
  <c r="BE15" s="1"/>
  <c r="BE18"/>
  <c r="CH10" i="10"/>
  <c r="CU10"/>
  <c r="D11" i="25"/>
  <c r="CH6" i="10"/>
  <c r="CM6" s="1"/>
  <c r="H9" i="21" s="1"/>
  <c r="CH15" i="10"/>
  <c r="I13" i="25"/>
  <c r="K12" i="37"/>
  <c r="K10" i="21"/>
  <c r="K16"/>
  <c r="G12"/>
  <c r="H10" i="25"/>
  <c r="I18" i="37"/>
  <c r="I16"/>
  <c r="I14"/>
  <c r="I10" i="21"/>
  <c r="BE10" s="1"/>
  <c r="CI9" i="10"/>
  <c r="CK9" s="1"/>
  <c r="CI10"/>
  <c r="CK10" s="1"/>
  <c r="CH8"/>
  <c r="CU16"/>
  <c r="CU14"/>
  <c r="L17" i="21" s="1"/>
  <c r="CU9" i="10"/>
  <c r="L12" i="37" s="1"/>
  <c r="BD14" i="21"/>
  <c r="F11" i="37"/>
  <c r="Q7" i="10"/>
  <c r="M10" i="37" s="1"/>
  <c r="CK8" i="10"/>
  <c r="CI13"/>
  <c r="K16" i="37"/>
  <c r="G15" i="21"/>
  <c r="I19" i="37"/>
  <c r="BC13" i="21"/>
  <c r="BD13" s="1"/>
  <c r="BC16"/>
  <c r="BE16" s="1"/>
  <c r="BC12"/>
  <c r="R30" i="40"/>
  <c r="R34"/>
  <c r="S30"/>
  <c r="S34"/>
  <c r="R58"/>
  <c r="S54"/>
  <c r="S58"/>
  <c r="CU13" i="10"/>
  <c r="L16" i="21" s="1"/>
  <c r="M28" i="37"/>
  <c r="Q5" i="10"/>
  <c r="M8" i="21" s="1"/>
  <c r="P58" i="10"/>
  <c r="B61" i="37" s="1"/>
  <c r="B113" i="21"/>
  <c r="B12" i="37"/>
  <c r="Q63" i="10"/>
  <c r="Q77"/>
  <c r="Q32"/>
  <c r="G35" i="25" s="1"/>
  <c r="P61" i="10"/>
  <c r="B64" i="21" s="1"/>
  <c r="M44"/>
  <c r="Q82" i="10"/>
  <c r="M85" i="37" s="1"/>
  <c r="P17" i="10"/>
  <c r="F20" i="25" s="1"/>
  <c r="P15" i="10"/>
  <c r="B18" i="37" s="1"/>
  <c r="Q29" i="10"/>
  <c r="G32" i="25" s="1"/>
  <c r="Q91" i="10"/>
  <c r="S32" i="40"/>
  <c r="R40"/>
  <c r="S40"/>
  <c r="R52"/>
  <c r="S56"/>
  <c r="F18" i="37"/>
  <c r="BE12" i="21"/>
  <c r="BD12"/>
  <c r="H17" i="37"/>
  <c r="F17"/>
  <c r="F17" i="21"/>
  <c r="C17" i="25"/>
  <c r="D17"/>
  <c r="H17" i="21"/>
  <c r="CJ9" i="10"/>
  <c r="CL9" s="1"/>
  <c r="CM9"/>
  <c r="BE19" i="21"/>
  <c r="BD19"/>
  <c r="CM10" i="10"/>
  <c r="F13" i="21" s="1"/>
  <c r="F9"/>
  <c r="CJ7" i="10"/>
  <c r="CL7" s="1"/>
  <c r="CM7"/>
  <c r="H14" i="21"/>
  <c r="CM16" i="10"/>
  <c r="Q13"/>
  <c r="M16" i="21" s="1"/>
  <c r="H14" i="37"/>
  <c r="F14" i="21"/>
  <c r="CJ6" i="10"/>
  <c r="CL6" s="1"/>
  <c r="CK13"/>
  <c r="CM13" s="1"/>
  <c r="CK12"/>
  <c r="G13" i="21"/>
  <c r="H19" i="25"/>
  <c r="H15"/>
  <c r="G19" i="37"/>
  <c r="G13"/>
  <c r="Q8" i="10"/>
  <c r="M11" i="21" s="1"/>
  <c r="CJ13" i="10"/>
  <c r="CL13" s="1"/>
  <c r="J18" i="37"/>
  <c r="CH12" i="10"/>
  <c r="J10" i="21"/>
  <c r="K11" i="37"/>
  <c r="K15"/>
  <c r="K19"/>
  <c r="K11" i="21"/>
  <c r="K15"/>
  <c r="K19"/>
  <c r="I7" i="37"/>
  <c r="P7" s="1"/>
  <c r="AU29" s="1"/>
  <c r="CI14" i="10"/>
  <c r="CJ14" s="1"/>
  <c r="CL14" s="1"/>
  <c r="I7" i="21"/>
  <c r="BC17"/>
  <c r="BE17" s="1"/>
  <c r="BC19"/>
  <c r="AV9" i="7"/>
  <c r="AW9" s="1"/>
  <c r="AQ16"/>
  <c r="AP17"/>
  <c r="AQ11"/>
  <c r="AV8"/>
  <c r="AW8" s="1"/>
  <c r="AX17"/>
  <c r="AW12"/>
  <c r="AT117"/>
  <c r="AF117"/>
  <c r="AN92" i="36"/>
  <c r="AN76"/>
  <c r="AN65"/>
  <c r="AN41"/>
  <c r="AN24"/>
  <c r="AM92"/>
  <c r="AN107"/>
  <c r="AM64"/>
  <c r="AN64" s="1"/>
  <c r="AM103"/>
  <c r="AN103" s="1"/>
  <c r="AN91"/>
  <c r="M41" i="21"/>
  <c r="F99" i="25"/>
  <c r="M8" i="37"/>
  <c r="B12" i="21"/>
  <c r="G51" i="25"/>
  <c r="F51"/>
  <c r="B74" i="21"/>
  <c r="B18"/>
  <c r="M50"/>
  <c r="F79" i="25"/>
  <c r="M110" i="37"/>
  <c r="G102" i="25"/>
  <c r="B105" i="37"/>
  <c r="F102" i="25"/>
  <c r="Q5" i="49"/>
  <c r="B85" i="21"/>
  <c r="F22" i="25"/>
  <c r="G33"/>
  <c r="F85"/>
  <c r="M41" i="37"/>
  <c r="B63"/>
  <c r="B59" i="21"/>
  <c r="B102" i="37"/>
  <c r="H16" i="36"/>
  <c r="H16" i="7"/>
  <c r="F16" i="36"/>
  <c r="F16" i="7"/>
  <c r="F10"/>
  <c r="H10" i="36"/>
  <c r="H10" i="7"/>
  <c r="F10" i="36"/>
  <c r="CM15" i="49"/>
  <c r="AX15" i="7"/>
  <c r="P11" i="49"/>
  <c r="B14" i="36" s="1"/>
  <c r="AX9" i="7"/>
  <c r="AW10"/>
  <c r="AX12"/>
  <c r="AW13"/>
  <c r="AW14"/>
  <c r="F9" i="36"/>
  <c r="CM12" i="49"/>
  <c r="CJ10"/>
  <c r="CL10" s="1"/>
  <c r="CM9"/>
  <c r="CJ7"/>
  <c r="CL7" s="1"/>
  <c r="CM5"/>
  <c r="AN24" i="7"/>
  <c r="AW11"/>
  <c r="H9"/>
  <c r="CJ15" i="49"/>
  <c r="CL15" s="1"/>
  <c r="AX19" i="7"/>
  <c r="K11"/>
  <c r="CU4" i="49"/>
  <c r="AQ31" i="36"/>
  <c r="AN7"/>
  <c r="AN27"/>
  <c r="AM99"/>
  <c r="AN99" s="1"/>
  <c r="AM94"/>
  <c r="AN94" s="1"/>
  <c r="AM87"/>
  <c r="AN87" s="1"/>
  <c r="AM46"/>
  <c r="AN46" s="1"/>
  <c r="AM34"/>
  <c r="AN34" s="1"/>
  <c r="AM82"/>
  <c r="AN82" s="1"/>
  <c r="AM48"/>
  <c r="AN48" s="1"/>
  <c r="AM40"/>
  <c r="AN40" s="1"/>
  <c r="AM69"/>
  <c r="AN69" s="1"/>
  <c r="AM74"/>
  <c r="AN74" s="1"/>
  <c r="AM97"/>
  <c r="AN97" s="1"/>
  <c r="AN79"/>
  <c r="AF117"/>
  <c r="AN67"/>
  <c r="AN111"/>
  <c r="AN81"/>
  <c r="AN57"/>
  <c r="AN116"/>
  <c r="AM115"/>
  <c r="AN115" s="1"/>
  <c r="AM104"/>
  <c r="AN104" s="1"/>
  <c r="AM98"/>
  <c r="AN98" s="1"/>
  <c r="AM83"/>
  <c r="AN83" s="1"/>
  <c r="AM70"/>
  <c r="AN70" s="1"/>
  <c r="AM30"/>
  <c r="AN30" s="1"/>
  <c r="AN22"/>
  <c r="AM18"/>
  <c r="AN14"/>
  <c r="AM10"/>
  <c r="AN10" s="1"/>
  <c r="AM71"/>
  <c r="AN71" s="1"/>
  <c r="AN44"/>
  <c r="M79" i="37"/>
  <c r="G79" i="25"/>
  <c r="M34" i="37"/>
  <c r="M34" i="21"/>
  <c r="F19" i="25"/>
  <c r="B19" i="21"/>
  <c r="B19" i="37"/>
  <c r="M47"/>
  <c r="G47" i="25"/>
  <c r="B10" i="37"/>
  <c r="B10" i="21"/>
  <c r="F10" i="25"/>
  <c r="B87" i="37"/>
  <c r="B87" i="21"/>
  <c r="B54"/>
  <c r="B54" i="37"/>
  <c r="F26" i="25"/>
  <c r="B26" i="37"/>
  <c r="B26" i="21"/>
  <c r="M54" i="37"/>
  <c r="B78" i="21"/>
  <c r="M71"/>
  <c r="M14" i="37"/>
  <c r="Q59" i="25"/>
  <c r="S59" s="1"/>
  <c r="G58"/>
  <c r="M35" i="21"/>
  <c r="G27" i="25"/>
  <c r="G14"/>
  <c r="Q28" i="10"/>
  <c r="M31" i="21" s="1"/>
  <c r="Q16" i="10"/>
  <c r="M19" i="21" s="1"/>
  <c r="P92" i="10"/>
  <c r="F95" i="25" s="1"/>
  <c r="B46" i="37"/>
  <c r="F40" i="25"/>
  <c r="M25" i="21"/>
  <c r="M58" i="37"/>
  <c r="M25"/>
  <c r="Q27" i="25"/>
  <c r="S27" s="1"/>
  <c r="Q91"/>
  <c r="S91" s="1"/>
  <c r="M11" i="37"/>
  <c r="G44" i="25"/>
  <c r="F64"/>
  <c r="P24" i="10"/>
  <c r="P80"/>
  <c r="F83" i="25" s="1"/>
  <c r="Q84" i="10"/>
  <c r="P64"/>
  <c r="G115" i="25"/>
  <c r="M108" i="21"/>
  <c r="B93"/>
  <c r="P44" i="10"/>
  <c r="P11"/>
  <c r="B14" i="37" s="1"/>
  <c r="P30" i="10"/>
  <c r="B33" i="21" s="1"/>
  <c r="Q23" i="10"/>
  <c r="M26" i="21" s="1"/>
  <c r="Q103" i="10"/>
  <c r="G106" i="25" s="1"/>
  <c r="Q43"/>
  <c r="S43" s="1"/>
  <c r="Q107"/>
  <c r="S107" s="1"/>
  <c r="B78" i="37"/>
  <c r="B64"/>
  <c r="P41" i="10"/>
  <c r="B44" i="21" s="1"/>
  <c r="Q72" i="10"/>
  <c r="M75" i="37" s="1"/>
  <c r="Q62" i="10"/>
  <c r="P74"/>
  <c r="Q12"/>
  <c r="M15" i="37" s="1"/>
  <c r="P85" i="10"/>
  <c r="F88" i="25" s="1"/>
  <c r="G21"/>
  <c r="M21" i="21"/>
  <c r="M21" i="37"/>
  <c r="F35" i="25"/>
  <c r="B35" i="21"/>
  <c r="B35" i="37"/>
  <c r="G67" i="25"/>
  <c r="M67" i="21"/>
  <c r="M67" i="37"/>
  <c r="G23" i="25"/>
  <c r="M23" i="37"/>
  <c r="M23" i="21"/>
  <c r="B82" i="37"/>
  <c r="F82" i="25"/>
  <c r="B82" i="21"/>
  <c r="G95" i="25"/>
  <c r="M95" i="21"/>
  <c r="M45"/>
  <c r="G45" i="25"/>
  <c r="B43" i="37"/>
  <c r="B43" i="21"/>
  <c r="F43" i="25"/>
  <c r="G77"/>
  <c r="M77" i="21"/>
  <c r="M77" i="37"/>
  <c r="M61"/>
  <c r="G61" i="25"/>
  <c r="M61" i="21"/>
  <c r="B48" i="37"/>
  <c r="B48" i="21"/>
  <c r="F48" i="25"/>
  <c r="B103" i="37"/>
  <c r="B103" i="21"/>
  <c r="F103" i="25"/>
  <c r="M93" i="21"/>
  <c r="G93" i="25"/>
  <c r="M93" i="37"/>
  <c r="M39"/>
  <c r="G39" i="25"/>
  <c r="M39" i="21"/>
  <c r="G89" i="25"/>
  <c r="M89" i="21"/>
  <c r="M89" i="37"/>
  <c r="F71" i="25"/>
  <c r="B71" i="21"/>
  <c r="B71" i="37"/>
  <c r="G76" i="25"/>
  <c r="M76" i="37"/>
  <c r="M76" i="21"/>
  <c r="M78" i="37"/>
  <c r="G78" i="25"/>
  <c r="M78" i="21"/>
  <c r="B66" i="37"/>
  <c r="F66" i="25"/>
  <c r="B66" i="21"/>
  <c r="B11" i="37"/>
  <c r="F11" i="25"/>
  <c r="G64"/>
  <c r="M64" i="37"/>
  <c r="M64" i="21"/>
  <c r="M30" i="37"/>
  <c r="M30" i="21"/>
  <c r="G30" i="25"/>
  <c r="F112"/>
  <c r="B112" i="21"/>
  <c r="B109" i="37"/>
  <c r="F109" i="25"/>
  <c r="B109" i="21"/>
  <c r="G34" i="25"/>
  <c r="F77"/>
  <c r="F13"/>
  <c r="B75" i="21"/>
  <c r="B63"/>
  <c r="M47"/>
  <c r="Q23" i="25"/>
  <c r="S23" s="1"/>
  <c r="Q39"/>
  <c r="S39" s="1"/>
  <c r="Q55"/>
  <c r="S55" s="1"/>
  <c r="Q71"/>
  <c r="S71" s="1"/>
  <c r="Q87"/>
  <c r="S87" s="1"/>
  <c r="Q103"/>
  <c r="S103" s="1"/>
  <c r="B59" i="37"/>
  <c r="M16"/>
  <c r="M35"/>
  <c r="P25" i="10"/>
  <c r="P46"/>
  <c r="B49" i="37" s="1"/>
  <c r="G110" i="25"/>
  <c r="P42" i="10"/>
  <c r="Q26"/>
  <c r="Q45"/>
  <c r="M48" i="37" s="1"/>
  <c r="Q108" i="10"/>
  <c r="G111" i="25" s="1"/>
  <c r="P94" i="10"/>
  <c r="F97" i="25" s="1"/>
  <c r="M51" i="21"/>
  <c r="M49"/>
  <c r="M79"/>
  <c r="M86" i="37"/>
  <c r="B90" i="21"/>
  <c r="B79"/>
  <c r="B51"/>
  <c r="G11" i="25"/>
  <c r="B73" i="21"/>
  <c r="F18" i="25"/>
  <c r="M66" i="37"/>
  <c r="Q15" i="25"/>
  <c r="S15" s="1"/>
  <c r="Q31"/>
  <c r="S31" s="1"/>
  <c r="Q47"/>
  <c r="S47" s="1"/>
  <c r="Q63"/>
  <c r="S63" s="1"/>
  <c r="Q79"/>
  <c r="S79" s="1"/>
  <c r="Q95"/>
  <c r="S95" s="1"/>
  <c r="Q111"/>
  <c r="S111" s="1"/>
  <c r="B13" i="37"/>
  <c r="M90"/>
  <c r="G49" i="25"/>
  <c r="F87"/>
  <c r="B75" i="37"/>
  <c r="Q59" i="10"/>
  <c r="Q54"/>
  <c r="M57" i="37" s="1"/>
  <c r="Q79" i="10"/>
  <c r="M82" i="37" s="1"/>
  <c r="P14" i="10"/>
  <c r="B17" i="37" s="1"/>
  <c r="P27" i="10"/>
  <c r="F30" i="25" s="1"/>
  <c r="P86" i="10"/>
  <c r="F89" i="25" s="1"/>
  <c r="P20" i="10"/>
  <c r="Q40"/>
  <c r="M43" i="37" s="1"/>
  <c r="P73" i="10"/>
  <c r="B76" i="21" s="1"/>
  <c r="G113" i="25"/>
  <c r="B110" i="21"/>
  <c r="G108" i="25"/>
  <c r="F93"/>
  <c r="P93" i="10"/>
  <c r="S27" i="40"/>
  <c r="R43"/>
  <c r="M28" i="21"/>
  <c r="M65"/>
  <c r="N15" i="40"/>
  <c r="F69" i="25"/>
  <c r="F54"/>
  <c r="M54" i="21"/>
  <c r="M71" i="37"/>
  <c r="Q19" i="25"/>
  <c r="S19" s="1"/>
  <c r="Q35"/>
  <c r="S35" s="1"/>
  <c r="Q51"/>
  <c r="S51" s="1"/>
  <c r="Q67"/>
  <c r="S67" s="1"/>
  <c r="Q83"/>
  <c r="S83" s="1"/>
  <c r="Q99"/>
  <c r="S99" s="1"/>
  <c r="F73"/>
  <c r="M80" i="21"/>
  <c r="M86"/>
  <c r="G90" i="25"/>
  <c r="P78" i="10"/>
  <c r="Q66"/>
  <c r="M69" i="21" s="1"/>
  <c r="Q65" i="10"/>
  <c r="M68" i="21" s="1"/>
  <c r="Q10" i="10"/>
  <c r="G13" i="25" s="1"/>
  <c r="P18" i="10"/>
  <c r="B21" i="37" s="1"/>
  <c r="Q52" i="10"/>
  <c r="P36"/>
  <c r="F39" i="25" s="1"/>
  <c r="P83" i="10"/>
  <c r="F86" i="25" s="1"/>
  <c r="M113" i="21"/>
  <c r="M107" i="37"/>
  <c r="Q116" i="25"/>
  <c r="S116" s="1"/>
  <c r="Q114"/>
  <c r="S114" s="1"/>
  <c r="Q112"/>
  <c r="S112" s="1"/>
  <c r="Q110"/>
  <c r="S110" s="1"/>
  <c r="Q108"/>
  <c r="S108" s="1"/>
  <c r="Q106"/>
  <c r="S106" s="1"/>
  <c r="Q104"/>
  <c r="S104" s="1"/>
  <c r="Q102"/>
  <c r="S102" s="1"/>
  <c r="Q100"/>
  <c r="S100" s="1"/>
  <c r="Q98"/>
  <c r="S98" s="1"/>
  <c r="Q96"/>
  <c r="S96" s="1"/>
  <c r="Q94"/>
  <c r="S94" s="1"/>
  <c r="Q92"/>
  <c r="S92" s="1"/>
  <c r="Q90"/>
  <c r="S90" s="1"/>
  <c r="Q88"/>
  <c r="S88" s="1"/>
  <c r="Q86"/>
  <c r="S86" s="1"/>
  <c r="Q84"/>
  <c r="S84" s="1"/>
  <c r="Q82"/>
  <c r="S82" s="1"/>
  <c r="Q80"/>
  <c r="S80" s="1"/>
  <c r="Q78"/>
  <c r="S78" s="1"/>
  <c r="Q76"/>
  <c r="S76" s="1"/>
  <c r="Q74"/>
  <c r="S74" s="1"/>
  <c r="Q72"/>
  <c r="S72" s="1"/>
  <c r="Q70"/>
  <c r="S70" s="1"/>
  <c r="Q68"/>
  <c r="S68" s="1"/>
  <c r="Q66"/>
  <c r="S66" s="1"/>
  <c r="Q64"/>
  <c r="S64" s="1"/>
  <c r="Q62"/>
  <c r="S62" s="1"/>
  <c r="Q60"/>
  <c r="S60" s="1"/>
  <c r="Q58"/>
  <c r="S58" s="1"/>
  <c r="Q56"/>
  <c r="S56" s="1"/>
  <c r="Q54"/>
  <c r="S54" s="1"/>
  <c r="Q52"/>
  <c r="S52" s="1"/>
  <c r="Q50"/>
  <c r="S50" s="1"/>
  <c r="Q48"/>
  <c r="S48" s="1"/>
  <c r="Q46"/>
  <c r="S46" s="1"/>
  <c r="Q44"/>
  <c r="S44" s="1"/>
  <c r="Q42"/>
  <c r="S42" s="1"/>
  <c r="Q40"/>
  <c r="S40" s="1"/>
  <c r="Q38"/>
  <c r="S38" s="1"/>
  <c r="Q36"/>
  <c r="S36" s="1"/>
  <c r="Q34"/>
  <c r="S34" s="1"/>
  <c r="Q32"/>
  <c r="S32" s="1"/>
  <c r="Q30"/>
  <c r="S30" s="1"/>
  <c r="Q28"/>
  <c r="S28" s="1"/>
  <c r="Q26"/>
  <c r="S26" s="1"/>
  <c r="Q24"/>
  <c r="S24" s="1"/>
  <c r="Q22"/>
  <c r="S22" s="1"/>
  <c r="Q20"/>
  <c r="S20" s="1"/>
  <c r="Q18"/>
  <c r="S18" s="1"/>
  <c r="Q16"/>
  <c r="S16" s="1"/>
  <c r="Q14"/>
  <c r="S14" s="1"/>
  <c r="Q12"/>
  <c r="S12" s="1"/>
  <c r="Q10"/>
  <c r="S10" s="1"/>
  <c r="M13" i="37"/>
  <c r="B29"/>
  <c r="B29" i="21"/>
  <c r="B57" i="37"/>
  <c r="B57" i="21"/>
  <c r="P33" i="10"/>
  <c r="Q33"/>
  <c r="B65" i="37"/>
  <c r="F65" i="25"/>
  <c r="B65" i="21"/>
  <c r="M52"/>
  <c r="G52" i="25"/>
  <c r="M114" i="21"/>
  <c r="M114" i="37"/>
  <c r="F94" i="25"/>
  <c r="B94" i="37"/>
  <c r="P4" i="10"/>
  <c r="P5" s="1"/>
  <c r="B8" i="21" s="1"/>
  <c r="C5" i="27"/>
  <c r="B5" i="41"/>
  <c r="F1" i="37"/>
  <c r="G63" i="25"/>
  <c r="M63" i="37"/>
  <c r="F44" i="25"/>
  <c r="F50"/>
  <c r="B50" i="21"/>
  <c r="B60" i="37"/>
  <c r="B60" i="21"/>
  <c r="M22"/>
  <c r="G22" i="25"/>
  <c r="M88" i="37"/>
  <c r="G88" i="25"/>
  <c r="M73" i="37"/>
  <c r="M73" i="21"/>
  <c r="P53" i="10"/>
  <c r="Q53"/>
  <c r="F31" i="25"/>
  <c r="B31" i="21"/>
  <c r="Q21" i="10"/>
  <c r="P21"/>
  <c r="Q88"/>
  <c r="P88"/>
  <c r="M53" i="37"/>
  <c r="G53" i="25"/>
  <c r="Q39" i="10"/>
  <c r="P39"/>
  <c r="B111" i="37"/>
  <c r="B111" i="21"/>
  <c r="M97" i="37"/>
  <c r="G97" i="25"/>
  <c r="G18"/>
  <c r="M18" i="37"/>
  <c r="M75" i="21"/>
  <c r="B38"/>
  <c r="B38" i="37"/>
  <c r="B33"/>
  <c r="F58" i="25"/>
  <c r="B58" i="37"/>
  <c r="M40" i="21"/>
  <c r="M40" i="37"/>
  <c r="B84"/>
  <c r="B84" i="21"/>
  <c r="F32" i="25"/>
  <c r="B32" i="21"/>
  <c r="B80"/>
  <c r="B80" i="37"/>
  <c r="F72" i="25"/>
  <c r="B72" i="21"/>
  <c r="M83" i="37"/>
  <c r="G83" i="25"/>
  <c r="F15"/>
  <c r="B15" i="21"/>
  <c r="G103" i="25"/>
  <c r="M103" i="37"/>
  <c r="M109" i="21"/>
  <c r="G109" i="25"/>
  <c r="F115"/>
  <c r="B115" i="21"/>
  <c r="B107" i="37"/>
  <c r="B107" i="21"/>
  <c r="P101" i="10"/>
  <c r="Q101"/>
  <c r="P98"/>
  <c r="Q98"/>
  <c r="Q8" i="25"/>
  <c r="S8" s="1"/>
  <c r="M81" i="37"/>
  <c r="M52"/>
  <c r="B62" i="21"/>
  <c r="M45" i="37"/>
  <c r="B50"/>
  <c r="B20"/>
  <c r="Q9" i="25"/>
  <c r="S9" s="1"/>
  <c r="Q13"/>
  <c r="S13" s="1"/>
  <c r="Q17"/>
  <c r="S17" s="1"/>
  <c r="Q21"/>
  <c r="S21" s="1"/>
  <c r="Q25"/>
  <c r="S25" s="1"/>
  <c r="Q29"/>
  <c r="S29" s="1"/>
  <c r="Q33"/>
  <c r="S33" s="1"/>
  <c r="Q37"/>
  <c r="S37" s="1"/>
  <c r="Q41"/>
  <c r="S41" s="1"/>
  <c r="Q45"/>
  <c r="S45" s="1"/>
  <c r="Q49"/>
  <c r="S49" s="1"/>
  <c r="Q53"/>
  <c r="S53" s="1"/>
  <c r="Q57"/>
  <c r="S57" s="1"/>
  <c r="Q61"/>
  <c r="S61" s="1"/>
  <c r="Q65"/>
  <c r="S65" s="1"/>
  <c r="Q69"/>
  <c r="S69" s="1"/>
  <c r="Q73"/>
  <c r="S73" s="1"/>
  <c r="Q77"/>
  <c r="S77" s="1"/>
  <c r="Q81"/>
  <c r="S81" s="1"/>
  <c r="Q85"/>
  <c r="S85" s="1"/>
  <c r="Q89"/>
  <c r="S89" s="1"/>
  <c r="Q93"/>
  <c r="S93" s="1"/>
  <c r="Q97"/>
  <c r="S97" s="1"/>
  <c r="Q101"/>
  <c r="S101" s="1"/>
  <c r="Q105"/>
  <c r="S105" s="1"/>
  <c r="Q109"/>
  <c r="S109" s="1"/>
  <c r="Q113"/>
  <c r="S113" s="1"/>
  <c r="Q7"/>
  <c r="S7" s="1"/>
  <c r="C69" i="40"/>
  <c r="G85" i="25"/>
  <c r="F57"/>
  <c r="B22" i="21"/>
  <c r="M60"/>
  <c r="M12"/>
  <c r="M81"/>
  <c r="B62" i="37"/>
  <c r="P49" i="10"/>
  <c r="P34"/>
  <c r="P111"/>
  <c r="M7" i="21"/>
  <c r="G7" i="25"/>
  <c r="M37" i="21"/>
  <c r="G37" i="25"/>
  <c r="P113" i="10"/>
  <c r="Q113"/>
  <c r="F106" i="25"/>
  <c r="B106" i="21"/>
  <c r="B106" i="37"/>
  <c r="G72" i="25"/>
  <c r="M72" i="21"/>
  <c r="G100" i="25"/>
  <c r="M100" i="37"/>
  <c r="M92" i="21"/>
  <c r="G92" i="25"/>
  <c r="M92" i="37"/>
  <c r="F25" i="25"/>
  <c r="B25" i="37"/>
  <c r="F41" i="25"/>
  <c r="B41" i="37"/>
  <c r="G70" i="25"/>
  <c r="M70" i="37"/>
  <c r="M70" i="21"/>
  <c r="M17" i="37"/>
  <c r="M17" i="21"/>
  <c r="B68" i="37"/>
  <c r="B68" i="21"/>
  <c r="B55" i="37"/>
  <c r="F55" i="25"/>
  <c r="B55" i="21"/>
  <c r="B9"/>
  <c r="F9" i="25"/>
  <c r="M84" i="37"/>
  <c r="M84" i="21"/>
  <c r="G59" i="25"/>
  <c r="M59" i="37"/>
  <c r="M59" i="21"/>
  <c r="B16" i="37"/>
  <c r="B16" i="21"/>
  <c r="M112" i="37"/>
  <c r="G112" i="25"/>
  <c r="M105" i="21"/>
  <c r="G105" i="25"/>
  <c r="F108"/>
  <c r="B108" i="37"/>
  <c r="G98" i="25"/>
  <c r="M98" i="21"/>
  <c r="M98" i="37"/>
  <c r="G96" i="25"/>
  <c r="M96" i="37"/>
  <c r="M96" i="21"/>
  <c r="B11"/>
  <c r="F46" i="25"/>
  <c r="M22" i="37"/>
  <c r="F29" i="25"/>
  <c r="B20" i="21"/>
  <c r="B5" i="40"/>
  <c r="F1" i="21"/>
  <c r="F60" i="25"/>
  <c r="M85" i="21"/>
  <c r="M33" i="37"/>
  <c r="B31"/>
  <c r="M50"/>
  <c r="M37"/>
  <c r="M20"/>
  <c r="B99" i="21"/>
  <c r="B94"/>
  <c r="F111" i="25"/>
  <c r="G114"/>
  <c r="Q96" i="10"/>
  <c r="Q43"/>
  <c r="M95" i="37"/>
  <c r="Q71" i="10"/>
  <c r="P67"/>
  <c r="Q6"/>
  <c r="P50"/>
  <c r="B112" i="37"/>
  <c r="M94"/>
  <c r="M115"/>
  <c r="M107" i="21"/>
  <c r="P97" i="10"/>
  <c r="P95"/>
  <c r="P89"/>
  <c r="B67" i="36"/>
  <c r="B67" i="7"/>
  <c r="Q60" i="49"/>
  <c r="M63" i="36" s="1"/>
  <c r="B31"/>
  <c r="B75" i="7"/>
  <c r="P96" i="49"/>
  <c r="P32"/>
  <c r="Q25"/>
  <c r="M28" i="36" s="1"/>
  <c r="P31" i="49"/>
  <c r="B34" i="7" s="1"/>
  <c r="M7" i="36"/>
  <c r="P104" i="49"/>
  <c r="Q88"/>
  <c r="M91" i="7" s="1"/>
  <c r="P68" i="49"/>
  <c r="B71" i="36" s="1"/>
  <c r="Q52" i="49"/>
  <c r="M55" i="36" s="1"/>
  <c r="P40" i="49"/>
  <c r="B23" i="7"/>
  <c r="B23" i="36"/>
  <c r="B15"/>
  <c r="B15" i="7"/>
  <c r="B12"/>
  <c r="B12" i="36"/>
  <c r="B47" i="7"/>
  <c r="B47" i="36"/>
  <c r="B51" i="7"/>
  <c r="B51" i="36"/>
  <c r="B59" i="7"/>
  <c r="B59" i="36"/>
  <c r="B79" i="7"/>
  <c r="B79" i="36"/>
  <c r="B83"/>
  <c r="B83" i="7"/>
  <c r="B91"/>
  <c r="B91" i="36"/>
  <c r="B111" i="7"/>
  <c r="B111" i="36"/>
  <c r="B115"/>
  <c r="B115" i="7"/>
  <c r="M23"/>
  <c r="P105" i="49"/>
  <c r="Q101"/>
  <c r="P41"/>
  <c r="Q9"/>
  <c r="M12" i="36" s="1"/>
  <c r="Q12" i="49"/>
  <c r="B16" i="36"/>
  <c r="B63"/>
  <c r="Q112" i="49"/>
  <c r="M115" i="36" s="1"/>
  <c r="Q108" i="49"/>
  <c r="M111" i="7" s="1"/>
  <c r="P97" i="49"/>
  <c r="Q93"/>
  <c r="M96" i="36" s="1"/>
  <c r="Q80" i="49"/>
  <c r="M83" i="36" s="1"/>
  <c r="Q76" i="49"/>
  <c r="M79" i="36" s="1"/>
  <c r="P65" i="49"/>
  <c r="Q61"/>
  <c r="M64" i="36" s="1"/>
  <c r="Q48" i="49"/>
  <c r="M51" i="7" s="1"/>
  <c r="Q44" i="49"/>
  <c r="M47" i="36" s="1"/>
  <c r="P33" i="49"/>
  <c r="P23"/>
  <c r="B26" i="7" s="1"/>
  <c r="P73" i="49"/>
  <c r="Q69"/>
  <c r="Q37"/>
  <c r="B52" i="36"/>
  <c r="B84"/>
  <c r="B116" i="7"/>
  <c r="P89" i="49"/>
  <c r="Q85"/>
  <c r="P57"/>
  <c r="Q53"/>
  <c r="AN28" i="7"/>
  <c r="AN22"/>
  <c r="AN30"/>
  <c r="AV7"/>
  <c r="J7"/>
  <c r="I8" i="25"/>
  <c r="G8"/>
  <c r="D8"/>
  <c r="O5" i="21"/>
  <c r="Q5"/>
  <c r="AP29"/>
  <c r="AG117" i="37"/>
  <c r="BE8" i="21"/>
  <c r="BC8"/>
  <c r="BD8" s="1"/>
  <c r="AP40"/>
  <c r="AP23"/>
  <c r="I8" i="37"/>
  <c r="J8" i="21"/>
  <c r="E41" i="41"/>
  <c r="L26"/>
  <c r="H8" i="21"/>
  <c r="H8" i="37"/>
  <c r="F8"/>
  <c r="AF117"/>
  <c r="U7"/>
  <c r="BA8" s="1"/>
  <c r="BB8" s="1"/>
  <c r="AP31" i="21"/>
  <c r="AP10"/>
  <c r="AP38"/>
  <c r="AP9"/>
  <c r="S17" i="40"/>
  <c r="S19"/>
  <c r="S21"/>
  <c r="R29"/>
  <c r="R33"/>
  <c r="S29"/>
  <c r="S43"/>
  <c r="R51"/>
  <c r="R55"/>
  <c r="R57"/>
  <c r="S55"/>
  <c r="AP16" i="21"/>
  <c r="AP11"/>
  <c r="AP13"/>
  <c r="AP39"/>
  <c r="R15" i="40"/>
  <c r="R16"/>
  <c r="AP8" i="21"/>
  <c r="AP15"/>
  <c r="AP17"/>
  <c r="AP19"/>
  <c r="AP14"/>
  <c r="AP41"/>
  <c r="AP33"/>
  <c r="AP12"/>
  <c r="AP21"/>
  <c r="AP26"/>
  <c r="AP34"/>
  <c r="BA7" i="37"/>
  <c r="BB7" s="1"/>
  <c r="J52" i="41"/>
  <c r="AP18" i="21"/>
  <c r="AP22"/>
  <c r="AP35"/>
  <c r="AP32"/>
  <c r="BC7"/>
  <c r="BD7" s="1"/>
  <c r="AP37"/>
  <c r="AP28"/>
  <c r="AP20"/>
  <c r="AP27"/>
  <c r="AP36"/>
  <c r="AP30"/>
  <c r="J48" i="41"/>
  <c r="N27" i="40"/>
  <c r="J7" i="21"/>
  <c r="S42" i="40"/>
  <c r="S45"/>
  <c r="S41"/>
  <c r="J41" i="41"/>
  <c r="R54" i="40"/>
  <c r="C16" i="41"/>
  <c r="R22" i="40"/>
  <c r="R17"/>
  <c r="R31"/>
  <c r="R19"/>
  <c r="S39"/>
  <c r="E32" i="41"/>
  <c r="R20" i="40"/>
  <c r="R18"/>
  <c r="L53" i="41"/>
  <c r="F7" i="21"/>
  <c r="C7" i="25"/>
  <c r="H7" i="21"/>
  <c r="D7" i="25"/>
  <c r="F7" i="37"/>
  <c r="H7"/>
  <c r="CJ4" i="10"/>
  <c r="CL4" s="1"/>
  <c r="O27" i="40"/>
  <c r="S31"/>
  <c r="S53"/>
  <c r="R45"/>
  <c r="O39"/>
  <c r="R46"/>
  <c r="S18"/>
  <c r="R32"/>
  <c r="R21"/>
  <c r="L17" i="41"/>
  <c r="L21"/>
  <c r="L28"/>
  <c r="L31"/>
  <c r="E28"/>
  <c r="E38"/>
  <c r="L38"/>
  <c r="S33" i="40"/>
  <c r="S51"/>
  <c r="J19" i="41"/>
  <c r="N51" i="40"/>
  <c r="N39"/>
  <c r="J15" i="41"/>
  <c r="R41" i="40"/>
  <c r="S16"/>
  <c r="J29" i="41"/>
  <c r="C33"/>
  <c r="J51"/>
  <c r="C20"/>
  <c r="S52" i="40"/>
  <c r="S46"/>
  <c r="R28"/>
  <c r="S22"/>
  <c r="E15" i="41"/>
  <c r="C21"/>
  <c r="C18"/>
  <c r="C17"/>
  <c r="J33"/>
  <c r="S57" i="40"/>
  <c r="R53"/>
  <c r="C52" i="41"/>
  <c r="C48"/>
  <c r="R39" i="40"/>
  <c r="R27"/>
  <c r="S15"/>
  <c r="R44"/>
  <c r="R56"/>
  <c r="S44"/>
  <c r="S28"/>
  <c r="R42"/>
  <c r="C55" i="41"/>
  <c r="C29"/>
  <c r="S20" i="40"/>
  <c r="J55" i="41"/>
  <c r="E49"/>
  <c r="AN27" i="7"/>
  <c r="AN23"/>
  <c r="AN31"/>
  <c r="AN19"/>
  <c r="AN21"/>
  <c r="AN32"/>
  <c r="AN29"/>
  <c r="AN20"/>
  <c r="AW7"/>
  <c r="CJ4" i="49"/>
  <c r="CL4" s="1"/>
  <c r="CK4"/>
  <c r="CM4"/>
  <c r="M31" i="36"/>
  <c r="M31" i="7"/>
  <c r="B27"/>
  <c r="B27" i="36"/>
  <c r="M13"/>
  <c r="M13" i="7"/>
  <c r="B40"/>
  <c r="B40" i="36"/>
  <c r="B48" i="7"/>
  <c r="B48" i="36"/>
  <c r="B56" i="7"/>
  <c r="B56" i="36"/>
  <c r="B64"/>
  <c r="B64" i="7"/>
  <c r="B72"/>
  <c r="B72" i="36"/>
  <c r="B80"/>
  <c r="B80" i="7"/>
  <c r="B88"/>
  <c r="B88" i="36"/>
  <c r="B96"/>
  <c r="B96" i="7"/>
  <c r="B104"/>
  <c r="B104" i="36"/>
  <c r="M108"/>
  <c r="M108" i="7"/>
  <c r="M116"/>
  <c r="M116" i="36"/>
  <c r="M17"/>
  <c r="M17" i="7"/>
  <c r="M9" i="36"/>
  <c r="M9" i="7"/>
  <c r="M36"/>
  <c r="M36" i="36"/>
  <c r="M44"/>
  <c r="M44" i="7"/>
  <c r="M52"/>
  <c r="M52" i="36"/>
  <c r="M60"/>
  <c r="M60" i="7"/>
  <c r="M68" i="36"/>
  <c r="M68" i="7"/>
  <c r="M76"/>
  <c r="M76" i="36"/>
  <c r="M84" i="7"/>
  <c r="M84" i="36"/>
  <c r="M92" i="7"/>
  <c r="M92" i="36"/>
  <c r="M100" i="7"/>
  <c r="M100" i="36"/>
  <c r="B112"/>
  <c r="B112" i="7"/>
  <c r="B55"/>
  <c r="B103"/>
  <c r="P15" i="49"/>
  <c r="B18" i="7" s="1"/>
  <c r="P10" i="49"/>
  <c r="P14"/>
  <c r="M27" i="7"/>
  <c r="B39"/>
  <c r="B87"/>
  <c r="Q21" i="49"/>
  <c r="M24" i="36" s="1"/>
  <c r="Q29" i="49"/>
  <c r="M32" i="7" s="1"/>
  <c r="M33"/>
  <c r="M25"/>
  <c r="M22"/>
  <c r="M48"/>
  <c r="M80"/>
  <c r="M112"/>
  <c r="P106" i="49"/>
  <c r="B109" i="7" s="1"/>
  <c r="P98" i="49"/>
  <c r="B101" i="7" s="1"/>
  <c r="P90" i="49"/>
  <c r="B93" i="36" s="1"/>
  <c r="P82" i="49"/>
  <c r="B85" i="7" s="1"/>
  <c r="P74" i="49"/>
  <c r="B77" i="7" s="1"/>
  <c r="P66" i="49"/>
  <c r="B69" i="7" s="1"/>
  <c r="P58" i="49"/>
  <c r="B61" i="36" s="1"/>
  <c r="P50" i="49"/>
  <c r="B53" i="36" s="1"/>
  <c r="P42" i="49"/>
  <c r="B45" i="7" s="1"/>
  <c r="P34" i="49"/>
  <c r="B37" i="7" s="1"/>
  <c r="P7" i="49"/>
  <c r="B10" i="7" s="1"/>
  <c r="B33" i="36"/>
  <c r="B33" i="7"/>
  <c r="B32"/>
  <c r="B32" i="36"/>
  <c r="B25"/>
  <c r="B25" i="7"/>
  <c r="B24"/>
  <c r="B24" i="36"/>
  <c r="M19"/>
  <c r="M19" i="7"/>
  <c r="M18" i="36"/>
  <c r="M18" i="7"/>
  <c r="M10" i="36"/>
  <c r="M10" i="7"/>
  <c r="M37" i="36"/>
  <c r="M37" i="7"/>
  <c r="M41" i="36"/>
  <c r="M41" i="7"/>
  <c r="M45" i="36"/>
  <c r="M45" i="7"/>
  <c r="M49" i="36"/>
  <c r="M49" i="7"/>
  <c r="M53" i="36"/>
  <c r="M53" i="7"/>
  <c r="M57" i="36"/>
  <c r="M57" i="7"/>
  <c r="M61" i="36"/>
  <c r="M61" i="7"/>
  <c r="M65" i="36"/>
  <c r="M65" i="7"/>
  <c r="M69" i="36"/>
  <c r="M69" i="7"/>
  <c r="M73" i="36"/>
  <c r="M73" i="7"/>
  <c r="M77" i="36"/>
  <c r="M77" i="7"/>
  <c r="M81" i="36"/>
  <c r="M81" i="7"/>
  <c r="M85" i="36"/>
  <c r="M85" i="7"/>
  <c r="M89" i="36"/>
  <c r="M89" i="7"/>
  <c r="M93" i="36"/>
  <c r="M93" i="7"/>
  <c r="M97" i="36"/>
  <c r="M97" i="7"/>
  <c r="M101" i="36"/>
  <c r="M101" i="7"/>
  <c r="M105" i="36"/>
  <c r="M105" i="7"/>
  <c r="M109" i="36"/>
  <c r="M109" i="7"/>
  <c r="M113" i="36"/>
  <c r="M113" i="7"/>
  <c r="M34" i="36"/>
  <c r="M34" i="7"/>
  <c r="B29" i="36"/>
  <c r="B29" i="7"/>
  <c r="B28"/>
  <c r="B28" i="36"/>
  <c r="M26"/>
  <c r="M26" i="7"/>
  <c r="B21" i="36"/>
  <c r="B21" i="7"/>
  <c r="B20"/>
  <c r="B20" i="36"/>
  <c r="M14"/>
  <c r="M14" i="7"/>
  <c r="M11" i="36"/>
  <c r="M11" i="7"/>
  <c r="B38" i="36"/>
  <c r="B38" i="7"/>
  <c r="B42" i="36"/>
  <c r="B42" i="7"/>
  <c r="B46" i="36"/>
  <c r="B46" i="7"/>
  <c r="B50" i="36"/>
  <c r="B50" i="7"/>
  <c r="B54" i="36"/>
  <c r="B54" i="7"/>
  <c r="B58" i="36"/>
  <c r="B58" i="7"/>
  <c r="B62" i="36"/>
  <c r="B62" i="7"/>
  <c r="B66" i="36"/>
  <c r="B66" i="7"/>
  <c r="B70" i="36"/>
  <c r="B70" i="7"/>
  <c r="B74" i="36"/>
  <c r="B74" i="7"/>
  <c r="B78" i="36"/>
  <c r="B78" i="7"/>
  <c r="B82" i="36"/>
  <c r="B82" i="7"/>
  <c r="B86" i="36"/>
  <c r="B86" i="7"/>
  <c r="B90" i="36"/>
  <c r="B90" i="7"/>
  <c r="B94" i="36"/>
  <c r="B94" i="7"/>
  <c r="B98" i="36"/>
  <c r="B98" i="7"/>
  <c r="B102" i="36"/>
  <c r="B102" i="7"/>
  <c r="B106" i="36"/>
  <c r="B106" i="7"/>
  <c r="B110" i="36"/>
  <c r="B110" i="7"/>
  <c r="B114" i="36"/>
  <c r="B114" i="7"/>
  <c r="B22"/>
  <c r="M16"/>
  <c r="B57"/>
  <c r="M59"/>
  <c r="B61"/>
  <c r="B65"/>
  <c r="M75"/>
  <c r="B89"/>
  <c r="M95"/>
  <c r="B97"/>
  <c r="M99"/>
  <c r="Q107" i="49"/>
  <c r="M107" i="36"/>
  <c r="Q103" i="49"/>
  <c r="M103" i="36"/>
  <c r="Q99" i="49"/>
  <c r="Q87"/>
  <c r="Q59"/>
  <c r="Q55"/>
  <c r="Q47"/>
  <c r="M35" i="36"/>
  <c r="P8" i="49"/>
  <c r="B8" i="7"/>
  <c r="B30" i="36"/>
  <c r="B41"/>
  <c r="B49"/>
  <c r="B73"/>
  <c r="B81"/>
  <c r="B105"/>
  <c r="B113"/>
  <c r="M20" i="7"/>
  <c r="M39"/>
  <c r="M43"/>
  <c r="M71"/>
  <c r="Q111" i="49"/>
  <c r="Q95"/>
  <c r="Q91"/>
  <c r="Q83"/>
  <c r="Q79"/>
  <c r="Q75"/>
  <c r="Q71"/>
  <c r="Q67"/>
  <c r="Q63"/>
  <c r="Q51"/>
  <c r="Q43"/>
  <c r="Q39"/>
  <c r="Q35"/>
  <c r="Q18"/>
  <c r="Q26"/>
  <c r="L116" i="36"/>
  <c r="N113" i="49"/>
  <c r="L115" i="36"/>
  <c r="N112" i="49"/>
  <c r="L114" i="36"/>
  <c r="N111" i="49"/>
  <c r="L113" i="36"/>
  <c r="N110" i="49"/>
  <c r="L112" i="36"/>
  <c r="N109" i="49"/>
  <c r="L111" i="36"/>
  <c r="N108" i="49"/>
  <c r="L110" i="36"/>
  <c r="N107" i="49"/>
  <c r="L109" i="36"/>
  <c r="N106" i="49"/>
  <c r="L108" i="36"/>
  <c r="N105" i="49"/>
  <c r="L107" i="36"/>
  <c r="N104" i="49"/>
  <c r="L106" i="36"/>
  <c r="N103" i="49"/>
  <c r="L105" i="36"/>
  <c r="N102" i="49"/>
  <c r="L104" i="36"/>
  <c r="N101" i="49"/>
  <c r="L103" i="36"/>
  <c r="N100" i="49"/>
  <c r="L102" i="36"/>
  <c r="N99" i="49"/>
  <c r="L101" i="36"/>
  <c r="N98" i="49"/>
  <c r="L100" i="36"/>
  <c r="N97" i="49"/>
  <c r="L99" i="36"/>
  <c r="N96" i="49"/>
  <c r="L98" i="36"/>
  <c r="N95" i="49"/>
  <c r="L97" i="36"/>
  <c r="N94" i="49"/>
  <c r="L96" i="36"/>
  <c r="N93" i="49"/>
  <c r="L95" i="36"/>
  <c r="N92" i="49"/>
  <c r="L94" i="36"/>
  <c r="N91" i="49"/>
  <c r="L93" i="36"/>
  <c r="N90" i="49"/>
  <c r="L92" i="36"/>
  <c r="N89" i="49"/>
  <c r="L91" i="36"/>
  <c r="N88" i="49"/>
  <c r="L90" i="36"/>
  <c r="N87" i="49"/>
  <c r="L89" i="36"/>
  <c r="N86" i="49"/>
  <c r="L88" i="36"/>
  <c r="N85" i="49"/>
  <c r="L87" i="36"/>
  <c r="N84" i="49"/>
  <c r="L86" i="36"/>
  <c r="N83" i="49"/>
  <c r="L85" i="36"/>
  <c r="N82" i="49"/>
  <c r="L84" i="36"/>
  <c r="N81" i="49"/>
  <c r="L83" i="36"/>
  <c r="N80" i="49"/>
  <c r="L82" i="36"/>
  <c r="N79" i="49"/>
  <c r="L81" i="36"/>
  <c r="N78" i="49"/>
  <c r="L80" i="36"/>
  <c r="N77" i="49"/>
  <c r="L79" i="36"/>
  <c r="N76" i="49"/>
  <c r="L78" i="36"/>
  <c r="N75" i="49"/>
  <c r="L77" i="36"/>
  <c r="N74" i="49"/>
  <c r="L76" i="36"/>
  <c r="N73" i="49"/>
  <c r="L75" i="36"/>
  <c r="N72" i="49"/>
  <c r="L74" i="36"/>
  <c r="N71" i="49"/>
  <c r="L73" i="36"/>
  <c r="N70" i="49"/>
  <c r="L72" i="36"/>
  <c r="N69" i="49"/>
  <c r="L71" i="36"/>
  <c r="N68" i="49"/>
  <c r="L70" i="36"/>
  <c r="N67" i="49"/>
  <c r="L69" i="36"/>
  <c r="N66" i="49"/>
  <c r="L68" i="36"/>
  <c r="N65" i="49"/>
  <c r="L67" i="36"/>
  <c r="N64" i="49"/>
  <c r="L66" i="36"/>
  <c r="N63" i="49"/>
  <c r="L65" i="36"/>
  <c r="N62" i="49"/>
  <c r="L64" i="36"/>
  <c r="N61" i="49"/>
  <c r="L63" i="36"/>
  <c r="N60" i="49"/>
  <c r="L62" i="36"/>
  <c r="N59" i="49"/>
  <c r="L61" i="36"/>
  <c r="N58" i="49"/>
  <c r="L60" i="36"/>
  <c r="N57" i="49"/>
  <c r="L59" i="36"/>
  <c r="N56" i="49"/>
  <c r="L58" i="36"/>
  <c r="N55" i="49"/>
  <c r="L57" i="36"/>
  <c r="N54" i="49"/>
  <c r="L56" i="36"/>
  <c r="N53" i="49"/>
  <c r="L55" i="36"/>
  <c r="N52" i="49"/>
  <c r="L54" i="36"/>
  <c r="N51" i="49"/>
  <c r="L53" i="36"/>
  <c r="N50" i="49"/>
  <c r="L52" i="36"/>
  <c r="N49" i="49"/>
  <c r="L51" i="36"/>
  <c r="N48" i="49"/>
  <c r="L50" i="36"/>
  <c r="N47" i="49"/>
  <c r="L49" i="36"/>
  <c r="N46" i="49"/>
  <c r="L48" i="36"/>
  <c r="N45" i="49"/>
  <c r="L47" i="36"/>
  <c r="N44" i="49"/>
  <c r="L46" i="36"/>
  <c r="N43" i="49"/>
  <c r="L45" i="36"/>
  <c r="N42" i="49"/>
  <c r="L44" i="36"/>
  <c r="N41" i="49"/>
  <c r="L43" i="36"/>
  <c r="N40" i="49"/>
  <c r="L42" i="36"/>
  <c r="N39" i="49"/>
  <c r="L41" i="36"/>
  <c r="N38" i="49"/>
  <c r="L40" i="36"/>
  <c r="N37" i="49"/>
  <c r="L39" i="36"/>
  <c r="N36" i="49"/>
  <c r="L38" i="36"/>
  <c r="N35" i="49"/>
  <c r="L37" i="36"/>
  <c r="N34" i="49"/>
  <c r="L36" i="36"/>
  <c r="N33" i="49"/>
  <c r="L35" i="36"/>
  <c r="N32" i="49"/>
  <c r="L34" i="36"/>
  <c r="N31" i="49"/>
  <c r="L33" i="36"/>
  <c r="N30" i="49"/>
  <c r="L32" i="36"/>
  <c r="N29" i="49"/>
  <c r="L31" i="36"/>
  <c r="N28" i="49"/>
  <c r="L30" i="36"/>
  <c r="N27" i="49"/>
  <c r="L29" i="36"/>
  <c r="N26" i="49"/>
  <c r="L28" i="36"/>
  <c r="N25" i="49"/>
  <c r="L27" i="36"/>
  <c r="N24" i="49"/>
  <c r="L26" i="36"/>
  <c r="N23" i="49"/>
  <c r="L25" i="36"/>
  <c r="N22" i="49"/>
  <c r="L24" i="36"/>
  <c r="N21" i="49"/>
  <c r="L23" i="36"/>
  <c r="N20" i="49"/>
  <c r="L22" i="36"/>
  <c r="N19" i="49"/>
  <c r="L21" i="36"/>
  <c r="N18" i="49"/>
  <c r="L20" i="36"/>
  <c r="N17" i="49"/>
  <c r="L19" i="36"/>
  <c r="N16" i="49"/>
  <c r="L18" i="36"/>
  <c r="N15" i="49"/>
  <c r="L17" i="36"/>
  <c r="N14" i="49"/>
  <c r="L15" i="36"/>
  <c r="N12" i="49"/>
  <c r="L13" i="36"/>
  <c r="N10" i="49"/>
  <c r="L12" i="36"/>
  <c r="N9" i="49"/>
  <c r="L11" i="36"/>
  <c r="N8" i="49"/>
  <c r="L9" i="36"/>
  <c r="N6" i="49"/>
  <c r="L8" i="36"/>
  <c r="N5" i="49"/>
  <c r="CM110"/>
  <c r="CM107"/>
  <c r="CM104"/>
  <c r="CM97"/>
  <c r="CM95"/>
  <c r="CM94"/>
  <c r="CM91"/>
  <c r="CM81"/>
  <c r="CM74"/>
  <c r="CM71"/>
  <c r="CM69"/>
  <c r="CM68"/>
  <c r="CM64"/>
  <c r="CM58"/>
  <c r="CM56"/>
  <c r="CM52"/>
  <c r="CM51"/>
  <c r="CM39"/>
  <c r="CM36"/>
  <c r="CM33"/>
  <c r="CM24"/>
  <c r="CM23"/>
  <c r="CM20"/>
  <c r="CM10"/>
  <c r="CM23" i="10"/>
  <c r="AI8" i="25"/>
  <c r="AI7"/>
  <c r="F36" i="37"/>
  <c r="D36" i="25"/>
  <c r="F36" i="21"/>
  <c r="H36" i="37"/>
  <c r="H36" i="21"/>
  <c r="C36" i="25"/>
  <c r="C67"/>
  <c r="F67" i="21"/>
  <c r="F67" i="37"/>
  <c r="D67" i="25"/>
  <c r="H67" i="21"/>
  <c r="H67" i="37"/>
  <c r="D74" i="25"/>
  <c r="F74" i="21"/>
  <c r="H74" i="37"/>
  <c r="F74"/>
  <c r="C74" i="25"/>
  <c r="H74" i="21"/>
  <c r="D107" i="25"/>
  <c r="F107" i="21"/>
  <c r="H107"/>
  <c r="H107" i="37"/>
  <c r="C107" i="25"/>
  <c r="F107" i="37"/>
  <c r="F42"/>
  <c r="H42" i="21"/>
  <c r="C42" i="25"/>
  <c r="H42" i="37"/>
  <c r="F42" i="21"/>
  <c r="D42" i="25"/>
  <c r="F23" i="21"/>
  <c r="H23" i="37"/>
  <c r="F23"/>
  <c r="C23" i="25"/>
  <c r="H23" i="21"/>
  <c r="D23" i="25"/>
  <c r="C39"/>
  <c r="H39" i="21"/>
  <c r="H39" i="37"/>
  <c r="F39"/>
  <c r="F39" i="21"/>
  <c r="D39" i="25"/>
  <c r="D100"/>
  <c r="H100" i="21"/>
  <c r="F100"/>
  <c r="H100" i="37"/>
  <c r="C100" i="25"/>
  <c r="F100" i="37"/>
  <c r="D61" i="25"/>
  <c r="C61"/>
  <c r="F61" i="37"/>
  <c r="H61" i="21"/>
  <c r="F61"/>
  <c r="H61" i="37"/>
  <c r="H13"/>
  <c r="F54" i="21"/>
  <c r="C54" i="25"/>
  <c r="D54"/>
  <c r="H54" i="21"/>
  <c r="F54" i="37"/>
  <c r="H54"/>
  <c r="D97" i="25"/>
  <c r="F97" i="37"/>
  <c r="H97" i="21"/>
  <c r="F97"/>
  <c r="C97" i="25"/>
  <c r="H97" i="37"/>
  <c r="H94" i="21"/>
  <c r="F94"/>
  <c r="F94" i="37"/>
  <c r="H94"/>
  <c r="D94" i="25"/>
  <c r="C94"/>
  <c r="F26" i="37"/>
  <c r="D26" i="25"/>
  <c r="H26" i="21"/>
  <c r="H26" i="37"/>
  <c r="F26" i="21"/>
  <c r="C26" i="25"/>
  <c r="L7"/>
  <c r="K7"/>
  <c r="K116"/>
  <c r="L116"/>
  <c r="L116" i="21"/>
  <c r="L116" i="37"/>
  <c r="K115" i="25"/>
  <c r="L115"/>
  <c r="L115" i="21"/>
  <c r="L115" i="37"/>
  <c r="K114" i="25"/>
  <c r="L114"/>
  <c r="L114" i="21"/>
  <c r="L114" i="37"/>
  <c r="K113" i="25"/>
  <c r="L113"/>
  <c r="L113" i="21"/>
  <c r="L113" i="37"/>
  <c r="K112" i="25"/>
  <c r="L112"/>
  <c r="L112" i="21"/>
  <c r="L112" i="37"/>
  <c r="K111" i="25"/>
  <c r="L111"/>
  <c r="L111" i="21"/>
  <c r="L111" i="37"/>
  <c r="K110" i="25"/>
  <c r="L110"/>
  <c r="L110" i="21"/>
  <c r="L110" i="37"/>
  <c r="K109" i="25"/>
  <c r="L109"/>
  <c r="L109" i="21"/>
  <c r="L109" i="37"/>
  <c r="K108" i="25"/>
  <c r="L108"/>
  <c r="L108" i="21"/>
  <c r="L108" i="37"/>
  <c r="K107" i="25"/>
  <c r="L107"/>
  <c r="L107" i="21"/>
  <c r="L107" i="37"/>
  <c r="K106" i="25"/>
  <c r="L106"/>
  <c r="L106" i="21"/>
  <c r="L106" i="37"/>
  <c r="K105" i="25"/>
  <c r="L105"/>
  <c r="L105" i="21"/>
  <c r="L105" i="37"/>
  <c r="K104" i="25"/>
  <c r="L104"/>
  <c r="L104" i="21"/>
  <c r="L104" i="37"/>
  <c r="K103" i="25"/>
  <c r="L103"/>
  <c r="L103" i="21"/>
  <c r="L103" i="37"/>
  <c r="K102" i="25"/>
  <c r="L102"/>
  <c r="L102" i="21"/>
  <c r="L102" i="37"/>
  <c r="K101" i="25"/>
  <c r="L101"/>
  <c r="L101" i="21"/>
  <c r="L101" i="37"/>
  <c r="K100" i="25"/>
  <c r="L100"/>
  <c r="L100" i="21"/>
  <c r="L100" i="37"/>
  <c r="K99" i="25"/>
  <c r="L99"/>
  <c r="L99" i="21"/>
  <c r="L99" i="37"/>
  <c r="K98" i="25"/>
  <c r="L98"/>
  <c r="L98" i="21"/>
  <c r="L98" i="37"/>
  <c r="K97" i="25"/>
  <c r="L97"/>
  <c r="L97" i="21"/>
  <c r="L97" i="37"/>
  <c r="K96" i="25"/>
  <c r="L96"/>
  <c r="L96" i="21"/>
  <c r="L96" i="37"/>
  <c r="K95" i="25"/>
  <c r="L95"/>
  <c r="L95" i="21"/>
  <c r="L95" i="37"/>
  <c r="K94" i="25"/>
  <c r="L94"/>
  <c r="L94" i="21"/>
  <c r="L94" i="37"/>
  <c r="K93" i="25"/>
  <c r="L93"/>
  <c r="L93" i="21"/>
  <c r="L93" i="37"/>
  <c r="K92" i="25"/>
  <c r="L92"/>
  <c r="L92" i="21"/>
  <c r="L92" i="37"/>
  <c r="K91" i="25"/>
  <c r="L91"/>
  <c r="L91" i="21"/>
  <c r="L91" i="37"/>
  <c r="K90" i="25"/>
  <c r="L90"/>
  <c r="L90" i="21"/>
  <c r="L90" i="37"/>
  <c r="K89" i="25"/>
  <c r="L89"/>
  <c r="L89" i="21"/>
  <c r="L89" i="37"/>
  <c r="K88" i="25"/>
  <c r="L88"/>
  <c r="L88" i="21"/>
  <c r="L88" i="37"/>
  <c r="K87" i="25"/>
  <c r="L87"/>
  <c r="L87" i="21"/>
  <c r="L87" i="37"/>
  <c r="K86" i="25"/>
  <c r="L86"/>
  <c r="L86" i="21"/>
  <c r="L86" i="37"/>
  <c r="K85" i="25"/>
  <c r="L85"/>
  <c r="L85" i="21"/>
  <c r="L85" i="37"/>
  <c r="K84" i="25"/>
  <c r="L84"/>
  <c r="L84" i="21"/>
  <c r="L84" i="37"/>
  <c r="K83" i="25"/>
  <c r="L83"/>
  <c r="L83" i="21"/>
  <c r="L83" i="37"/>
  <c r="K82" i="25"/>
  <c r="L82"/>
  <c r="L82" i="21"/>
  <c r="L82" i="37"/>
  <c r="K81" i="25"/>
  <c r="L81"/>
  <c r="L81" i="21"/>
  <c r="L81" i="37"/>
  <c r="K80" i="25"/>
  <c r="L80"/>
  <c r="L80" i="21"/>
  <c r="L80" i="37"/>
  <c r="K79" i="25"/>
  <c r="L79"/>
  <c r="L79" i="21"/>
  <c r="L79" i="37"/>
  <c r="K78" i="25"/>
  <c r="L78"/>
  <c r="L78" i="21"/>
  <c r="L78" i="37"/>
  <c r="K77" i="25"/>
  <c r="L77"/>
  <c r="L77" i="21"/>
  <c r="L77" i="37"/>
  <c r="K76" i="25"/>
  <c r="L76"/>
  <c r="L76" i="21"/>
  <c r="L76" i="37"/>
  <c r="K75" i="25"/>
  <c r="L75"/>
  <c r="L75" i="21"/>
  <c r="L75" i="37"/>
  <c r="K74" i="25"/>
  <c r="L74"/>
  <c r="L74" i="21"/>
  <c r="L74" i="37"/>
  <c r="K73" i="25"/>
  <c r="L73"/>
  <c r="L73" i="21"/>
  <c r="L73" i="37"/>
  <c r="K72" i="25"/>
  <c r="L72"/>
  <c r="L72" i="21"/>
  <c r="L72" i="37"/>
  <c r="K71" i="25"/>
  <c r="L71"/>
  <c r="L71" i="21"/>
  <c r="L71" i="37"/>
  <c r="K70" i="25"/>
  <c r="L70"/>
  <c r="L70" i="21"/>
  <c r="L70" i="37"/>
  <c r="K69" i="25"/>
  <c r="L69"/>
  <c r="L69" i="21"/>
  <c r="L69" i="37"/>
  <c r="K68" i="25"/>
  <c r="L68"/>
  <c r="L68" i="21"/>
  <c r="L68" i="37"/>
  <c r="K67" i="25"/>
  <c r="L67"/>
  <c r="L67" i="21"/>
  <c r="L67" i="37"/>
  <c r="K66" i="25"/>
  <c r="L66"/>
  <c r="L66" i="21"/>
  <c r="L66" i="37"/>
  <c r="K65" i="25"/>
  <c r="L65"/>
  <c r="L65" i="21"/>
  <c r="L65" i="37"/>
  <c r="K64" i="25"/>
  <c r="L64"/>
  <c r="L64" i="21"/>
  <c r="L64" i="37"/>
  <c r="K63" i="25"/>
  <c r="L63"/>
  <c r="L63" i="21"/>
  <c r="L63" i="37"/>
  <c r="K62" i="25"/>
  <c r="L62"/>
  <c r="L62" i="21"/>
  <c r="L62" i="37"/>
  <c r="K61" i="25"/>
  <c r="L61"/>
  <c r="L61" i="21"/>
  <c r="L61" i="37"/>
  <c r="K60" i="25"/>
  <c r="L60"/>
  <c r="L60" i="21"/>
  <c r="L60" i="37"/>
  <c r="K59" i="25"/>
  <c r="L59"/>
  <c r="L59" i="21"/>
  <c r="L59" i="37"/>
  <c r="K58" i="25"/>
  <c r="L58"/>
  <c r="L58" i="21"/>
  <c r="L58" i="37"/>
  <c r="K57" i="25"/>
  <c r="L57"/>
  <c r="L57" i="21"/>
  <c r="L57" i="37"/>
  <c r="K56" i="25"/>
  <c r="L56"/>
  <c r="L56" i="21"/>
  <c r="L56" i="37"/>
  <c r="K55" i="25"/>
  <c r="L55"/>
  <c r="L55" i="21"/>
  <c r="L55" i="37"/>
  <c r="K54" i="25"/>
  <c r="L54"/>
  <c r="L54" i="21"/>
  <c r="L54" i="37"/>
  <c r="K53" i="25"/>
  <c r="L53"/>
  <c r="L53" i="21"/>
  <c r="L53" i="37"/>
  <c r="K52" i="25"/>
  <c r="L52"/>
  <c r="L52" i="21"/>
  <c r="L52" i="37"/>
  <c r="K51" i="25"/>
  <c r="L51"/>
  <c r="L51" i="21"/>
  <c r="L51" i="37"/>
  <c r="K50" i="25"/>
  <c r="L50"/>
  <c r="L50" i="21"/>
  <c r="L50" i="37"/>
  <c r="K49" i="25"/>
  <c r="L49"/>
  <c r="L49" i="21"/>
  <c r="L49" i="37"/>
  <c r="K48" i="25"/>
  <c r="L48"/>
  <c r="L48" i="21"/>
  <c r="L48" i="37"/>
  <c r="K47" i="25"/>
  <c r="L47"/>
  <c r="L47" i="21"/>
  <c r="L47" i="37"/>
  <c r="K46" i="25"/>
  <c r="L46"/>
  <c r="L46" i="21"/>
  <c r="L46" i="37"/>
  <c r="K45" i="25"/>
  <c r="L45"/>
  <c r="L45" i="21"/>
  <c r="L45" i="37"/>
  <c r="K44" i="25"/>
  <c r="L44"/>
  <c r="L44" i="21"/>
  <c r="L44" i="37"/>
  <c r="K43" i="25"/>
  <c r="L43"/>
  <c r="L43" i="21"/>
  <c r="L43" i="37"/>
  <c r="K42" i="25"/>
  <c r="L42"/>
  <c r="L42" i="21"/>
  <c r="L42" i="37"/>
  <c r="K41" i="25"/>
  <c r="L41"/>
  <c r="L41" i="21"/>
  <c r="L41" i="37"/>
  <c r="K40" i="25"/>
  <c r="L40"/>
  <c r="L40" i="21"/>
  <c r="L40" i="37"/>
  <c r="K39" i="25"/>
  <c r="L39"/>
  <c r="L39" i="21"/>
  <c r="L39" i="37"/>
  <c r="K38" i="25"/>
  <c r="L38"/>
  <c r="L38" i="21"/>
  <c r="L38" i="37"/>
  <c r="K37" i="25"/>
  <c r="L37"/>
  <c r="L37" i="21"/>
  <c r="L37" i="37"/>
  <c r="K36" i="25"/>
  <c r="L36"/>
  <c r="L36" i="21"/>
  <c r="L36" i="37"/>
  <c r="K35" i="25"/>
  <c r="L35"/>
  <c r="L35" i="21"/>
  <c r="L35" i="37"/>
  <c r="K34" i="25"/>
  <c r="L34"/>
  <c r="L34" i="21"/>
  <c r="L34" i="37"/>
  <c r="K33" i="25"/>
  <c r="L33"/>
  <c r="L33" i="21"/>
  <c r="L33" i="37"/>
  <c r="K32" i="25"/>
  <c r="L32"/>
  <c r="L32" i="21"/>
  <c r="L32" i="37"/>
  <c r="K31" i="25"/>
  <c r="L31"/>
  <c r="L31" i="21"/>
  <c r="L31" i="37"/>
  <c r="K30" i="25"/>
  <c r="L30"/>
  <c r="L30" i="21"/>
  <c r="L30" i="37"/>
  <c r="K29" i="25"/>
  <c r="L29"/>
  <c r="L29" i="21"/>
  <c r="L29" i="37"/>
  <c r="K28" i="25"/>
  <c r="L28"/>
  <c r="L28" i="21"/>
  <c r="L28" i="37"/>
  <c r="K27" i="25"/>
  <c r="L27"/>
  <c r="L27" i="21"/>
  <c r="L27" i="37"/>
  <c r="K26" i="25"/>
  <c r="L26"/>
  <c r="L26" i="21"/>
  <c r="L26" i="37"/>
  <c r="K25" i="25"/>
  <c r="L25"/>
  <c r="L25" i="21"/>
  <c r="L25" i="37"/>
  <c r="K24" i="25"/>
  <c r="L24"/>
  <c r="L24" i="21"/>
  <c r="L24" i="37"/>
  <c r="K23" i="25"/>
  <c r="L23"/>
  <c r="L23" i="21"/>
  <c r="L23" i="37"/>
  <c r="K22" i="25"/>
  <c r="L22"/>
  <c r="L22" i="21"/>
  <c r="L22" i="37"/>
  <c r="K21" i="25"/>
  <c r="L21"/>
  <c r="L21" i="21"/>
  <c r="L21" i="37"/>
  <c r="K20" i="25"/>
  <c r="L20"/>
  <c r="L20" i="21"/>
  <c r="L20" i="37"/>
  <c r="K19" i="25"/>
  <c r="L19"/>
  <c r="L19" i="21"/>
  <c r="L19" i="37"/>
  <c r="K18" i="25"/>
  <c r="L18"/>
  <c r="L18" i="21"/>
  <c r="L18" i="37"/>
  <c r="L17"/>
  <c r="L16"/>
  <c r="K15" i="25"/>
  <c r="L15"/>
  <c r="L15" i="21"/>
  <c r="L15" i="37"/>
  <c r="K14" i="25"/>
  <c r="L14"/>
  <c r="L14" i="21"/>
  <c r="L14" i="37"/>
  <c r="L13" i="21"/>
  <c r="K13" i="25"/>
  <c r="L13"/>
  <c r="L12" i="21"/>
  <c r="K12" i="25"/>
  <c r="L11" i="21"/>
  <c r="K11" i="25"/>
  <c r="L11"/>
  <c r="L10" i="21"/>
  <c r="K10" i="25"/>
  <c r="L10"/>
  <c r="L9" i="21"/>
  <c r="K9" i="25"/>
  <c r="L9"/>
  <c r="L8" i="21"/>
  <c r="K8" i="25"/>
  <c r="L8"/>
  <c r="L7" i="36"/>
  <c r="N4" i="49"/>
  <c r="H113" i="7"/>
  <c r="F113"/>
  <c r="F113" i="36"/>
  <c r="H113"/>
  <c r="H110" i="7"/>
  <c r="F110"/>
  <c r="F110" i="36"/>
  <c r="H110"/>
  <c r="H107" i="7"/>
  <c r="F107"/>
  <c r="F107" i="36"/>
  <c r="H107"/>
  <c r="H100" i="7"/>
  <c r="F100"/>
  <c r="F100" i="36"/>
  <c r="H100"/>
  <c r="H98" i="7"/>
  <c r="F98"/>
  <c r="F98" i="36"/>
  <c r="H98"/>
  <c r="H97" i="7"/>
  <c r="F97"/>
  <c r="F97" i="36"/>
  <c r="H97"/>
  <c r="H94" i="7"/>
  <c r="F94"/>
  <c r="F94" i="36"/>
  <c r="H94"/>
  <c r="H84" i="7"/>
  <c r="F84"/>
  <c r="F84" i="36"/>
  <c r="H84"/>
  <c r="H77" i="7"/>
  <c r="F77"/>
  <c r="F77" i="36"/>
  <c r="H77"/>
  <c r="H74" i="7"/>
  <c r="F74"/>
  <c r="F74" i="36"/>
  <c r="H74"/>
  <c r="H72" i="7"/>
  <c r="F72"/>
  <c r="F72" i="36"/>
  <c r="H72"/>
  <c r="H71" i="7"/>
  <c r="F71"/>
  <c r="F71" i="36"/>
  <c r="H71"/>
  <c r="H67" i="7"/>
  <c r="F67"/>
  <c r="F67" i="36"/>
  <c r="H67"/>
  <c r="H61" i="7"/>
  <c r="F61"/>
  <c r="F61" i="36"/>
  <c r="H61"/>
  <c r="H59" i="7"/>
  <c r="F59"/>
  <c r="F59" i="36"/>
  <c r="H59"/>
  <c r="H55" i="7"/>
  <c r="F55"/>
  <c r="F55" i="36"/>
  <c r="H55"/>
  <c r="H54" i="7"/>
  <c r="F54"/>
  <c r="F54" i="36"/>
  <c r="H54"/>
  <c r="H42" i="7"/>
  <c r="F42"/>
  <c r="F42" i="36"/>
  <c r="H42"/>
  <c r="H39" i="7"/>
  <c r="F39"/>
  <c r="F39" i="36"/>
  <c r="H39"/>
  <c r="H36" i="7"/>
  <c r="F36"/>
  <c r="F36" i="36"/>
  <c r="H36"/>
  <c r="H29" i="7"/>
  <c r="F29"/>
  <c r="H29" i="36"/>
  <c r="F29"/>
  <c r="H27" i="7"/>
  <c r="F27"/>
  <c r="H27" i="36"/>
  <c r="F27"/>
  <c r="H26" i="7"/>
  <c r="F26"/>
  <c r="F26" i="36"/>
  <c r="H26"/>
  <c r="H23" i="7"/>
  <c r="F23"/>
  <c r="H23" i="36"/>
  <c r="F23"/>
  <c r="H13" i="7"/>
  <c r="F13"/>
  <c r="H13" i="36"/>
  <c r="F13"/>
  <c r="L7" i="7"/>
  <c r="L13" i="37"/>
  <c r="L11"/>
  <c r="L10"/>
  <c r="L9"/>
  <c r="L7" i="21"/>
  <c r="L7" i="37"/>
  <c r="L8"/>
  <c r="AQ16" i="36"/>
  <c r="AQ44"/>
  <c r="AQ48"/>
  <c r="AQ20"/>
  <c r="AQ40"/>
  <c r="AQ11"/>
  <c r="AQ28"/>
  <c r="AQ36"/>
  <c r="AQ52"/>
  <c r="AQ24"/>
  <c r="AQ32"/>
  <c r="AQ25"/>
  <c r="AQ17"/>
  <c r="AQ8"/>
  <c r="AQ49"/>
  <c r="AQ41"/>
  <c r="AQ14"/>
  <c r="AQ30"/>
  <c r="AQ26"/>
  <c r="AQ22"/>
  <c r="AQ18"/>
  <c r="AQ13"/>
  <c r="AQ9"/>
  <c r="AQ54"/>
  <c r="AQ50"/>
  <c r="AQ46"/>
  <c r="AQ42"/>
  <c r="AQ38"/>
  <c r="AQ29"/>
  <c r="AQ21"/>
  <c r="AQ12"/>
  <c r="AQ53"/>
  <c r="AQ45"/>
  <c r="AQ37"/>
  <c r="AQ33"/>
  <c r="AQ27"/>
  <c r="AQ23"/>
  <c r="AQ19"/>
  <c r="AQ15"/>
  <c r="AQ10"/>
  <c r="AQ55"/>
  <c r="AQ51"/>
  <c r="AQ47"/>
  <c r="AQ43"/>
  <c r="AQ39"/>
  <c r="B7" i="7"/>
  <c r="F2"/>
  <c r="B7" i="36"/>
  <c r="F2"/>
  <c r="AY8" i="7"/>
  <c r="AY9"/>
  <c r="AY10"/>
  <c r="AY11"/>
  <c r="AY12"/>
  <c r="AY13"/>
  <c r="AY16"/>
  <c r="AY17"/>
  <c r="AY18"/>
  <c r="AY19"/>
  <c r="AY20"/>
  <c r="AY21"/>
  <c r="AY24"/>
  <c r="AY25"/>
  <c r="AY26"/>
  <c r="AY27"/>
  <c r="AY28"/>
  <c r="BA28"/>
  <c r="AY29"/>
  <c r="BA29"/>
  <c r="BE8" i="37"/>
  <c r="BE9"/>
  <c r="BE11"/>
  <c r="BE13"/>
  <c r="BE16"/>
  <c r="BE18"/>
  <c r="BE20"/>
  <c r="AZ8" i="7"/>
  <c r="BB8"/>
  <c r="AZ9"/>
  <c r="BB9"/>
  <c r="AZ10"/>
  <c r="BB10"/>
  <c r="AZ11"/>
  <c r="BB11"/>
  <c r="AZ12"/>
  <c r="BB12"/>
  <c r="AZ13"/>
  <c r="BB13"/>
  <c r="AZ16"/>
  <c r="BB16"/>
  <c r="AZ17"/>
  <c r="BB17"/>
  <c r="AZ18"/>
  <c r="BB18"/>
  <c r="AZ19"/>
  <c r="BB19"/>
  <c r="AZ20"/>
  <c r="BB20"/>
  <c r="AZ21"/>
  <c r="BB21"/>
  <c r="AZ24"/>
  <c r="BB24"/>
  <c r="AZ25"/>
  <c r="BB25"/>
  <c r="AZ26"/>
  <c r="BB26"/>
  <c r="AZ27"/>
  <c r="BB27"/>
  <c r="AZ28"/>
  <c r="BB28"/>
  <c r="AZ29"/>
  <c r="BB29"/>
  <c r="BF8" i="37"/>
  <c r="BF9"/>
  <c r="BF10"/>
  <c r="BF11"/>
  <c r="BF12"/>
  <c r="BF13"/>
  <c r="BF16"/>
  <c r="BF17"/>
  <c r="BF18"/>
  <c r="BF19"/>
  <c r="BF20"/>
  <c r="BF21"/>
  <c r="BA8" i="7"/>
  <c r="BA9"/>
  <c r="BA10"/>
  <c r="BA11"/>
  <c r="BA12"/>
  <c r="BA13"/>
  <c r="BA16"/>
  <c r="BA17"/>
  <c r="BA18"/>
  <c r="BA19"/>
  <c r="BA20"/>
  <c r="BA21"/>
  <c r="BA24"/>
  <c r="BA25"/>
  <c r="BA26"/>
  <c r="BA27"/>
  <c r="BE10" i="37"/>
  <c r="BE12"/>
  <c r="BE17"/>
  <c r="BE19"/>
  <c r="BE21"/>
  <c r="F17" i="36" l="1"/>
  <c r="H17" i="7"/>
  <c r="B19"/>
  <c r="L10" i="36"/>
  <c r="L14"/>
  <c r="L16"/>
  <c r="F17" i="7"/>
  <c r="N7" i="49"/>
  <c r="N11"/>
  <c r="N13"/>
  <c r="H17" i="36"/>
  <c r="M87" i="7"/>
  <c r="M30"/>
  <c r="M67"/>
  <c r="B14"/>
  <c r="B95" i="36"/>
  <c r="F105" i="25"/>
  <c r="B39" i="37"/>
  <c r="F110" i="25"/>
  <c r="B110" i="37"/>
  <c r="M32" i="21"/>
  <c r="B61"/>
  <c r="B34" i="37"/>
  <c r="F34" i="25"/>
  <c r="F61"/>
  <c r="G43"/>
  <c r="K16"/>
  <c r="K17"/>
  <c r="D13"/>
  <c r="F13" i="37"/>
  <c r="G10" i="25"/>
  <c r="L12"/>
  <c r="L16"/>
  <c r="L17"/>
  <c r="C13"/>
  <c r="H13" i="21"/>
  <c r="O3"/>
  <c r="C9" i="25"/>
  <c r="F9" i="37"/>
  <c r="F18" i="21"/>
  <c r="H18" i="37"/>
  <c r="BD10" i="21"/>
  <c r="M10"/>
  <c r="H9" i="37"/>
  <c r="D9" i="25"/>
  <c r="H18" i="21"/>
  <c r="B8" i="37"/>
  <c r="C18" i="25"/>
  <c r="G16"/>
  <c r="M66" i="21"/>
  <c r="G66" i="25"/>
  <c r="M106" i="21"/>
  <c r="G94" i="25"/>
  <c r="M94" i="21"/>
  <c r="G80" i="25"/>
  <c r="M80" i="37"/>
  <c r="M32"/>
  <c r="F8" i="25"/>
  <c r="H16" i="21"/>
  <c r="F16"/>
  <c r="C16" i="25"/>
  <c r="D16"/>
  <c r="F16" i="37"/>
  <c r="H16"/>
  <c r="H19" i="21"/>
  <c r="D19" i="25"/>
  <c r="F19" i="37"/>
  <c r="C19" i="25"/>
  <c r="F19" i="21"/>
  <c r="H19" i="37"/>
  <c r="CK14" i="10"/>
  <c r="CJ12"/>
  <c r="CL12" s="1"/>
  <c r="CM12"/>
  <c r="C10" i="25"/>
  <c r="H10" i="37"/>
  <c r="F10"/>
  <c r="F10" i="21"/>
  <c r="D10" i="25"/>
  <c r="H10" i="21"/>
  <c r="F12"/>
  <c r="F12" i="37"/>
  <c r="D12" i="25"/>
  <c r="C12"/>
  <c r="H12" i="21"/>
  <c r="H12" i="37"/>
  <c r="AP117" i="7"/>
  <c r="O4"/>
  <c r="O5"/>
  <c r="AR117"/>
  <c r="AG117" i="36"/>
  <c r="M51"/>
  <c r="M111" i="37"/>
  <c r="M83" i="7"/>
  <c r="M82" i="21"/>
  <c r="B10" i="36"/>
  <c r="B88" i="21"/>
  <c r="M43"/>
  <c r="G31" i="25"/>
  <c r="B88" i="37"/>
  <c r="B39" i="21"/>
  <c r="F33" i="25"/>
  <c r="G75"/>
  <c r="F17"/>
  <c r="M91" i="36"/>
  <c r="M24" i="7"/>
  <c r="G82" i="25"/>
  <c r="B34" i="36"/>
  <c r="M111" i="21"/>
  <c r="G15" i="25"/>
  <c r="F21"/>
  <c r="F14"/>
  <c r="B17" i="21"/>
  <c r="M31" i="37"/>
  <c r="M8" i="36"/>
  <c r="M8" i="7"/>
  <c r="M63"/>
  <c r="M55"/>
  <c r="B86" i="37"/>
  <c r="M28" i="7"/>
  <c r="B30" i="21"/>
  <c r="F49" i="25"/>
  <c r="B86" i="21"/>
  <c r="B76" i="37"/>
  <c r="B44"/>
  <c r="M13" i="21"/>
  <c r="B109" i="36"/>
  <c r="M64" i="7"/>
  <c r="B30" i="37"/>
  <c r="M115" i="7"/>
  <c r="B49" i="21"/>
  <c r="M15"/>
  <c r="M106" i="37"/>
  <c r="B14" i="21"/>
  <c r="F76" i="25"/>
  <c r="F12" i="7"/>
  <c r="H12"/>
  <c r="F12" i="36"/>
  <c r="H12"/>
  <c r="M12" i="7"/>
  <c r="F18" i="36"/>
  <c r="H18"/>
  <c r="F18" i="7"/>
  <c r="H18"/>
  <c r="F8"/>
  <c r="H8" i="36"/>
  <c r="H8" i="7"/>
  <c r="F8" i="36"/>
  <c r="F15" i="7"/>
  <c r="H15" i="36"/>
  <c r="H15" i="7"/>
  <c r="F15" i="36"/>
  <c r="O3" i="7"/>
  <c r="AN18" i="36"/>
  <c r="AH117" s="1"/>
  <c r="AU17" i="37"/>
  <c r="AU13"/>
  <c r="M87" i="21"/>
  <c r="M87" i="37"/>
  <c r="F67" i="25"/>
  <c r="B67" i="37"/>
  <c r="B67" i="21"/>
  <c r="B95" i="37"/>
  <c r="B95" i="21"/>
  <c r="B83"/>
  <c r="B83" i="37"/>
  <c r="G26" i="25"/>
  <c r="G19"/>
  <c r="G69"/>
  <c r="M65" i="37"/>
  <c r="G65" i="25"/>
  <c r="B77" i="21"/>
  <c r="B77" i="37"/>
  <c r="F47" i="25"/>
  <c r="B47" i="21"/>
  <c r="B47" i="37"/>
  <c r="B27"/>
  <c r="B27" i="21"/>
  <c r="F27" i="25"/>
  <c r="G87"/>
  <c r="M26" i="37"/>
  <c r="M19"/>
  <c r="B45" i="21"/>
  <c r="B45" i="37"/>
  <c r="F45" i="25"/>
  <c r="M29" i="37"/>
  <c r="M29" i="21"/>
  <c r="G29" i="25"/>
  <c r="M68" i="37"/>
  <c r="G68" i="25"/>
  <c r="G48"/>
  <c r="M48" i="21"/>
  <c r="B97"/>
  <c r="M57"/>
  <c r="B21"/>
  <c r="B97" i="37"/>
  <c r="F81" i="25"/>
  <c r="B81" i="37"/>
  <c r="F96" i="25"/>
  <c r="B96" i="37"/>
  <c r="B89" i="21"/>
  <c r="B89" i="37"/>
  <c r="M55" i="21"/>
  <c r="G55" i="25"/>
  <c r="B23" i="21"/>
  <c r="F23" i="25"/>
  <c r="B23" i="37"/>
  <c r="B28"/>
  <c r="F28" i="25"/>
  <c r="B28" i="21"/>
  <c r="G62" i="25"/>
  <c r="M62" i="37"/>
  <c r="M62" i="21"/>
  <c r="B96"/>
  <c r="M55" i="37"/>
  <c r="M69"/>
  <c r="G57" i="25"/>
  <c r="B81" i="21"/>
  <c r="M116"/>
  <c r="M116" i="37"/>
  <c r="G116" i="25"/>
  <c r="M56" i="21"/>
  <c r="G56" i="25"/>
  <c r="M56" i="37"/>
  <c r="G99" i="25"/>
  <c r="M99" i="21"/>
  <c r="M99" i="37"/>
  <c r="B7" i="21"/>
  <c r="F2"/>
  <c r="F2" i="37"/>
  <c r="F7" i="25"/>
  <c r="B7" i="37"/>
  <c r="C2" i="25"/>
  <c r="I5" i="27"/>
  <c r="F100" i="25"/>
  <c r="B100" i="21"/>
  <c r="B100" i="37"/>
  <c r="M9"/>
  <c r="G9" i="25"/>
  <c r="M9" i="21"/>
  <c r="G46" i="25"/>
  <c r="M46" i="37"/>
  <c r="M46" i="21"/>
  <c r="F52" i="25"/>
  <c r="B52" i="37"/>
  <c r="B52" i="21"/>
  <c r="M101"/>
  <c r="M101" i="37"/>
  <c r="G101" i="25"/>
  <c r="B42" i="37"/>
  <c r="B42" i="21"/>
  <c r="F42" i="25"/>
  <c r="B91" i="21"/>
  <c r="F91" i="25"/>
  <c r="B91" i="37"/>
  <c r="F36" i="25"/>
  <c r="B36" i="37"/>
  <c r="B36" i="21"/>
  <c r="F92" i="25"/>
  <c r="B92" i="37"/>
  <c r="B92" i="21"/>
  <c r="M74" i="37"/>
  <c r="M74" i="21"/>
  <c r="G74" i="25"/>
  <c r="B114" i="21"/>
  <c r="F114" i="25"/>
  <c r="B114" i="37"/>
  <c r="M104" i="21"/>
  <c r="M104" i="37"/>
  <c r="G104" i="25"/>
  <c r="B24" i="21"/>
  <c r="F24" i="25"/>
  <c r="B24" i="37"/>
  <c r="B70" i="21"/>
  <c r="B70" i="37"/>
  <c r="F70" i="25"/>
  <c r="B101" i="21"/>
  <c r="B101" i="37"/>
  <c r="F101" i="25"/>
  <c r="M42" i="37"/>
  <c r="M42" i="21"/>
  <c r="G42" i="25"/>
  <c r="M91" i="37"/>
  <c r="G91" i="25"/>
  <c r="M91" i="21"/>
  <c r="F98" i="25"/>
  <c r="B98" i="21"/>
  <c r="B98" i="37"/>
  <c r="B53" i="21"/>
  <c r="F53" i="25"/>
  <c r="B53" i="37"/>
  <c r="B116"/>
  <c r="B116" i="21"/>
  <c r="F116" i="25"/>
  <c r="B37" i="37"/>
  <c r="F37" i="25"/>
  <c r="B37" i="21"/>
  <c r="B104"/>
  <c r="B104" i="37"/>
  <c r="F104" i="25"/>
  <c r="G24"/>
  <c r="M24" i="21"/>
  <c r="M24" i="37"/>
  <c r="F56" i="25"/>
  <c r="B56" i="37"/>
  <c r="B56" i="21"/>
  <c r="M36"/>
  <c r="G36" i="25"/>
  <c r="M36" i="37"/>
  <c r="B26" i="36"/>
  <c r="B71" i="7"/>
  <c r="B99" i="36"/>
  <c r="B99" i="7"/>
  <c r="B35"/>
  <c r="B35" i="36"/>
  <c r="B43"/>
  <c r="B43" i="7"/>
  <c r="B107" i="36"/>
  <c r="B107" i="7"/>
  <c r="B77" i="36"/>
  <c r="B45"/>
  <c r="M96" i="7"/>
  <c r="M72" i="36"/>
  <c r="M72" i="7"/>
  <c r="M104" i="36"/>
  <c r="M104" i="7"/>
  <c r="B92" i="36"/>
  <c r="B92" i="7"/>
  <c r="B36"/>
  <c r="B36" i="36"/>
  <c r="B100" i="7"/>
  <c r="B100" i="36"/>
  <c r="M88"/>
  <c r="M88" i="7"/>
  <c r="M111" i="36"/>
  <c r="B85"/>
  <c r="B53" i="7"/>
  <c r="M56" i="36"/>
  <c r="M56" i="7"/>
  <c r="M40" i="36"/>
  <c r="M40" i="7"/>
  <c r="B68"/>
  <c r="B68" i="36"/>
  <c r="B44"/>
  <c r="B44" i="7"/>
  <c r="B60" i="36"/>
  <c r="B60" i="7"/>
  <c r="B76" i="36"/>
  <c r="B76" i="7"/>
  <c r="M15" i="36"/>
  <c r="M15" i="7"/>
  <c r="B108" i="36"/>
  <c r="B108" i="7"/>
  <c r="M79"/>
  <c r="M47"/>
  <c r="AQ117"/>
  <c r="AU41" i="37"/>
  <c r="AU39"/>
  <c r="AF118"/>
  <c r="O4" s="1"/>
  <c r="AU36"/>
  <c r="AU8"/>
  <c r="AU19"/>
  <c r="AU14"/>
  <c r="AU37"/>
  <c r="AU31"/>
  <c r="AU51"/>
  <c r="AU40"/>
  <c r="AU44"/>
  <c r="AU28"/>
  <c r="AU16"/>
  <c r="AU45"/>
  <c r="AU53"/>
  <c r="AU43"/>
  <c r="AU48"/>
  <c r="AU46"/>
  <c r="AU32"/>
  <c r="N58" i="40"/>
  <c r="AU27" i="37"/>
  <c r="AU21"/>
  <c r="AU56"/>
  <c r="AU11"/>
  <c r="AU18"/>
  <c r="AU26"/>
  <c r="AU25"/>
  <c r="AU33"/>
  <c r="AU38"/>
  <c r="AU49"/>
  <c r="AU10"/>
  <c r="AU12"/>
  <c r="AU50"/>
  <c r="AU42"/>
  <c r="AU54"/>
  <c r="AU20"/>
  <c r="AU47"/>
  <c r="AU52"/>
  <c r="AU9"/>
  <c r="AU24"/>
  <c r="AU22"/>
  <c r="AU55"/>
  <c r="AU30"/>
  <c r="AU15"/>
  <c r="AU23"/>
  <c r="BB9"/>
  <c r="BE7" i="21"/>
  <c r="O4" s="1"/>
  <c r="Q4" s="1"/>
  <c r="AP42"/>
  <c r="AP24"/>
  <c r="AI9" i="25"/>
  <c r="O58" i="40"/>
  <c r="AN33" i="7"/>
  <c r="AN25"/>
  <c r="F7"/>
  <c r="F7" i="36"/>
  <c r="H7"/>
  <c r="H7" i="7"/>
  <c r="B17" i="36"/>
  <c r="B17" i="7"/>
  <c r="B69" i="36"/>
  <c r="B37"/>
  <c r="B18"/>
  <c r="B93" i="7"/>
  <c r="B13" i="36"/>
  <c r="B13" i="7"/>
  <c r="B101" i="36"/>
  <c r="M32"/>
  <c r="M82" i="7"/>
  <c r="M82" i="36"/>
  <c r="M90" i="7"/>
  <c r="M90" i="36"/>
  <c r="M54"/>
  <c r="M54" i="7"/>
  <c r="M98" i="36"/>
  <c r="M98" i="7"/>
  <c r="M42"/>
  <c r="M42" i="36"/>
  <c r="M70" i="7"/>
  <c r="M70" i="36"/>
  <c r="M86"/>
  <c r="M86" i="7"/>
  <c r="M38" i="36"/>
  <c r="M38" i="7"/>
  <c r="M66" i="36"/>
  <c r="M66" i="7"/>
  <c r="M114"/>
  <c r="M114" i="36"/>
  <c r="M50" i="7"/>
  <c r="M50" i="36"/>
  <c r="M106" i="7"/>
  <c r="M106" i="36"/>
  <c r="M21" i="7"/>
  <c r="M21" i="36"/>
  <c r="M78"/>
  <c r="M78" i="7"/>
  <c r="M62"/>
  <c r="M62" i="36"/>
  <c r="M29" i="7"/>
  <c r="M29" i="36"/>
  <c r="M46"/>
  <c r="M46" i="7"/>
  <c r="M74"/>
  <c r="M74" i="36"/>
  <c r="M94" i="7"/>
  <c r="M94" i="36"/>
  <c r="B11"/>
  <c r="B11" i="7"/>
  <c r="M58"/>
  <c r="M58" i="36"/>
  <c r="M102" i="7"/>
  <c r="M102" i="36"/>
  <c r="M110"/>
  <c r="M110" i="7"/>
  <c r="AQ34" i="36"/>
  <c r="AQ56"/>
  <c r="AS117" i="7"/>
  <c r="D15" i="25" l="1"/>
  <c r="H15" i="21"/>
  <c r="H15" i="37"/>
  <c r="F15"/>
  <c r="F15" i="21"/>
  <c r="C15" i="25"/>
  <c r="Q4" i="7"/>
  <c r="AF118" i="36"/>
  <c r="O4" s="1"/>
  <c r="AU34" i="37"/>
  <c r="AU57"/>
  <c r="P58" i="40"/>
  <c r="D9" s="1"/>
  <c r="O3" i="36" l="1"/>
</calcChain>
</file>

<file path=xl/sharedStrings.xml><?xml version="1.0" encoding="utf-8"?>
<sst xmlns="http://schemas.openxmlformats.org/spreadsheetml/2006/main" count="1386" uniqueCount="559">
  <si>
    <t>所属コード</t>
  </si>
  <si>
    <t>学年</t>
  </si>
  <si>
    <t>カナ名</t>
  </si>
  <si>
    <t>性別</t>
  </si>
  <si>
    <t>個人所属地コード</t>
  </si>
  <si>
    <t>ナンバー</t>
  </si>
  <si>
    <t>自己記録3</t>
  </si>
  <si>
    <t>自己記録4</t>
  </si>
  <si>
    <t>自己記録5</t>
  </si>
  <si>
    <t>競技者コード</t>
  </si>
  <si>
    <t>掲示板名</t>
  </si>
  <si>
    <t>所属地コード</t>
    <rPh sb="0" eb="2">
      <t>ショゾク</t>
    </rPh>
    <rPh sb="2" eb="3">
      <t>チ</t>
    </rPh>
    <phoneticPr fontId="4"/>
  </si>
  <si>
    <t>生年月日(年)</t>
  </si>
  <si>
    <t>オープン参加フラグ</t>
  </si>
  <si>
    <t>種目</t>
    <rPh sb="0" eb="2">
      <t>シュモク</t>
    </rPh>
    <phoneticPr fontId="5"/>
  </si>
  <si>
    <t>所属</t>
  </si>
  <si>
    <t>走高跳</t>
    <rPh sb="0" eb="1">
      <t>ハシ</t>
    </rPh>
    <rPh sb="1" eb="3">
      <t>タカトビ</t>
    </rPh>
    <phoneticPr fontId="5"/>
  </si>
  <si>
    <t>三段跳</t>
    <rPh sb="0" eb="3">
      <t>サンダント</t>
    </rPh>
    <phoneticPr fontId="5"/>
  </si>
  <si>
    <t>学校番号</t>
    <rPh sb="0" eb="2">
      <t>ガッコウ</t>
    </rPh>
    <rPh sb="2" eb="4">
      <t>バンゴウ</t>
    </rPh>
    <phoneticPr fontId="3"/>
  </si>
  <si>
    <t>走幅跳</t>
    <rPh sb="0" eb="1">
      <t>ハシ</t>
    </rPh>
    <rPh sb="1" eb="3">
      <t>ハバト</t>
    </rPh>
    <phoneticPr fontId="5"/>
  </si>
  <si>
    <t>棒高跳</t>
    <rPh sb="0" eb="3">
      <t>ボウタカト</t>
    </rPh>
    <phoneticPr fontId="5"/>
  </si>
  <si>
    <t>砲丸投</t>
    <rPh sb="0" eb="3">
      <t>ホウガンナ</t>
    </rPh>
    <phoneticPr fontId="5"/>
  </si>
  <si>
    <t>円盤投</t>
    <rPh sb="0" eb="2">
      <t>エンバン</t>
    </rPh>
    <rPh sb="2" eb="3">
      <t>ナ</t>
    </rPh>
    <phoneticPr fontId="5"/>
  </si>
  <si>
    <t>三段跳</t>
    <rPh sb="0" eb="2">
      <t>サンダン</t>
    </rPh>
    <rPh sb="2" eb="3">
      <t>ト</t>
    </rPh>
    <phoneticPr fontId="5"/>
  </si>
  <si>
    <t>砲丸投</t>
    <rPh sb="0" eb="2">
      <t>ホウガン</t>
    </rPh>
    <rPh sb="2" eb="3">
      <t>ナ</t>
    </rPh>
    <phoneticPr fontId="5"/>
  </si>
  <si>
    <t>下記順序で入力願います。</t>
    <rPh sb="0" eb="2">
      <t>カキ</t>
    </rPh>
    <rPh sb="2" eb="4">
      <t>ジュンジョ</t>
    </rPh>
    <rPh sb="5" eb="7">
      <t>ニュウリョク</t>
    </rPh>
    <rPh sb="7" eb="8">
      <t>ネガ</t>
    </rPh>
    <phoneticPr fontId="5"/>
  </si>
  <si>
    <t>入力方法</t>
    <rPh sb="0" eb="2">
      <t>ニュウリョク</t>
    </rPh>
    <rPh sb="2" eb="4">
      <t>ホウホウ</t>
    </rPh>
    <phoneticPr fontId="5"/>
  </si>
  <si>
    <t>セルを左クリックすれば種目選択がでますので、該当種目を選んで下さい。</t>
    <rPh sb="3" eb="4">
      <t>ヒダリ</t>
    </rPh>
    <rPh sb="11" eb="13">
      <t>シュモク</t>
    </rPh>
    <rPh sb="13" eb="15">
      <t>センタク</t>
    </rPh>
    <rPh sb="22" eb="24">
      <t>ガイトウ</t>
    </rPh>
    <rPh sb="24" eb="26">
      <t>シュモク</t>
    </rPh>
    <rPh sb="27" eb="28">
      <t>エラ</t>
    </rPh>
    <rPh sb="30" eb="31">
      <t>クダ</t>
    </rPh>
    <phoneticPr fontId="5"/>
  </si>
  <si>
    <t>リターンキーを押すと下のセルに移動すると思います。</t>
    <rPh sb="7" eb="8">
      <t>オ</t>
    </rPh>
    <rPh sb="10" eb="11">
      <t>シタ</t>
    </rPh>
    <rPh sb="15" eb="17">
      <t>イドウ</t>
    </rPh>
    <rPh sb="20" eb="21">
      <t>オモ</t>
    </rPh>
    <phoneticPr fontId="5"/>
  </si>
  <si>
    <t>青のセルは記録入力です。トラックの記録は下記の様に入力して下さい。</t>
    <rPh sb="0" eb="1">
      <t>アオ</t>
    </rPh>
    <rPh sb="5" eb="7">
      <t>キロク</t>
    </rPh>
    <rPh sb="7" eb="9">
      <t>ニュウリョク</t>
    </rPh>
    <rPh sb="17" eb="19">
      <t>キロク</t>
    </rPh>
    <rPh sb="20" eb="22">
      <t>カキ</t>
    </rPh>
    <rPh sb="23" eb="24">
      <t>ヨウ</t>
    </rPh>
    <rPh sb="25" eb="27">
      <t>ニュウリョク</t>
    </rPh>
    <rPh sb="29" eb="30">
      <t>クダ</t>
    </rPh>
    <phoneticPr fontId="5"/>
  </si>
  <si>
    <t>10秒０１</t>
    <rPh sb="2" eb="3">
      <t>ビョウ</t>
    </rPh>
    <phoneticPr fontId="5"/>
  </si>
  <si>
    <t>→</t>
    <phoneticPr fontId="5"/>
  </si>
  <si>
    <t>１１秒１</t>
    <rPh sb="2" eb="3">
      <t>ビョウ</t>
    </rPh>
    <phoneticPr fontId="5"/>
  </si>
  <si>
    <t>１分５８秒２３</t>
    <rPh sb="1" eb="2">
      <t>プン</t>
    </rPh>
    <rPh sb="4" eb="5">
      <t>ビョウ</t>
    </rPh>
    <phoneticPr fontId="5"/>
  </si>
  <si>
    <t>7m50</t>
    <phoneticPr fontId="5"/>
  </si>
  <si>
    <t>62m50</t>
    <phoneticPr fontId="5"/>
  </si>
  <si>
    <t>1m90</t>
    <phoneticPr fontId="5"/>
  </si>
  <si>
    <t>学年</t>
    <rPh sb="0" eb="2">
      <t>ガクネン</t>
    </rPh>
    <phoneticPr fontId="5"/>
  </si>
  <si>
    <t>１分５８秒３</t>
    <rPh sb="1" eb="2">
      <t>プン</t>
    </rPh>
    <rPh sb="4" eb="5">
      <t>ビョウ</t>
    </rPh>
    <phoneticPr fontId="5"/>
  </si>
  <si>
    <t>所属はセレクトで選んで下さい。</t>
    <rPh sb="0" eb="2">
      <t>ショゾク</t>
    </rPh>
    <rPh sb="8" eb="9">
      <t>エラ</t>
    </rPh>
    <rPh sb="11" eb="12">
      <t>クダ</t>
    </rPh>
    <phoneticPr fontId="5"/>
  </si>
  <si>
    <t>1年100</t>
    <rPh sb="1" eb="2">
      <t>ネン</t>
    </rPh>
    <phoneticPr fontId="5"/>
  </si>
  <si>
    <t>1年1500</t>
    <rPh sb="1" eb="2">
      <t>ネン</t>
    </rPh>
    <phoneticPr fontId="5"/>
  </si>
  <si>
    <t>2年100</t>
    <rPh sb="1" eb="2">
      <t>ネン</t>
    </rPh>
    <phoneticPr fontId="5"/>
  </si>
  <si>
    <t>2年1500</t>
    <rPh sb="1" eb="2">
      <t>ネン</t>
    </rPh>
    <phoneticPr fontId="5"/>
  </si>
  <si>
    <t>低学年R</t>
    <rPh sb="0" eb="3">
      <t>テイガクネン</t>
    </rPh>
    <phoneticPr fontId="5"/>
  </si>
  <si>
    <t>5年100</t>
    <rPh sb="1" eb="2">
      <t>ネン</t>
    </rPh>
    <phoneticPr fontId="5"/>
  </si>
  <si>
    <t>6年100</t>
    <rPh sb="1" eb="2">
      <t>ネン</t>
    </rPh>
    <phoneticPr fontId="5"/>
  </si>
  <si>
    <t>種目3</t>
    <rPh sb="0" eb="2">
      <t>シュモク</t>
    </rPh>
    <phoneticPr fontId="5"/>
  </si>
  <si>
    <t>種目4</t>
    <rPh sb="0" eb="2">
      <t>シュモク</t>
    </rPh>
    <phoneticPr fontId="5"/>
  </si>
  <si>
    <t>種目5</t>
    <rPh sb="0" eb="2">
      <t>シュモク</t>
    </rPh>
    <phoneticPr fontId="5"/>
  </si>
  <si>
    <t>高校100</t>
    <rPh sb="0" eb="2">
      <t>コウコウ</t>
    </rPh>
    <phoneticPr fontId="5"/>
  </si>
  <si>
    <t>高校3000</t>
    <rPh sb="0" eb="2">
      <t>コウコウ</t>
    </rPh>
    <phoneticPr fontId="5"/>
  </si>
  <si>
    <t>B-100</t>
    <phoneticPr fontId="5"/>
  </si>
  <si>
    <t>B-走高跳</t>
    <rPh sb="2" eb="3">
      <t>ハシ</t>
    </rPh>
    <rPh sb="3" eb="5">
      <t>タカトビ</t>
    </rPh>
    <phoneticPr fontId="5"/>
  </si>
  <si>
    <t>B-砲丸投</t>
    <rPh sb="2" eb="4">
      <t>ホウガン</t>
    </rPh>
    <rPh sb="4" eb="5">
      <t>ナ</t>
    </rPh>
    <phoneticPr fontId="5"/>
  </si>
  <si>
    <t>C-走幅跳</t>
    <rPh sb="2" eb="3">
      <t>ハシ</t>
    </rPh>
    <rPh sb="3" eb="5">
      <t>ハバト</t>
    </rPh>
    <phoneticPr fontId="5"/>
  </si>
  <si>
    <t>円盤投</t>
    <rPh sb="0" eb="3">
      <t>エンバンナ</t>
    </rPh>
    <phoneticPr fontId="5"/>
  </si>
  <si>
    <t>C-砲丸投</t>
    <rPh sb="2" eb="4">
      <t>ホウガン</t>
    </rPh>
    <rPh sb="4" eb="5">
      <t>ナ</t>
    </rPh>
    <phoneticPr fontId="5"/>
  </si>
  <si>
    <t>四種</t>
    <rPh sb="0" eb="2">
      <t>４シュ</t>
    </rPh>
    <phoneticPr fontId="5"/>
  </si>
  <si>
    <t>出場する選手のみ、種目を選んでいただき、記録を記入していただくだけです。</t>
    <rPh sb="0" eb="2">
      <t>シュツジョウ</t>
    </rPh>
    <rPh sb="4" eb="6">
      <t>センシュ</t>
    </rPh>
    <rPh sb="9" eb="11">
      <t>シュモク</t>
    </rPh>
    <rPh sb="12" eb="13">
      <t>エラ</t>
    </rPh>
    <rPh sb="20" eb="22">
      <t>キロク</t>
    </rPh>
    <rPh sb="23" eb="25">
      <t>キニュウ</t>
    </rPh>
    <phoneticPr fontId="5"/>
  </si>
  <si>
    <t>申込み送付時の注意点</t>
    <rPh sb="0" eb="2">
      <t>モウシコ</t>
    </rPh>
    <rPh sb="3" eb="5">
      <t>ソウフ</t>
    </rPh>
    <rPh sb="5" eb="6">
      <t>ジ</t>
    </rPh>
    <rPh sb="7" eb="10">
      <t>チュウイテン</t>
    </rPh>
    <phoneticPr fontId="5"/>
  </si>
  <si>
    <t>参考事項</t>
    <rPh sb="0" eb="2">
      <t>サンコウ</t>
    </rPh>
    <rPh sb="2" eb="4">
      <t>ジコウ</t>
    </rPh>
    <phoneticPr fontId="5"/>
  </si>
  <si>
    <t>コード</t>
    <phoneticPr fontId="5"/>
  </si>
  <si>
    <t>記録3</t>
    <phoneticPr fontId="5"/>
  </si>
  <si>
    <t>自己記録4</t>
    <phoneticPr fontId="5"/>
  </si>
  <si>
    <t>自己記録5</t>
    <phoneticPr fontId="5"/>
  </si>
  <si>
    <t>A</t>
    <phoneticPr fontId="5"/>
  </si>
  <si>
    <t>B</t>
    <phoneticPr fontId="5"/>
  </si>
  <si>
    <t>C</t>
    <phoneticPr fontId="5"/>
  </si>
  <si>
    <t>Tabキーで横の欄に移動して下さい</t>
    <rPh sb="6" eb="7">
      <t>ヨコ</t>
    </rPh>
    <rPh sb="8" eb="9">
      <t>ラン</t>
    </rPh>
    <rPh sb="10" eb="12">
      <t>イドウ</t>
    </rPh>
    <rPh sb="14" eb="15">
      <t>クダ</t>
    </rPh>
    <phoneticPr fontId="5"/>
  </si>
  <si>
    <t>記録</t>
    <phoneticPr fontId="5"/>
  </si>
  <si>
    <t>名　前</t>
    <rPh sb="0" eb="1">
      <t>ナ</t>
    </rPh>
    <rPh sb="2" eb="3">
      <t>マエ</t>
    </rPh>
    <phoneticPr fontId="5"/>
  </si>
  <si>
    <t>名前</t>
    <rPh sb="0" eb="2">
      <t>ナマエ</t>
    </rPh>
    <phoneticPr fontId="5"/>
  </si>
  <si>
    <t>NOを全部エントリーしていただきます。（名前の空白は空白で構いません。出場しない選手も申し込む）</t>
    <rPh sb="3" eb="5">
      <t>ゼンブ</t>
    </rPh>
    <rPh sb="20" eb="22">
      <t>ナマエ</t>
    </rPh>
    <rPh sb="23" eb="25">
      <t>クウハク</t>
    </rPh>
    <rPh sb="26" eb="28">
      <t>クウハク</t>
    </rPh>
    <rPh sb="29" eb="30">
      <t>カマ</t>
    </rPh>
    <rPh sb="35" eb="37">
      <t>シュツジョウ</t>
    </rPh>
    <rPh sb="40" eb="42">
      <t>センシュ</t>
    </rPh>
    <rPh sb="43" eb="44">
      <t>モウ</t>
    </rPh>
    <rPh sb="45" eb="46">
      <t>コ</t>
    </rPh>
    <phoneticPr fontId="5"/>
  </si>
  <si>
    <t>連続番号で記入願います。名前の空きは構いません。</t>
    <rPh sb="0" eb="2">
      <t>レンゾク</t>
    </rPh>
    <rPh sb="2" eb="4">
      <t>バンゴウ</t>
    </rPh>
    <rPh sb="5" eb="7">
      <t>キニュウ</t>
    </rPh>
    <rPh sb="7" eb="8">
      <t>ネガ</t>
    </rPh>
    <rPh sb="12" eb="14">
      <t>ナマエ</t>
    </rPh>
    <rPh sb="15" eb="16">
      <t>ア</t>
    </rPh>
    <rPh sb="18" eb="19">
      <t>カマ</t>
    </rPh>
    <phoneticPr fontId="5"/>
  </si>
  <si>
    <t>リレー</t>
    <phoneticPr fontId="5"/>
  </si>
  <si>
    <t>記録</t>
    <phoneticPr fontId="5"/>
  </si>
  <si>
    <t>コード</t>
    <phoneticPr fontId="5"/>
  </si>
  <si>
    <t>リレー</t>
    <phoneticPr fontId="5"/>
  </si>
  <si>
    <t>記録</t>
    <phoneticPr fontId="5"/>
  </si>
  <si>
    <t>記録3</t>
    <phoneticPr fontId="5"/>
  </si>
  <si>
    <t>自己記録4</t>
    <phoneticPr fontId="5"/>
  </si>
  <si>
    <t>自己記録5</t>
    <phoneticPr fontId="5"/>
  </si>
  <si>
    <t>注意事項</t>
    <rPh sb="0" eb="2">
      <t>チュウイ</t>
    </rPh>
    <rPh sb="2" eb="4">
      <t>ジコウ</t>
    </rPh>
    <phoneticPr fontId="5"/>
  </si>
  <si>
    <t>国体1次高校県選</t>
    <rPh sb="0" eb="2">
      <t>コクタイ</t>
    </rPh>
    <rPh sb="3" eb="4">
      <t>ジ</t>
    </rPh>
    <rPh sb="4" eb="6">
      <t>コウコウ</t>
    </rPh>
    <rPh sb="6" eb="7">
      <t>ケン</t>
    </rPh>
    <rPh sb="7" eb="8">
      <t>セン</t>
    </rPh>
    <phoneticPr fontId="5"/>
  </si>
  <si>
    <t>通信</t>
    <rPh sb="0" eb="2">
      <t>ツウシン</t>
    </rPh>
    <phoneticPr fontId="5"/>
  </si>
  <si>
    <t>中学混成</t>
    <rPh sb="0" eb="2">
      <t>チュウガク</t>
    </rPh>
    <rPh sb="2" eb="4">
      <t>コンセイ</t>
    </rPh>
    <phoneticPr fontId="5"/>
  </si>
  <si>
    <t>リレーカーニバル</t>
    <phoneticPr fontId="5"/>
  </si>
  <si>
    <t>中学選抜</t>
    <rPh sb="0" eb="2">
      <t>チュウガク</t>
    </rPh>
    <rPh sb="2" eb="4">
      <t>センバツ</t>
    </rPh>
    <phoneticPr fontId="5"/>
  </si>
  <si>
    <t>中学県大会</t>
    <rPh sb="0" eb="2">
      <t>チュウガク</t>
    </rPh>
    <rPh sb="2" eb="3">
      <t>ケン</t>
    </rPh>
    <rPh sb="3" eb="5">
      <t>タイカイ</t>
    </rPh>
    <phoneticPr fontId="5"/>
  </si>
  <si>
    <t>棒高跳</t>
    <rPh sb="0" eb="1">
      <t>ボウ</t>
    </rPh>
    <rPh sb="1" eb="3">
      <t>タカト</t>
    </rPh>
    <phoneticPr fontId="5"/>
  </si>
  <si>
    <t>110H</t>
    <phoneticPr fontId="5"/>
  </si>
  <si>
    <t>混成リレー</t>
    <rPh sb="0" eb="2">
      <t>コンセイ</t>
    </rPh>
    <phoneticPr fontId="5"/>
  </si>
  <si>
    <t>4×200R</t>
    <phoneticPr fontId="5"/>
  </si>
  <si>
    <t>4×100R</t>
    <phoneticPr fontId="5"/>
  </si>
  <si>
    <t>ｼﾞｬﾍﾞﾘｯｸ</t>
    <phoneticPr fontId="5"/>
  </si>
  <si>
    <t>やり投</t>
    <rPh sb="2" eb="3">
      <t>ナ</t>
    </rPh>
    <phoneticPr fontId="5"/>
  </si>
  <si>
    <t>ロードレース</t>
    <phoneticPr fontId="5"/>
  </si>
  <si>
    <t>ハンマー投</t>
    <rPh sb="4" eb="5">
      <t>ナ</t>
    </rPh>
    <phoneticPr fontId="5"/>
  </si>
  <si>
    <t>ｼﾞｬﾍﾞﾘｯｸ</t>
    <phoneticPr fontId="5"/>
  </si>
  <si>
    <t>7種</t>
    <rPh sb="1" eb="2">
      <t>シュ</t>
    </rPh>
    <phoneticPr fontId="5"/>
  </si>
  <si>
    <t>三重陸協主催大会の</t>
    <rPh sb="0" eb="2">
      <t>ミエ</t>
    </rPh>
    <rPh sb="2" eb="3">
      <t>リク</t>
    </rPh>
    <rPh sb="3" eb="4">
      <t>キョウ</t>
    </rPh>
    <rPh sb="4" eb="6">
      <t>シュサイ</t>
    </rPh>
    <rPh sb="6" eb="8">
      <t>タイカイ</t>
    </rPh>
    <phoneticPr fontId="5"/>
  </si>
  <si>
    <t>振込先</t>
    <rPh sb="0" eb="2">
      <t>フリコ</t>
    </rPh>
    <rPh sb="2" eb="3">
      <t>サキ</t>
    </rPh>
    <phoneticPr fontId="5"/>
  </si>
  <si>
    <t>順序①</t>
    <rPh sb="0" eb="2">
      <t>ジュンジョ</t>
    </rPh>
    <phoneticPr fontId="5"/>
  </si>
  <si>
    <t>順序②</t>
    <rPh sb="0" eb="2">
      <t>ジュンジョ</t>
    </rPh>
    <phoneticPr fontId="5"/>
  </si>
  <si>
    <t>メール送付先</t>
    <rPh sb="3" eb="5">
      <t>ソウフ</t>
    </rPh>
    <rPh sb="5" eb="6">
      <t>サキ</t>
    </rPh>
    <phoneticPr fontId="5"/>
  </si>
  <si>
    <t>男子</t>
    <rPh sb="0" eb="2">
      <t>ダンシ</t>
    </rPh>
    <phoneticPr fontId="5"/>
  </si>
  <si>
    <t>監督名</t>
    <rPh sb="0" eb="2">
      <t>カントク</t>
    </rPh>
    <rPh sb="2" eb="3">
      <t>メイ</t>
    </rPh>
    <phoneticPr fontId="5"/>
  </si>
  <si>
    <t>女子</t>
    <rPh sb="0" eb="2">
      <t>ジョシ</t>
    </rPh>
    <phoneticPr fontId="5"/>
  </si>
  <si>
    <t>大会参加料　振込票貼付用紙</t>
    <rPh sb="0" eb="2">
      <t>タイカイ</t>
    </rPh>
    <rPh sb="2" eb="4">
      <t>サンカ</t>
    </rPh>
    <rPh sb="4" eb="5">
      <t>リョウ</t>
    </rPh>
    <rPh sb="6" eb="8">
      <t>フリコミ</t>
    </rPh>
    <rPh sb="8" eb="9">
      <t>ヒョウ</t>
    </rPh>
    <rPh sb="9" eb="11">
      <t>ハリツケ</t>
    </rPh>
    <rPh sb="11" eb="13">
      <t>ヨウシ</t>
    </rPh>
    <phoneticPr fontId="22"/>
  </si>
  <si>
    <t>所属名</t>
    <rPh sb="0" eb="2">
      <t>ショゾク</t>
    </rPh>
    <rPh sb="2" eb="3">
      <t>メイ</t>
    </rPh>
    <phoneticPr fontId="22"/>
  </si>
  <si>
    <t>大会名</t>
    <rPh sb="0" eb="2">
      <t>タイカイ</t>
    </rPh>
    <rPh sb="2" eb="3">
      <t>メイ</t>
    </rPh>
    <phoneticPr fontId="22"/>
  </si>
  <si>
    <t>所属NO</t>
  </si>
  <si>
    <t>所属名</t>
  </si>
  <si>
    <t>所属名略称</t>
  </si>
  <si>
    <t>所属地NO</t>
  </si>
  <si>
    <t>1.58.20</t>
    <phoneticPr fontId="5"/>
  </si>
  <si>
    <t>1.58.30</t>
    <phoneticPr fontId="5"/>
  </si>
  <si>
    <t>フィールド入力は全てmをいれて下さい（半角）</t>
    <rPh sb="5" eb="7">
      <t>ニュウリョク</t>
    </rPh>
    <rPh sb="8" eb="9">
      <t>スベ</t>
    </rPh>
    <rPh sb="15" eb="16">
      <t>クダ</t>
    </rPh>
    <rPh sb="19" eb="21">
      <t>ハンカク</t>
    </rPh>
    <phoneticPr fontId="5"/>
  </si>
  <si>
    <t>A・Bがある場合も種目だけで構いません。</t>
    <rPh sb="6" eb="8">
      <t>バアイ</t>
    </rPh>
    <rPh sb="9" eb="11">
      <t>シュモク</t>
    </rPh>
    <rPh sb="14" eb="15">
      <t>カマ</t>
    </rPh>
    <phoneticPr fontId="5"/>
  </si>
  <si>
    <r>
      <t>リレー種目は種目のみを入力して下さい。</t>
    </r>
    <r>
      <rPr>
        <b/>
        <u/>
        <sz val="11"/>
        <color indexed="10"/>
        <rFont val="ＭＳ Ｐゴシック"/>
        <family val="3"/>
        <charset val="128"/>
      </rPr>
      <t>忘れないように</t>
    </r>
    <rPh sb="3" eb="5">
      <t>シュモク</t>
    </rPh>
    <rPh sb="6" eb="8">
      <t>シュモク</t>
    </rPh>
    <rPh sb="11" eb="13">
      <t>ニュウリョク</t>
    </rPh>
    <rPh sb="15" eb="16">
      <t>クダ</t>
    </rPh>
    <rPh sb="19" eb="20">
      <t>ワス</t>
    </rPh>
    <phoneticPr fontId="5"/>
  </si>
  <si>
    <t>全ての大会をメール申込といたします。</t>
    <rPh sb="0" eb="1">
      <t>スベ</t>
    </rPh>
    <rPh sb="3" eb="5">
      <t>タイカイ</t>
    </rPh>
    <rPh sb="9" eb="11">
      <t>モウシコミ</t>
    </rPh>
    <phoneticPr fontId="5"/>
  </si>
  <si>
    <t>5･6年1000</t>
    <rPh sb="3" eb="4">
      <t>ネン</t>
    </rPh>
    <phoneticPr fontId="5"/>
  </si>
  <si>
    <t>5･6年80H</t>
    <rPh sb="3" eb="4">
      <t>ネン</t>
    </rPh>
    <phoneticPr fontId="5"/>
  </si>
  <si>
    <t>5･6年走幅跳</t>
    <rPh sb="3" eb="4">
      <t>ネン</t>
    </rPh>
    <rPh sb="4" eb="5">
      <t>ハシ</t>
    </rPh>
    <rPh sb="5" eb="7">
      <t>ハバト</t>
    </rPh>
    <phoneticPr fontId="5"/>
  </si>
  <si>
    <t>5･6年ボール投</t>
    <rPh sb="3" eb="4">
      <t>ネン</t>
    </rPh>
    <rPh sb="7" eb="8">
      <t>ナ</t>
    </rPh>
    <phoneticPr fontId="5"/>
  </si>
  <si>
    <t>5･6年4×100R</t>
    <rPh sb="3" eb="4">
      <t>ネン</t>
    </rPh>
    <phoneticPr fontId="5"/>
  </si>
  <si>
    <t>少年3000</t>
    <rPh sb="0" eb="2">
      <t>ショウネン</t>
    </rPh>
    <phoneticPr fontId="5"/>
  </si>
  <si>
    <t>少年砲丸投</t>
    <rPh sb="0" eb="1">
      <t>ショウ</t>
    </rPh>
    <rPh sb="1" eb="2">
      <t>ネン</t>
    </rPh>
    <rPh sb="2" eb="5">
      <t>ホウガンナ</t>
    </rPh>
    <phoneticPr fontId="5"/>
  </si>
  <si>
    <t>少年円盤投</t>
    <rPh sb="0" eb="2">
      <t>ショウネン</t>
    </rPh>
    <rPh sb="2" eb="4">
      <t>エンバン</t>
    </rPh>
    <rPh sb="4" eb="5">
      <t>ナ</t>
    </rPh>
    <phoneticPr fontId="5"/>
  </si>
  <si>
    <t>少年ハンマー投</t>
    <rPh sb="0" eb="2">
      <t>ショウネン</t>
    </rPh>
    <rPh sb="6" eb="7">
      <t>ナ</t>
    </rPh>
    <phoneticPr fontId="5"/>
  </si>
  <si>
    <t>少年B110JH</t>
    <rPh sb="0" eb="2">
      <t>ショウネン</t>
    </rPh>
    <phoneticPr fontId="5"/>
  </si>
  <si>
    <t>1年800</t>
    <rPh sb="1" eb="2">
      <t>ネン</t>
    </rPh>
    <phoneticPr fontId="5"/>
  </si>
  <si>
    <t>少年B100H</t>
    <rPh sb="0" eb="2">
      <t>ショウネン</t>
    </rPh>
    <phoneticPr fontId="5"/>
  </si>
  <si>
    <t>中学男子5ｋ</t>
    <rPh sb="0" eb="2">
      <t>チュウガク</t>
    </rPh>
    <rPh sb="2" eb="4">
      <t>ダンシ</t>
    </rPh>
    <phoneticPr fontId="5"/>
  </si>
  <si>
    <t>中学女子3ｋ</t>
    <rPh sb="0" eb="2">
      <t>チュウガク</t>
    </rPh>
    <rPh sb="2" eb="3">
      <t>オンナ</t>
    </rPh>
    <rPh sb="3" eb="4">
      <t>コ</t>
    </rPh>
    <phoneticPr fontId="5"/>
  </si>
  <si>
    <t>学校長</t>
    <rPh sb="0" eb="3">
      <t>ガッコウチョウ</t>
    </rPh>
    <phoneticPr fontId="5"/>
  </si>
  <si>
    <t>少年Aハンマー投</t>
    <rPh sb="0" eb="2">
      <t>ショウネン</t>
    </rPh>
    <rPh sb="7" eb="8">
      <t>ナ</t>
    </rPh>
    <phoneticPr fontId="5"/>
  </si>
  <si>
    <t>高校110JH</t>
    <rPh sb="0" eb="2">
      <t>コウコウ</t>
    </rPh>
    <phoneticPr fontId="5"/>
  </si>
  <si>
    <t>高校走幅跳</t>
    <rPh sb="0" eb="2">
      <t>コウコウ</t>
    </rPh>
    <rPh sb="2" eb="3">
      <t>ハシ</t>
    </rPh>
    <rPh sb="3" eb="5">
      <t>ハバト</t>
    </rPh>
    <phoneticPr fontId="5"/>
  </si>
  <si>
    <t>高校円盤投</t>
    <rPh sb="0" eb="2">
      <t>コウコウ</t>
    </rPh>
    <rPh sb="2" eb="4">
      <t>エンバン</t>
    </rPh>
    <rPh sb="4" eb="5">
      <t>ナ</t>
    </rPh>
    <phoneticPr fontId="5"/>
  </si>
  <si>
    <t>A-100</t>
    <phoneticPr fontId="5"/>
  </si>
  <si>
    <t>A-200</t>
    <phoneticPr fontId="5"/>
  </si>
  <si>
    <t>A-400</t>
    <phoneticPr fontId="5"/>
  </si>
  <si>
    <t>A-800</t>
    <phoneticPr fontId="5"/>
  </si>
  <si>
    <t>A-3000</t>
    <phoneticPr fontId="5"/>
  </si>
  <si>
    <t>A-110H</t>
    <phoneticPr fontId="5"/>
  </si>
  <si>
    <t>A-走高跳</t>
    <rPh sb="2" eb="3">
      <t>ハシ</t>
    </rPh>
    <rPh sb="3" eb="5">
      <t>タカトビ</t>
    </rPh>
    <phoneticPr fontId="5"/>
  </si>
  <si>
    <t>A-砲丸投</t>
    <rPh sb="2" eb="4">
      <t>ホウガン</t>
    </rPh>
    <rPh sb="4" eb="5">
      <t>ナ</t>
    </rPh>
    <phoneticPr fontId="5"/>
  </si>
  <si>
    <t>B-100</t>
    <phoneticPr fontId="5"/>
  </si>
  <si>
    <t>B-1500</t>
    <phoneticPr fontId="5"/>
  </si>
  <si>
    <t>B-110H</t>
    <phoneticPr fontId="5"/>
  </si>
  <si>
    <t>B-走幅跳</t>
    <rPh sb="2" eb="3">
      <t>ハシ</t>
    </rPh>
    <rPh sb="3" eb="5">
      <t>ハバト</t>
    </rPh>
    <phoneticPr fontId="5"/>
  </si>
  <si>
    <t>C-100</t>
    <phoneticPr fontId="5"/>
  </si>
  <si>
    <t>C-100H</t>
    <phoneticPr fontId="5"/>
  </si>
  <si>
    <t>AB円盤投</t>
    <rPh sb="2" eb="4">
      <t>エンバン</t>
    </rPh>
    <rPh sb="4" eb="5">
      <t>ナ</t>
    </rPh>
    <phoneticPr fontId="5"/>
  </si>
  <si>
    <t>高校100H</t>
    <rPh sb="0" eb="2">
      <t>コウコウ</t>
    </rPh>
    <phoneticPr fontId="5"/>
  </si>
  <si>
    <t>高校円盤投</t>
    <rPh sb="0" eb="2">
      <t>コウコウ</t>
    </rPh>
    <rPh sb="2" eb="5">
      <t>エンバンナ</t>
    </rPh>
    <phoneticPr fontId="5"/>
  </si>
  <si>
    <t>A-100H</t>
    <phoneticPr fontId="5"/>
  </si>
  <si>
    <t>B-1500</t>
    <phoneticPr fontId="5"/>
  </si>
  <si>
    <t>B-100H</t>
    <phoneticPr fontId="5"/>
  </si>
  <si>
    <t>ABｼﾞｬﾍﾞﾘｯｸ</t>
    <phoneticPr fontId="5"/>
  </si>
  <si>
    <t>ジュニアO</t>
    <phoneticPr fontId="5"/>
  </si>
  <si>
    <t>A-100</t>
    <phoneticPr fontId="5"/>
  </si>
  <si>
    <t>A-3000</t>
    <phoneticPr fontId="5"/>
  </si>
  <si>
    <t>A-110H</t>
    <phoneticPr fontId="5"/>
  </si>
  <si>
    <t>5000W</t>
    <phoneticPr fontId="5"/>
  </si>
  <si>
    <t>4×100</t>
    <phoneticPr fontId="5"/>
  </si>
  <si>
    <t>4×400</t>
    <phoneticPr fontId="5"/>
  </si>
  <si>
    <t>100H</t>
    <phoneticPr fontId="5"/>
  </si>
  <si>
    <t>A-100</t>
    <phoneticPr fontId="5"/>
  </si>
  <si>
    <t>A-200</t>
    <phoneticPr fontId="5"/>
  </si>
  <si>
    <t>A-100H</t>
    <phoneticPr fontId="5"/>
  </si>
  <si>
    <t>3000W</t>
    <phoneticPr fontId="5"/>
  </si>
  <si>
    <t>4×100</t>
    <phoneticPr fontId="5"/>
  </si>
  <si>
    <t>4×400</t>
    <phoneticPr fontId="5"/>
  </si>
  <si>
    <t>110H</t>
    <phoneticPr fontId="5"/>
  </si>
  <si>
    <t>A-200</t>
    <phoneticPr fontId="5"/>
  </si>
  <si>
    <t>400H</t>
    <phoneticPr fontId="5"/>
  </si>
  <si>
    <t>3000SC</t>
    <phoneticPr fontId="5"/>
  </si>
  <si>
    <t>ｼﾞｬﾍﾞﾘｯｸ</t>
    <phoneticPr fontId="5"/>
  </si>
  <si>
    <t>B-1500</t>
    <phoneticPr fontId="5"/>
  </si>
  <si>
    <t>B-110H</t>
    <phoneticPr fontId="5"/>
  </si>
  <si>
    <t>C-100</t>
    <phoneticPr fontId="5"/>
  </si>
  <si>
    <t>C-100H</t>
    <phoneticPr fontId="5"/>
  </si>
  <si>
    <t>100H</t>
    <phoneticPr fontId="5"/>
  </si>
  <si>
    <t>400H</t>
    <phoneticPr fontId="5"/>
  </si>
  <si>
    <t>B-100</t>
    <phoneticPr fontId="5"/>
  </si>
  <si>
    <t>C-100</t>
    <phoneticPr fontId="5"/>
  </si>
  <si>
    <t>中学女子3ｋ</t>
    <rPh sb="0" eb="1">
      <t>チュウ</t>
    </rPh>
    <rPh sb="1" eb="2">
      <t>ガク</t>
    </rPh>
    <rPh sb="2" eb="4">
      <t>ジョシ</t>
    </rPh>
    <phoneticPr fontId="5"/>
  </si>
  <si>
    <t>4×100Ｒ</t>
  </si>
  <si>
    <t>4×100R</t>
  </si>
  <si>
    <t>リレー記録記載欄</t>
    <rPh sb="3" eb="5">
      <t>キロク</t>
    </rPh>
    <rPh sb="5" eb="7">
      <t>キサイ</t>
    </rPh>
    <rPh sb="7" eb="8">
      <t>ラン</t>
    </rPh>
    <phoneticPr fontId="5"/>
  </si>
  <si>
    <t>中学男子5ｋ</t>
    <rPh sb="0" eb="1">
      <t>チュウ</t>
    </rPh>
    <rPh sb="1" eb="2">
      <t>ガク</t>
    </rPh>
    <rPh sb="2" eb="4">
      <t>ダンシ</t>
    </rPh>
    <phoneticPr fontId="5"/>
  </si>
  <si>
    <t>コーピーして張り付ける場合は、形式を選択して貼り付けを選んで下さい</t>
    <rPh sb="6" eb="7">
      <t>ハ</t>
    </rPh>
    <rPh sb="8" eb="9">
      <t>ツ</t>
    </rPh>
    <rPh sb="11" eb="13">
      <t>バアイ</t>
    </rPh>
    <rPh sb="15" eb="17">
      <t>ケイシキ</t>
    </rPh>
    <rPh sb="18" eb="20">
      <t>センタク</t>
    </rPh>
    <rPh sb="22" eb="23">
      <t>ハ</t>
    </rPh>
    <rPh sb="24" eb="25">
      <t>ツ</t>
    </rPh>
    <rPh sb="27" eb="28">
      <t>エラ</t>
    </rPh>
    <rPh sb="30" eb="31">
      <t>クダ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</si>
  <si>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</si>
  <si>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</si>
  <si>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大会名</t>
    <rPh sb="0" eb="2">
      <t>タイカイ</t>
    </rPh>
    <rPh sb="2" eb="3">
      <t>メイ</t>
    </rPh>
    <phoneticPr fontId="5"/>
  </si>
  <si>
    <t>印</t>
    <rPh sb="0" eb="1">
      <t>イン</t>
    </rPh>
    <phoneticPr fontId="5"/>
  </si>
  <si>
    <t>4×100mＲ</t>
    <phoneticPr fontId="5"/>
  </si>
  <si>
    <t>オーダー</t>
    <phoneticPr fontId="5"/>
  </si>
  <si>
    <t>男子A</t>
    <rPh sb="0" eb="2">
      <t>ダンシ</t>
    </rPh>
    <phoneticPr fontId="5"/>
  </si>
  <si>
    <t>男子B</t>
    <rPh sb="0" eb="2">
      <t>ダンシ</t>
    </rPh>
    <phoneticPr fontId="5"/>
  </si>
  <si>
    <t>男子C</t>
    <rPh sb="0" eb="2">
      <t>ダンシ</t>
    </rPh>
    <phoneticPr fontId="5"/>
  </si>
  <si>
    <t>女子A</t>
    <rPh sb="0" eb="2">
      <t>ジョシ</t>
    </rPh>
    <phoneticPr fontId="5"/>
  </si>
  <si>
    <t>女子B</t>
    <rPh sb="0" eb="2">
      <t>ジョシ</t>
    </rPh>
    <phoneticPr fontId="5"/>
  </si>
  <si>
    <t>女子C</t>
    <rPh sb="0" eb="2">
      <t>ジョシ</t>
    </rPh>
    <phoneticPr fontId="5"/>
  </si>
  <si>
    <t>4×100Ｒ</t>
    <phoneticPr fontId="5"/>
  </si>
  <si>
    <t>顧問名</t>
    <rPh sb="0" eb="2">
      <t>コモン</t>
    </rPh>
    <rPh sb="2" eb="3">
      <t>メイ</t>
    </rPh>
    <phoneticPr fontId="4"/>
  </si>
  <si>
    <t>顧問連絡先</t>
    <rPh sb="0" eb="2">
      <t>コモン</t>
    </rPh>
    <rPh sb="2" eb="5">
      <t>レンラクサキ</t>
    </rPh>
    <phoneticPr fontId="5"/>
  </si>
  <si>
    <t>三重県ジュニアオリンピック</t>
    <rPh sb="0" eb="3">
      <t>ミエケン</t>
    </rPh>
    <phoneticPr fontId="5"/>
  </si>
  <si>
    <t>種目別人数</t>
    <rPh sb="0" eb="2">
      <t>シュモク</t>
    </rPh>
    <rPh sb="2" eb="3">
      <t>ベツ</t>
    </rPh>
    <rPh sb="3" eb="5">
      <t>ニンズウ</t>
    </rPh>
    <phoneticPr fontId="5"/>
  </si>
  <si>
    <t>走高跳</t>
    <rPh sb="0" eb="1">
      <t>ハシ</t>
    </rPh>
    <rPh sb="1" eb="3">
      <t>タカト</t>
    </rPh>
    <phoneticPr fontId="5"/>
  </si>
  <si>
    <t>走幅跳</t>
    <rPh sb="0" eb="1">
      <t>ハシ</t>
    </rPh>
    <rPh sb="1" eb="3">
      <t>ハバトビ</t>
    </rPh>
    <phoneticPr fontId="5"/>
  </si>
  <si>
    <t>A-走高跳</t>
    <rPh sb="2" eb="3">
      <t>ハシ</t>
    </rPh>
    <rPh sb="3" eb="5">
      <t>タカト</t>
    </rPh>
    <phoneticPr fontId="5"/>
  </si>
  <si>
    <t>B-走幅跳</t>
    <rPh sb="2" eb="3">
      <t>ハシ</t>
    </rPh>
    <rPh sb="3" eb="4">
      <t>ハバ</t>
    </rPh>
    <rPh sb="4" eb="5">
      <t>ト</t>
    </rPh>
    <phoneticPr fontId="5"/>
  </si>
  <si>
    <t>C-走幅跳</t>
    <rPh sb="2" eb="3">
      <t>ハシ</t>
    </rPh>
    <rPh sb="3" eb="5">
      <t>ハバトビ</t>
    </rPh>
    <phoneticPr fontId="5"/>
  </si>
  <si>
    <t>A-走高跳</t>
    <rPh sb="2" eb="3">
      <t>ソウ</t>
    </rPh>
    <rPh sb="3" eb="5">
      <t>タカトビ</t>
    </rPh>
    <phoneticPr fontId="5"/>
  </si>
  <si>
    <t>B-走幅跳</t>
    <rPh sb="2" eb="3">
      <t>ハシ</t>
    </rPh>
    <rPh sb="3" eb="5">
      <t>ハバトビ</t>
    </rPh>
    <phoneticPr fontId="5"/>
  </si>
  <si>
    <t>参加標準記録</t>
    <rPh sb="0" eb="2">
      <t>サンカ</t>
    </rPh>
    <rPh sb="2" eb="4">
      <t>ヒョウジュン</t>
    </rPh>
    <rPh sb="4" eb="6">
      <t>キロク</t>
    </rPh>
    <phoneticPr fontId="5"/>
  </si>
  <si>
    <t>男子A(3年）</t>
    <rPh sb="0" eb="2">
      <t>ダンシ</t>
    </rPh>
    <rPh sb="5" eb="6">
      <t>ネン</t>
    </rPh>
    <phoneticPr fontId="5"/>
  </si>
  <si>
    <t>男子B(2年）</t>
    <rPh sb="0" eb="2">
      <t>ダンシ</t>
    </rPh>
    <rPh sb="5" eb="6">
      <t>ネン</t>
    </rPh>
    <phoneticPr fontId="5"/>
  </si>
  <si>
    <t>男子C(1年）</t>
    <rPh sb="0" eb="2">
      <t>ダンシ</t>
    </rPh>
    <rPh sb="5" eb="6">
      <t>ネン</t>
    </rPh>
    <phoneticPr fontId="5"/>
  </si>
  <si>
    <t>100H</t>
    <phoneticPr fontId="5"/>
  </si>
  <si>
    <t>女子A(3年）</t>
    <rPh sb="0" eb="2">
      <t>ジョシ</t>
    </rPh>
    <rPh sb="5" eb="6">
      <t>ネン</t>
    </rPh>
    <phoneticPr fontId="5"/>
  </si>
  <si>
    <t>女子B(2年）</t>
    <rPh sb="0" eb="2">
      <t>ジョシ</t>
    </rPh>
    <rPh sb="5" eb="6">
      <t>ネン</t>
    </rPh>
    <phoneticPr fontId="5"/>
  </si>
  <si>
    <t>女子C(1年）</t>
    <rPh sb="0" eb="2">
      <t>ジョシ</t>
    </rPh>
    <rPh sb="5" eb="6">
      <t>ネン</t>
    </rPh>
    <phoneticPr fontId="5"/>
  </si>
  <si>
    <t>男</t>
    <rPh sb="0" eb="1">
      <t>オトコ</t>
    </rPh>
    <phoneticPr fontId="4"/>
  </si>
  <si>
    <t>女</t>
    <rPh sb="0" eb="1">
      <t>オンナ</t>
    </rPh>
    <phoneticPr fontId="4"/>
  </si>
  <si>
    <t>コード</t>
  </si>
  <si>
    <t>選　手</t>
    <rPh sb="0" eb="1">
      <t>セン</t>
    </rPh>
    <rPh sb="2" eb="3">
      <t>テ</t>
    </rPh>
    <phoneticPr fontId="5"/>
  </si>
  <si>
    <t>大会参加費</t>
    <rPh sb="0" eb="2">
      <t>タイカイ</t>
    </rPh>
    <rPh sb="2" eb="4">
      <t>サンカ</t>
    </rPh>
    <rPh sb="4" eb="5">
      <t>ヒ</t>
    </rPh>
    <phoneticPr fontId="5"/>
  </si>
  <si>
    <t>1種目</t>
    <rPh sb="1" eb="3">
      <t>シュモク</t>
    </rPh>
    <phoneticPr fontId="5"/>
  </si>
  <si>
    <t>2種目</t>
    <rPh sb="1" eb="3">
      <t>シュモク</t>
    </rPh>
    <phoneticPr fontId="5"/>
  </si>
  <si>
    <t>注意　大会シート上でNo及び名前が入力できないとの問合せがありますが、選手入力で入力すれば解決します。</t>
    <rPh sb="0" eb="2">
      <t>チュウイ</t>
    </rPh>
    <rPh sb="3" eb="5">
      <t>タイカイ</t>
    </rPh>
    <rPh sb="8" eb="9">
      <t>ウエ</t>
    </rPh>
    <rPh sb="12" eb="13">
      <t>オヨ</t>
    </rPh>
    <rPh sb="14" eb="16">
      <t>ナマエ</t>
    </rPh>
    <rPh sb="17" eb="19">
      <t>ニュウリョク</t>
    </rPh>
    <rPh sb="25" eb="27">
      <t>トイアワ</t>
    </rPh>
    <rPh sb="35" eb="37">
      <t>センシュ</t>
    </rPh>
    <rPh sb="37" eb="39">
      <t>ニュウリョク</t>
    </rPh>
    <rPh sb="40" eb="42">
      <t>ニュウリョク</t>
    </rPh>
    <rPh sb="45" eb="47">
      <t>カイケツ</t>
    </rPh>
    <phoneticPr fontId="5"/>
  </si>
  <si>
    <t>三重</t>
    <rPh sb="0" eb="2">
      <t>ミエ</t>
    </rPh>
    <phoneticPr fontId="4"/>
  </si>
  <si>
    <t>氏名は全て全角、姓と名の間にスペースを入れる。</t>
    <rPh sb="0" eb="2">
      <t>シメイ</t>
    </rPh>
    <rPh sb="3" eb="4">
      <t>スベ</t>
    </rPh>
    <rPh sb="5" eb="7">
      <t>ゼンカク</t>
    </rPh>
    <rPh sb="12" eb="13">
      <t>アイダ</t>
    </rPh>
    <phoneticPr fontId="5"/>
  </si>
  <si>
    <t>ﾌﾘｶﾞﾅの姓と名の間にスペースを入れる。</t>
    <rPh sb="6" eb="7">
      <t>セイ</t>
    </rPh>
    <rPh sb="8" eb="9">
      <t>ナ</t>
    </rPh>
    <rPh sb="10" eb="11">
      <t>アイダ</t>
    </rPh>
    <rPh sb="17" eb="18">
      <t>イ</t>
    </rPh>
    <phoneticPr fontId="5"/>
  </si>
  <si>
    <t>記録はリレー覧に入力して下さい。</t>
    <rPh sb="0" eb="2">
      <t>キロク</t>
    </rPh>
    <rPh sb="6" eb="7">
      <t>ラン</t>
    </rPh>
    <rPh sb="8" eb="10">
      <t>ニュウリョク</t>
    </rPh>
    <rPh sb="12" eb="13">
      <t>クダ</t>
    </rPh>
    <phoneticPr fontId="5"/>
  </si>
  <si>
    <t>　　　　記録がない場合は、シードの対象外といたします。</t>
    <rPh sb="4" eb="6">
      <t>キロク</t>
    </rPh>
    <rPh sb="9" eb="11">
      <t>バアイ</t>
    </rPh>
    <rPh sb="17" eb="20">
      <t>タイショウガイ</t>
    </rPh>
    <phoneticPr fontId="5"/>
  </si>
  <si>
    <t>資格審査後、正式受理のメールを返信いたします。1日経っても届かない場合は、お問合せ下さい。</t>
    <rPh sb="0" eb="2">
      <t>シカク</t>
    </rPh>
    <rPh sb="2" eb="4">
      <t>シンサ</t>
    </rPh>
    <rPh sb="4" eb="5">
      <t>ゴ</t>
    </rPh>
    <rPh sb="6" eb="8">
      <t>セイシキ</t>
    </rPh>
    <rPh sb="8" eb="10">
      <t>ジュリ</t>
    </rPh>
    <rPh sb="15" eb="17">
      <t>ヘンシン</t>
    </rPh>
    <rPh sb="24" eb="25">
      <t>ニチ</t>
    </rPh>
    <rPh sb="25" eb="26">
      <t>タ</t>
    </rPh>
    <rPh sb="29" eb="30">
      <t>トド</t>
    </rPh>
    <rPh sb="33" eb="35">
      <t>バアイ</t>
    </rPh>
    <rPh sb="38" eb="40">
      <t>トイアワ</t>
    </rPh>
    <rPh sb="41" eb="42">
      <t>クダ</t>
    </rPh>
    <phoneticPr fontId="5"/>
  </si>
  <si>
    <t>競技者名</t>
  </si>
  <si>
    <t>所属地</t>
    <rPh sb="0" eb="2">
      <t>ショゾク</t>
    </rPh>
    <rPh sb="2" eb="3">
      <t>チ</t>
    </rPh>
    <phoneticPr fontId="5"/>
  </si>
  <si>
    <t>4×400R</t>
    <phoneticPr fontId="5"/>
  </si>
  <si>
    <t>100H</t>
    <phoneticPr fontId="5"/>
  </si>
  <si>
    <t>110H</t>
    <phoneticPr fontId="5"/>
  </si>
  <si>
    <t>400H</t>
    <phoneticPr fontId="5"/>
  </si>
  <si>
    <t>3000SC</t>
    <phoneticPr fontId="5"/>
  </si>
  <si>
    <t>5000W</t>
    <phoneticPr fontId="5"/>
  </si>
  <si>
    <t>4×100R</t>
    <phoneticPr fontId="5"/>
  </si>
  <si>
    <t>NO</t>
    <phoneticPr fontId="5"/>
  </si>
  <si>
    <t>100H</t>
    <phoneticPr fontId="5"/>
  </si>
  <si>
    <t>110H</t>
    <phoneticPr fontId="5"/>
  </si>
  <si>
    <t>400H</t>
    <phoneticPr fontId="5"/>
  </si>
  <si>
    <t>3000SC</t>
    <phoneticPr fontId="5"/>
  </si>
  <si>
    <t>5000W</t>
    <phoneticPr fontId="5"/>
  </si>
  <si>
    <t>この大会は三重陸協が承認した者しかエントリーができません。</t>
    <rPh sb="2" eb="4">
      <t>タイカイ</t>
    </rPh>
    <rPh sb="5" eb="7">
      <t>ミエ</t>
    </rPh>
    <rPh sb="7" eb="8">
      <t>リク</t>
    </rPh>
    <rPh sb="8" eb="9">
      <t>キョウ</t>
    </rPh>
    <rPh sb="10" eb="12">
      <t>ショウニン</t>
    </rPh>
    <rPh sb="14" eb="15">
      <t>モノ</t>
    </rPh>
    <phoneticPr fontId="5"/>
  </si>
  <si>
    <r>
      <t>メニューより</t>
    </r>
    <r>
      <rPr>
        <b/>
        <u/>
        <sz val="11"/>
        <rFont val="ＭＳ Ｐゴシック"/>
        <family val="3"/>
        <charset val="128"/>
      </rPr>
      <t>選手入力ボタン</t>
    </r>
    <r>
      <rPr>
        <sz val="11"/>
        <rFont val="ＭＳ Ｐゴシック"/>
        <family val="3"/>
        <charset val="128"/>
      </rPr>
      <t>を押してください</t>
    </r>
    <rPh sb="6" eb="8">
      <t>センシュ</t>
    </rPh>
    <rPh sb="8" eb="10">
      <t>ニュウリョク</t>
    </rPh>
    <rPh sb="14" eb="15">
      <t>オ</t>
    </rPh>
    <phoneticPr fontId="5"/>
  </si>
  <si>
    <r>
      <t>値にチェックを入れ、貼り付けて下さい。</t>
    </r>
    <r>
      <rPr>
        <b/>
        <u/>
        <sz val="11"/>
        <color indexed="10"/>
        <rFont val="ＭＳ Ｐゴシック"/>
        <family val="3"/>
        <charset val="128"/>
      </rPr>
      <t>(値のみ貼り付け）</t>
    </r>
    <rPh sb="0" eb="1">
      <t>アタイ</t>
    </rPh>
    <rPh sb="7" eb="8">
      <t>イ</t>
    </rPh>
    <rPh sb="10" eb="11">
      <t>ハ</t>
    </rPh>
    <rPh sb="12" eb="13">
      <t>ツ</t>
    </rPh>
    <rPh sb="15" eb="16">
      <t>クダ</t>
    </rPh>
    <rPh sb="20" eb="21">
      <t>アタイ</t>
    </rPh>
    <rPh sb="23" eb="24">
      <t>ハ</t>
    </rPh>
    <rPh sb="25" eb="26">
      <t>ツ</t>
    </rPh>
    <phoneticPr fontId="5"/>
  </si>
  <si>
    <r>
      <t>選手全員の入力が完了したら、</t>
    </r>
    <r>
      <rPr>
        <b/>
        <u/>
        <sz val="14"/>
        <rFont val="ＭＳ Ｐゴシック"/>
        <family val="3"/>
        <charset val="128"/>
      </rPr>
      <t>メニューへ戻り</t>
    </r>
    <r>
      <rPr>
        <b/>
        <sz val="14"/>
        <rFont val="ＭＳ Ｐゴシック"/>
        <family val="3"/>
        <charset val="128"/>
      </rPr>
      <t>　</t>
    </r>
    <r>
      <rPr>
        <sz val="14"/>
        <rFont val="ＭＳ Ｐゴシック"/>
        <family val="3"/>
        <charset val="128"/>
      </rPr>
      <t>上書き保存ボタンを押して下さい。</t>
    </r>
    <rPh sb="0" eb="2">
      <t>センシュ</t>
    </rPh>
    <rPh sb="2" eb="4">
      <t>ゼンイン</t>
    </rPh>
    <rPh sb="5" eb="7">
      <t>ニュウリョク</t>
    </rPh>
    <rPh sb="8" eb="10">
      <t>カンリョウ</t>
    </rPh>
    <rPh sb="19" eb="20">
      <t>モド</t>
    </rPh>
    <rPh sb="22" eb="24">
      <t>ウワガ</t>
    </rPh>
    <rPh sb="25" eb="27">
      <t>ホゾン</t>
    </rPh>
    <rPh sb="31" eb="32">
      <t>オ</t>
    </rPh>
    <rPh sb="34" eb="35">
      <t>クダ</t>
    </rPh>
    <phoneticPr fontId="5"/>
  </si>
  <si>
    <r>
      <t>メニューより</t>
    </r>
    <r>
      <rPr>
        <b/>
        <u/>
        <sz val="11"/>
        <rFont val="ＭＳ Ｐゴシック"/>
        <family val="3"/>
        <charset val="128"/>
      </rPr>
      <t>大会申込みボタン</t>
    </r>
    <r>
      <rPr>
        <sz val="11"/>
        <rFont val="ＭＳ Ｐゴシック"/>
        <family val="3"/>
        <charset val="128"/>
      </rPr>
      <t>を押して下さい。　申込む大会ボタンを押し下記の通り入力して下さい。</t>
    </r>
    <rPh sb="6" eb="8">
      <t>タイカイ</t>
    </rPh>
    <rPh sb="8" eb="10">
      <t>モウシコ</t>
    </rPh>
    <rPh sb="15" eb="16">
      <t>オ</t>
    </rPh>
    <rPh sb="18" eb="19">
      <t>クダ</t>
    </rPh>
    <rPh sb="23" eb="25">
      <t>モウシコ</t>
    </rPh>
    <rPh sb="26" eb="28">
      <t>タイカイ</t>
    </rPh>
    <rPh sb="32" eb="33">
      <t>オ</t>
    </rPh>
    <rPh sb="34" eb="36">
      <t>カキ</t>
    </rPh>
    <rPh sb="37" eb="38">
      <t>トオ</t>
    </rPh>
    <rPh sb="39" eb="41">
      <t>ニュウリョク</t>
    </rPh>
    <rPh sb="43" eb="44">
      <t>クダ</t>
    </rPh>
    <phoneticPr fontId="5"/>
  </si>
  <si>
    <t>11.10</t>
    <phoneticPr fontId="5"/>
  </si>
  <si>
    <t>計</t>
    <rPh sb="0" eb="1">
      <t>ケイ</t>
    </rPh>
    <phoneticPr fontId="5"/>
  </si>
  <si>
    <t>110H</t>
    <phoneticPr fontId="5"/>
  </si>
  <si>
    <t>400H</t>
    <phoneticPr fontId="5"/>
  </si>
  <si>
    <t>3000SC</t>
    <phoneticPr fontId="5"/>
  </si>
  <si>
    <t>5000W</t>
    <phoneticPr fontId="5"/>
  </si>
  <si>
    <t>100H</t>
    <phoneticPr fontId="5"/>
  </si>
  <si>
    <t>参加人数</t>
    <rPh sb="0" eb="2">
      <t>サンカ</t>
    </rPh>
    <rPh sb="2" eb="4">
      <t>ニンズウ</t>
    </rPh>
    <phoneticPr fontId="5"/>
  </si>
  <si>
    <t>マクロを有効にしてファイルを開いてください。</t>
    <rPh sb="4" eb="6">
      <t>ユウコウ</t>
    </rPh>
    <rPh sb="14" eb="15">
      <t>ヒラ</t>
    </rPh>
    <phoneticPr fontId="22"/>
  </si>
  <si>
    <t>マクロを有効にするには，</t>
    <rPh sb="4" eb="6">
      <t>ユウコウ</t>
    </rPh>
    <phoneticPr fontId="22"/>
  </si>
  <si>
    <t>１）上部メニューを「ツール(T)→マクロ(M)→セキュリティ(S)」の順に開きます。</t>
    <rPh sb="2" eb="4">
      <t>ジョウブ</t>
    </rPh>
    <rPh sb="35" eb="36">
      <t>ジュン</t>
    </rPh>
    <rPh sb="37" eb="38">
      <t>ヒラ</t>
    </rPh>
    <phoneticPr fontId="22"/>
  </si>
  <si>
    <t>２）「セキュリティレベル」を「中」に設定してください。</t>
    <rPh sb="15" eb="16">
      <t>チュウ</t>
    </rPh>
    <rPh sb="18" eb="20">
      <t>セッテイ</t>
    </rPh>
    <phoneticPr fontId="22"/>
  </si>
  <si>
    <t>４）マクロを有効にするかどうか聞いてきます。ここで「マクロを有効にする」を選択します。</t>
    <rPh sb="6" eb="8">
      <t>ユウコウ</t>
    </rPh>
    <rPh sb="15" eb="16">
      <t>キ</t>
    </rPh>
    <rPh sb="30" eb="32">
      <t>ユウコウ</t>
    </rPh>
    <rPh sb="37" eb="39">
      <t>センタク</t>
    </rPh>
    <phoneticPr fontId="22"/>
  </si>
  <si>
    <t>何らかの原因でマクロが停止した場合は，いったんファイルを保存し，再度開き直してください。</t>
    <rPh sb="0" eb="1">
      <t>ナン</t>
    </rPh>
    <rPh sb="4" eb="6">
      <t>ゲンイン</t>
    </rPh>
    <rPh sb="11" eb="13">
      <t>テイシ</t>
    </rPh>
    <rPh sb="15" eb="17">
      <t>バアイ</t>
    </rPh>
    <rPh sb="28" eb="30">
      <t>ホゾン</t>
    </rPh>
    <rPh sb="32" eb="34">
      <t>サイド</t>
    </rPh>
    <rPh sb="34" eb="35">
      <t>ヒラ</t>
    </rPh>
    <rPh sb="36" eb="37">
      <t>ナオ</t>
    </rPh>
    <phoneticPr fontId="22"/>
  </si>
  <si>
    <t>メールに必ず添付して下さい。</t>
    <rPh sb="4" eb="5">
      <t>カナラ</t>
    </rPh>
    <rPh sb="6" eb="8">
      <t>テンプ</t>
    </rPh>
    <rPh sb="10" eb="11">
      <t>クダ</t>
    </rPh>
    <phoneticPr fontId="5"/>
  </si>
  <si>
    <r>
      <t>３）</t>
    </r>
    <r>
      <rPr>
        <sz val="12"/>
        <color indexed="12"/>
        <rFont val="ＭＳ 明朝"/>
        <family val="1"/>
        <charset val="128"/>
      </rPr>
      <t>EXCELをいったん終了</t>
    </r>
    <r>
      <rPr>
        <b/>
        <sz val="12"/>
        <color indexed="10"/>
        <rFont val="ＭＳ 明朝"/>
        <family val="1"/>
        <charset val="128"/>
      </rPr>
      <t>（ファイルを保存しない）</t>
    </r>
    <r>
      <rPr>
        <sz val="12"/>
        <rFont val="ＭＳ 明朝"/>
        <family val="1"/>
        <charset val="128"/>
      </rPr>
      <t>し，再度ファイルを開きます。</t>
    </r>
    <rPh sb="12" eb="14">
      <t>シュウリョウ</t>
    </rPh>
    <rPh sb="20" eb="22">
      <t>ホゾン</t>
    </rPh>
    <rPh sb="28" eb="30">
      <t>サイド</t>
    </rPh>
    <rPh sb="35" eb="36">
      <t>ヒラ</t>
    </rPh>
    <phoneticPr fontId="22"/>
  </si>
  <si>
    <t>マクロが無効になっています。</t>
    <rPh sb="4" eb="6">
      <t>ムコウ</t>
    </rPh>
    <phoneticPr fontId="22"/>
  </si>
  <si>
    <t>入力を行うには，マクロを有効にする必要があります。</t>
    <rPh sb="0" eb="2">
      <t>ニュウリョク</t>
    </rPh>
    <rPh sb="3" eb="4">
      <t>オコナ</t>
    </rPh>
    <rPh sb="12" eb="14">
      <t>ユウコウ</t>
    </rPh>
    <rPh sb="17" eb="19">
      <t>ヒツヨウ</t>
    </rPh>
    <phoneticPr fontId="22"/>
  </si>
  <si>
    <r>
      <t>このエクセルファイルが保存されている同じ場所に、大会名の添付ファイルが作成されます</t>
    </r>
    <r>
      <rPr>
        <sz val="11"/>
        <rFont val="ＭＳ Ｐゴシック"/>
        <family val="3"/>
        <charset val="128"/>
      </rPr>
      <t>。</t>
    </r>
    <rPh sb="11" eb="13">
      <t>ホゾン</t>
    </rPh>
    <rPh sb="18" eb="19">
      <t>オナ</t>
    </rPh>
    <rPh sb="20" eb="22">
      <t>バショ</t>
    </rPh>
    <rPh sb="24" eb="26">
      <t>タイカイ</t>
    </rPh>
    <rPh sb="26" eb="27">
      <t>メイ</t>
    </rPh>
    <rPh sb="28" eb="30">
      <t>テンプ</t>
    </rPh>
    <rPh sb="35" eb="37">
      <t>サクセイ</t>
    </rPh>
    <phoneticPr fontId="5"/>
  </si>
  <si>
    <t>学校名</t>
    <rPh sb="0" eb="2">
      <t>ガッコウ</t>
    </rPh>
    <rPh sb="2" eb="3">
      <t>メイ</t>
    </rPh>
    <phoneticPr fontId="5"/>
  </si>
  <si>
    <t>連絡先</t>
    <rPh sb="0" eb="1">
      <t>レン</t>
    </rPh>
    <rPh sb="1" eb="2">
      <t>ラク</t>
    </rPh>
    <rPh sb="2" eb="3">
      <t>サキ</t>
    </rPh>
    <phoneticPr fontId="5"/>
  </si>
  <si>
    <t>No</t>
    <phoneticPr fontId="5"/>
  </si>
  <si>
    <t>氏名</t>
    <rPh sb="0" eb="2">
      <t>シメイ</t>
    </rPh>
    <phoneticPr fontId="5"/>
  </si>
  <si>
    <t>フリガナ</t>
    <phoneticPr fontId="5"/>
  </si>
  <si>
    <t>区間を入力して下さい</t>
    <rPh sb="0" eb="2">
      <t>クカン</t>
    </rPh>
    <rPh sb="3" eb="5">
      <t>ニュウリョク</t>
    </rPh>
    <rPh sb="7" eb="8">
      <t>クダ</t>
    </rPh>
    <phoneticPr fontId="5"/>
  </si>
  <si>
    <t>補欠は空白で構いません。</t>
    <rPh sb="0" eb="2">
      <t>ホケツ</t>
    </rPh>
    <rPh sb="3" eb="5">
      <t>クウハク</t>
    </rPh>
    <rPh sb="6" eb="7">
      <t>カマ</t>
    </rPh>
    <phoneticPr fontId="5"/>
  </si>
  <si>
    <t>Noを入力して下さい。氏名、フリガナ、学年が転記されます。</t>
    <rPh sb="3" eb="5">
      <t>ニュウリョク</t>
    </rPh>
    <rPh sb="7" eb="8">
      <t>クダ</t>
    </rPh>
    <rPh sb="11" eb="13">
      <t>シメイ</t>
    </rPh>
    <rPh sb="19" eb="21">
      <t>ガクネン</t>
    </rPh>
    <rPh sb="22" eb="24">
      <t>テンキ</t>
    </rPh>
    <phoneticPr fontId="5"/>
  </si>
  <si>
    <t>登録外の選手は直接入力して下さい。</t>
    <rPh sb="0" eb="2">
      <t>トウロク</t>
    </rPh>
    <rPh sb="2" eb="3">
      <t>ガイ</t>
    </rPh>
    <rPh sb="4" eb="6">
      <t>センシュ</t>
    </rPh>
    <rPh sb="7" eb="9">
      <t>チョクセツ</t>
    </rPh>
    <rPh sb="9" eb="11">
      <t>ニュウリョク</t>
    </rPh>
    <rPh sb="13" eb="14">
      <t>クダ</t>
    </rPh>
    <phoneticPr fontId="5"/>
  </si>
  <si>
    <t>上記、本校生徒の出場を認めます。</t>
    <rPh sb="0" eb="2">
      <t>ジョウキ</t>
    </rPh>
    <rPh sb="3" eb="5">
      <t>ホンコウ</t>
    </rPh>
    <rPh sb="5" eb="7">
      <t>セイト</t>
    </rPh>
    <rPh sb="8" eb="10">
      <t>シュツジョウ</t>
    </rPh>
    <rPh sb="11" eb="12">
      <t>ミト</t>
    </rPh>
    <phoneticPr fontId="5"/>
  </si>
  <si>
    <t>中学校</t>
    <rPh sb="0" eb="1">
      <t>チュウ</t>
    </rPh>
    <rPh sb="1" eb="3">
      <t>ガッコウ</t>
    </rPh>
    <phoneticPr fontId="5"/>
  </si>
  <si>
    <t>顧問名</t>
    <rPh sb="0" eb="2">
      <t>コモン</t>
    </rPh>
    <rPh sb="2" eb="3">
      <t>メイ</t>
    </rPh>
    <phoneticPr fontId="5"/>
  </si>
  <si>
    <t>選手の変更はできません。走順のみ入力して下さい。</t>
    <rPh sb="0" eb="2">
      <t>センシュ</t>
    </rPh>
    <rPh sb="3" eb="5">
      <t>ヘンコウ</t>
    </rPh>
    <rPh sb="12" eb="13">
      <t>ハシ</t>
    </rPh>
    <rPh sb="13" eb="14">
      <t>ジュン</t>
    </rPh>
    <rPh sb="16" eb="18">
      <t>ニュウリョク</t>
    </rPh>
    <rPh sb="20" eb="21">
      <t>クダ</t>
    </rPh>
    <phoneticPr fontId="5"/>
  </si>
  <si>
    <t>チームN0</t>
    <phoneticPr fontId="5"/>
  </si>
  <si>
    <t>学校長氏名捺印の上、印刷し大会当日受付へ提出て下さい。</t>
    <rPh sb="0" eb="3">
      <t>ガッコウチョウ</t>
    </rPh>
    <rPh sb="3" eb="5">
      <t>シメイ</t>
    </rPh>
    <rPh sb="5" eb="7">
      <t>ナツイン</t>
    </rPh>
    <rPh sb="8" eb="9">
      <t>ウエ</t>
    </rPh>
    <rPh sb="10" eb="12">
      <t>インサツ</t>
    </rPh>
    <rPh sb="13" eb="14">
      <t>ダイ</t>
    </rPh>
    <rPh sb="14" eb="15">
      <t>カイ</t>
    </rPh>
    <rPh sb="15" eb="17">
      <t>トウジツ</t>
    </rPh>
    <rPh sb="17" eb="19">
      <t>ウケツケ</t>
    </rPh>
    <rPh sb="20" eb="22">
      <t>テイシュツ</t>
    </rPh>
    <rPh sb="23" eb="24">
      <t>クダ</t>
    </rPh>
    <phoneticPr fontId="5"/>
  </si>
  <si>
    <t>男子D</t>
    <rPh sb="0" eb="2">
      <t>ダンシ</t>
    </rPh>
    <phoneticPr fontId="5"/>
  </si>
  <si>
    <t>女子D</t>
    <rPh sb="0" eb="2">
      <t>ジョシ</t>
    </rPh>
    <phoneticPr fontId="5"/>
  </si>
  <si>
    <t>エクセル2002以前のバージョンでは動作しません。エクセル2002以降のパソコンで作業して下さい</t>
  </si>
  <si>
    <t>円</t>
    <rPh sb="0" eb="1">
      <t>エン</t>
    </rPh>
    <phoneticPr fontId="22"/>
  </si>
  <si>
    <t>mousikomi★mierk.jp</t>
    <phoneticPr fontId="5"/>
  </si>
  <si>
    <t>このファイルをまるごと送ることはやめて下さい。ファイルが大きすぎます。</t>
    <rPh sb="11" eb="12">
      <t>オク</t>
    </rPh>
    <rPh sb="19" eb="20">
      <t>クダ</t>
    </rPh>
    <rPh sb="28" eb="29">
      <t>オオ</t>
    </rPh>
    <phoneticPr fontId="5"/>
  </si>
  <si>
    <t>所属名</t>
    <rPh sb="0" eb="2">
      <t>ショゾク</t>
    </rPh>
    <rPh sb="2" eb="3">
      <t>メイ</t>
    </rPh>
    <phoneticPr fontId="5"/>
  </si>
  <si>
    <t>所属コード</t>
    <rPh sb="0" eb="2">
      <t>ショゾク</t>
    </rPh>
    <phoneticPr fontId="5"/>
  </si>
  <si>
    <t>男子5k</t>
    <rPh sb="0" eb="2">
      <t>ダンシ</t>
    </rPh>
    <phoneticPr fontId="5"/>
  </si>
  <si>
    <t>女子3k</t>
    <rPh sb="0" eb="2">
      <t>ジョシ</t>
    </rPh>
    <phoneticPr fontId="5"/>
  </si>
  <si>
    <t>B－100</t>
    <phoneticPr fontId="5"/>
  </si>
  <si>
    <t>C-100</t>
    <phoneticPr fontId="5"/>
  </si>
  <si>
    <t>A-100H</t>
    <phoneticPr fontId="5"/>
  </si>
  <si>
    <t>B-100</t>
    <phoneticPr fontId="5"/>
  </si>
  <si>
    <t>B-1500</t>
    <phoneticPr fontId="5"/>
  </si>
  <si>
    <t>B-100H</t>
    <phoneticPr fontId="5"/>
  </si>
  <si>
    <t>ｼﾞｬﾍﾞﾘｯｸ</t>
    <phoneticPr fontId="5"/>
  </si>
  <si>
    <t>A-100</t>
    <phoneticPr fontId="5"/>
  </si>
  <si>
    <t>A-200</t>
    <phoneticPr fontId="5"/>
  </si>
  <si>
    <t>A-3000</t>
    <phoneticPr fontId="5"/>
  </si>
  <si>
    <t>A-110H</t>
    <phoneticPr fontId="5"/>
  </si>
  <si>
    <t>110JH</t>
    <phoneticPr fontId="5"/>
  </si>
  <si>
    <t>B-1500</t>
    <phoneticPr fontId="5"/>
  </si>
  <si>
    <t>B-110H</t>
    <phoneticPr fontId="5"/>
  </si>
  <si>
    <t>110JH</t>
    <phoneticPr fontId="5"/>
  </si>
  <si>
    <t>A-100</t>
    <phoneticPr fontId="5"/>
  </si>
  <si>
    <t>A-200</t>
    <phoneticPr fontId="5"/>
  </si>
  <si>
    <t>A-3000</t>
    <phoneticPr fontId="5"/>
  </si>
  <si>
    <t>100H</t>
    <phoneticPr fontId="5"/>
  </si>
  <si>
    <t>ｼﾞｬﾍﾞﾘｯｸ</t>
    <phoneticPr fontId="5"/>
  </si>
  <si>
    <t>C-100</t>
    <phoneticPr fontId="5"/>
  </si>
  <si>
    <t>100H</t>
    <phoneticPr fontId="5"/>
  </si>
  <si>
    <t>責任者</t>
    <rPh sb="0" eb="3">
      <t>セキニンシャ</t>
    </rPh>
    <phoneticPr fontId="22"/>
  </si>
  <si>
    <t>連絡先</t>
    <rPh sb="0" eb="3">
      <t>レンラクサキ</t>
    </rPh>
    <phoneticPr fontId="22"/>
  </si>
  <si>
    <t>種目別参加数</t>
    <rPh sb="0" eb="2">
      <t>シュモク</t>
    </rPh>
    <rPh sb="2" eb="3">
      <t>ベツ</t>
    </rPh>
    <rPh sb="3" eb="5">
      <t>サンカ</t>
    </rPh>
    <rPh sb="5" eb="6">
      <t>カズ</t>
    </rPh>
    <phoneticPr fontId="5"/>
  </si>
  <si>
    <t>参加費合計</t>
    <rPh sb="0" eb="3">
      <t>サンカヒ</t>
    </rPh>
    <rPh sb="3" eb="5">
      <t>ゴウケイ</t>
    </rPh>
    <phoneticPr fontId="22"/>
  </si>
  <si>
    <t>リレー</t>
    <phoneticPr fontId="22"/>
  </si>
  <si>
    <t>申し込み用紙</t>
  </si>
  <si>
    <t>オーダー用紙</t>
  </si>
  <si>
    <t>参加費</t>
    <rPh sb="0" eb="3">
      <t>サンカヒ</t>
    </rPh>
    <phoneticPr fontId="5"/>
  </si>
  <si>
    <t>少年B100YH</t>
    <rPh sb="0" eb="2">
      <t>ショウネン</t>
    </rPh>
    <phoneticPr fontId="5"/>
  </si>
  <si>
    <t>少年円盤投</t>
    <rPh sb="0" eb="1">
      <t>ショウ</t>
    </rPh>
    <rPh sb="1" eb="2">
      <t>ネン</t>
    </rPh>
    <rPh sb="2" eb="4">
      <t>エンバン</t>
    </rPh>
    <rPh sb="4" eb="5">
      <t>ナ</t>
    </rPh>
    <phoneticPr fontId="5"/>
  </si>
  <si>
    <t>少年ハンマー投</t>
    <rPh sb="0" eb="1">
      <t>ショウ</t>
    </rPh>
    <rPh sb="1" eb="2">
      <t>ネン</t>
    </rPh>
    <rPh sb="6" eb="7">
      <t>ナ</t>
    </rPh>
    <phoneticPr fontId="5"/>
  </si>
  <si>
    <t>少年3000</t>
    <rPh sb="0" eb="1">
      <t>ショウ</t>
    </rPh>
    <rPh sb="1" eb="2">
      <t>ネン</t>
    </rPh>
    <phoneticPr fontId="5"/>
  </si>
  <si>
    <t>少年B100YH</t>
    <rPh sb="0" eb="1">
      <t>ショウ</t>
    </rPh>
    <rPh sb="1" eb="2">
      <t>ネン</t>
    </rPh>
    <phoneticPr fontId="5"/>
  </si>
  <si>
    <t>少年ハンマー</t>
    <rPh sb="0" eb="1">
      <t>ショウ</t>
    </rPh>
    <rPh sb="1" eb="2">
      <t>ネン</t>
    </rPh>
    <phoneticPr fontId="5"/>
  </si>
  <si>
    <t>No</t>
    <phoneticPr fontId="5"/>
  </si>
  <si>
    <t>フリガナ</t>
    <phoneticPr fontId="5"/>
  </si>
  <si>
    <t>No</t>
    <phoneticPr fontId="5"/>
  </si>
  <si>
    <t>チームN0</t>
    <phoneticPr fontId="5"/>
  </si>
  <si>
    <t>No</t>
    <phoneticPr fontId="5"/>
  </si>
  <si>
    <t>①参加料が必要な大会は振込証明（振込票の写し）を様式⑨に貼付の上、送付のこと。</t>
    <rPh sb="1" eb="3">
      <t>サンカ</t>
    </rPh>
    <rPh sb="3" eb="4">
      <t>リョウ</t>
    </rPh>
    <rPh sb="5" eb="7">
      <t>ヒツヨウ</t>
    </rPh>
    <rPh sb="8" eb="10">
      <t>タイカイ</t>
    </rPh>
    <rPh sb="11" eb="13">
      <t>フリコ</t>
    </rPh>
    <rPh sb="13" eb="15">
      <t>ショウメイ</t>
    </rPh>
    <rPh sb="16" eb="18">
      <t>フリコ</t>
    </rPh>
    <rPh sb="18" eb="19">
      <t>ヒョウ</t>
    </rPh>
    <rPh sb="20" eb="21">
      <t>ウツ</t>
    </rPh>
    <rPh sb="24" eb="26">
      <t>ヨウシキ</t>
    </rPh>
    <rPh sb="28" eb="30">
      <t>ハリツケ</t>
    </rPh>
    <rPh sb="31" eb="32">
      <t>ウエ</t>
    </rPh>
    <rPh sb="33" eb="35">
      <t>ソウフ</t>
    </rPh>
    <phoneticPr fontId="5"/>
  </si>
  <si>
    <t>　 期日までに振込み及び送金がない場合は出場を認めない。</t>
    <rPh sb="10" eb="11">
      <t>オヨ</t>
    </rPh>
    <rPh sb="12" eb="14">
      <t>ソウキン</t>
    </rPh>
    <phoneticPr fontId="5"/>
  </si>
  <si>
    <r>
      <t>②</t>
    </r>
    <r>
      <rPr>
        <u/>
        <sz val="11"/>
        <color indexed="10"/>
        <rFont val="ＭＳ Ｐゴシック"/>
        <family val="3"/>
        <charset val="128"/>
      </rPr>
      <t>申込後の選手変更・種目変更は一切受付けない</t>
    </r>
    <r>
      <rPr>
        <sz val="11"/>
        <rFont val="ＭＳ Ｐゴシック"/>
        <family val="3"/>
        <charset val="128"/>
      </rPr>
      <t>ので、よく確認の上申し込むこと。</t>
    </r>
    <rPh sb="1" eb="3">
      <t>モウシコミ</t>
    </rPh>
    <rPh sb="3" eb="4">
      <t>ゴ</t>
    </rPh>
    <rPh sb="5" eb="7">
      <t>センシュ</t>
    </rPh>
    <rPh sb="7" eb="9">
      <t>ヘンコウ</t>
    </rPh>
    <rPh sb="10" eb="12">
      <t>シュモク</t>
    </rPh>
    <rPh sb="12" eb="14">
      <t>ヘンコウ</t>
    </rPh>
    <rPh sb="15" eb="17">
      <t>イッサイ</t>
    </rPh>
    <rPh sb="17" eb="19">
      <t>ウケツ</t>
    </rPh>
    <rPh sb="27" eb="29">
      <t>カクニン</t>
    </rPh>
    <rPh sb="30" eb="31">
      <t>ウエ</t>
    </rPh>
    <rPh sb="31" eb="32">
      <t>モウ</t>
    </rPh>
    <rPh sb="33" eb="34">
      <t>コ</t>
    </rPh>
    <phoneticPr fontId="5"/>
  </si>
  <si>
    <t>③振込人の名称は所属名を記載のこと。(個人名は間違いのもとになります。)</t>
    <rPh sb="1" eb="3">
      <t>フリコ</t>
    </rPh>
    <rPh sb="3" eb="4">
      <t>ニン</t>
    </rPh>
    <rPh sb="5" eb="7">
      <t>メイショウ</t>
    </rPh>
    <rPh sb="8" eb="10">
      <t>ショゾク</t>
    </rPh>
    <rPh sb="10" eb="11">
      <t>メイ</t>
    </rPh>
    <rPh sb="12" eb="14">
      <t>キサイ</t>
    </rPh>
    <rPh sb="19" eb="22">
      <t>コジンメイ</t>
    </rPh>
    <rPh sb="23" eb="25">
      <t>マチガ</t>
    </rPh>
    <phoneticPr fontId="5"/>
  </si>
  <si>
    <t>④極端に早い振込みも間違いのもとになるので配慮のこと。</t>
    <rPh sb="1" eb="3">
      <t>キョクタン</t>
    </rPh>
    <rPh sb="4" eb="5">
      <t>ハヤ</t>
    </rPh>
    <rPh sb="6" eb="8">
      <t>フリコ</t>
    </rPh>
    <rPh sb="10" eb="12">
      <t>マチガ</t>
    </rPh>
    <rPh sb="21" eb="23">
      <t>ハイリョ</t>
    </rPh>
    <phoneticPr fontId="5"/>
  </si>
  <si>
    <t>⑤学校長の認知書は大会当日受付で係員に渡すこと。。</t>
    <rPh sb="1" eb="4">
      <t>ガッコウチョウ</t>
    </rPh>
    <rPh sb="5" eb="7">
      <t>ニンチ</t>
    </rPh>
    <rPh sb="7" eb="8">
      <t>カ</t>
    </rPh>
    <rPh sb="9" eb="11">
      <t>タイカイ</t>
    </rPh>
    <rPh sb="11" eb="13">
      <t>トウジツ</t>
    </rPh>
    <rPh sb="13" eb="15">
      <t>ウケツケ</t>
    </rPh>
    <rPh sb="16" eb="18">
      <t>カカリイン</t>
    </rPh>
    <rPh sb="19" eb="20">
      <t>ワタ</t>
    </rPh>
    <phoneticPr fontId="5"/>
  </si>
  <si>
    <t>競技時間等は大会1週間前にホームページに掲載するので通知はしない。</t>
    <rPh sb="0" eb="2">
      <t>キョウギ</t>
    </rPh>
    <rPh sb="2" eb="4">
      <t>ジカン</t>
    </rPh>
    <rPh sb="4" eb="5">
      <t>ナド</t>
    </rPh>
    <rPh sb="6" eb="8">
      <t>タイカイ</t>
    </rPh>
    <rPh sb="9" eb="11">
      <t>シュウカン</t>
    </rPh>
    <rPh sb="11" eb="12">
      <t>マエ</t>
    </rPh>
    <rPh sb="20" eb="22">
      <t>ケイサイ</t>
    </rPh>
    <rPh sb="26" eb="28">
      <t>ツウチ</t>
    </rPh>
    <phoneticPr fontId="5"/>
  </si>
  <si>
    <t>大会参加費は一覧表上部に記載されるので、確認の上振り込むこと。</t>
    <rPh sb="0" eb="2">
      <t>タイカイ</t>
    </rPh>
    <rPh sb="2" eb="5">
      <t>サンカヒ</t>
    </rPh>
    <rPh sb="6" eb="8">
      <t>イチラン</t>
    </rPh>
    <rPh sb="8" eb="9">
      <t>ヒョウ</t>
    </rPh>
    <rPh sb="9" eb="11">
      <t>ジョウブ</t>
    </rPh>
    <rPh sb="12" eb="14">
      <t>キサイ</t>
    </rPh>
    <rPh sb="20" eb="22">
      <t>カクニン</t>
    </rPh>
    <rPh sb="23" eb="24">
      <t>ウエ</t>
    </rPh>
    <rPh sb="24" eb="25">
      <t>フ</t>
    </rPh>
    <rPh sb="26" eb="27">
      <t>コ</t>
    </rPh>
    <phoneticPr fontId="5"/>
  </si>
  <si>
    <t>申込みにNoが記入されていない場合は受理できません。</t>
    <rPh sb="0" eb="2">
      <t>モウシコ</t>
    </rPh>
    <rPh sb="7" eb="9">
      <t>キニュウ</t>
    </rPh>
    <rPh sb="15" eb="17">
      <t>バアイ</t>
    </rPh>
    <rPh sb="18" eb="20">
      <t>ジュリ</t>
    </rPh>
    <phoneticPr fontId="5"/>
  </si>
  <si>
    <t>中体連より割り振られたNOと選手詳細を入力して下さい。</t>
    <rPh sb="0" eb="1">
      <t>チュウ</t>
    </rPh>
    <rPh sb="1" eb="2">
      <t>カラダ</t>
    </rPh>
    <rPh sb="2" eb="3">
      <t>レン</t>
    </rPh>
    <rPh sb="5" eb="6">
      <t>ワ</t>
    </rPh>
    <rPh sb="7" eb="8">
      <t>フ</t>
    </rPh>
    <rPh sb="14" eb="16">
      <t>センシュ</t>
    </rPh>
    <rPh sb="16" eb="18">
      <t>ショウサイ</t>
    </rPh>
    <rPh sb="19" eb="21">
      <t>ニュウリョク</t>
    </rPh>
    <rPh sb="23" eb="24">
      <t>クダ</t>
    </rPh>
    <phoneticPr fontId="5"/>
  </si>
  <si>
    <t>エクセル２００２以前のバージョンではこのファイルは利用できない。</t>
    <rPh sb="8" eb="10">
      <t>イゼン</t>
    </rPh>
    <rPh sb="25" eb="27">
      <t>リヨウ</t>
    </rPh>
    <phoneticPr fontId="5"/>
  </si>
  <si>
    <r>
      <t>　</t>
    </r>
    <r>
      <rPr>
        <u/>
        <sz val="11"/>
        <color indexed="10"/>
        <rFont val="ＭＳ Ｐゴシック"/>
        <family val="3"/>
        <charset val="128"/>
      </rPr>
      <t>大会により参加費送付先が中体連と三重陸協に分かれますので、要項を熟読のこと。</t>
    </r>
    <rPh sb="1" eb="3">
      <t>タイカイ</t>
    </rPh>
    <rPh sb="6" eb="9">
      <t>サンカヒ</t>
    </rPh>
    <rPh sb="9" eb="11">
      <t>ソウフ</t>
    </rPh>
    <rPh sb="11" eb="12">
      <t>サキ</t>
    </rPh>
    <rPh sb="13" eb="14">
      <t>チュウ</t>
    </rPh>
    <rPh sb="14" eb="15">
      <t>カラダ</t>
    </rPh>
    <rPh sb="15" eb="16">
      <t>レン</t>
    </rPh>
    <rPh sb="17" eb="19">
      <t>ミエ</t>
    </rPh>
    <rPh sb="19" eb="21">
      <t>リクキョウ</t>
    </rPh>
    <rPh sb="22" eb="23">
      <t>ワ</t>
    </rPh>
    <rPh sb="30" eb="32">
      <t>ヨウコウ</t>
    </rPh>
    <rPh sb="33" eb="35">
      <t>ジュクドク</t>
    </rPh>
    <phoneticPr fontId="5"/>
  </si>
  <si>
    <t>⑥Noがない選手（未登録選手）は中体連よりNoを割り当ててもらうこと。</t>
    <rPh sb="6" eb="8">
      <t>センシュ</t>
    </rPh>
    <rPh sb="9" eb="12">
      <t>ミトウロク</t>
    </rPh>
    <rPh sb="12" eb="14">
      <t>センシュ</t>
    </rPh>
    <rPh sb="16" eb="19">
      <t>チュウタイレン</t>
    </rPh>
    <rPh sb="24" eb="25">
      <t>ワ</t>
    </rPh>
    <rPh sb="26" eb="27">
      <t>ア</t>
    </rPh>
    <phoneticPr fontId="5"/>
  </si>
  <si>
    <t>　登録連絡先は　cyutairen★mierk.jp　</t>
    <rPh sb="1" eb="3">
      <t>トウロク</t>
    </rPh>
    <rPh sb="3" eb="6">
      <t>レンラクサキ</t>
    </rPh>
    <phoneticPr fontId="5"/>
  </si>
  <si>
    <t>性別</t>
    <rPh sb="0" eb="2">
      <t>セイベツ</t>
    </rPh>
    <phoneticPr fontId="5"/>
  </si>
  <si>
    <t>メニューへ戻り上書き保存して下さい</t>
    <rPh sb="5" eb="6">
      <t>モド</t>
    </rPh>
    <rPh sb="7" eb="9">
      <t>ウワガ</t>
    </rPh>
    <rPh sb="10" eb="12">
      <t>ホゾン</t>
    </rPh>
    <rPh sb="14" eb="15">
      <t>クダ</t>
    </rPh>
    <phoneticPr fontId="22"/>
  </si>
  <si>
    <t>110H</t>
    <phoneticPr fontId="4"/>
  </si>
  <si>
    <t>110JH</t>
    <phoneticPr fontId="4"/>
  </si>
  <si>
    <t>100H</t>
    <phoneticPr fontId="4"/>
  </si>
  <si>
    <t>100YH</t>
    <phoneticPr fontId="4"/>
  </si>
  <si>
    <t>棒高跳</t>
    <rPh sb="0" eb="3">
      <t>ボウタカトビ</t>
    </rPh>
    <phoneticPr fontId="4"/>
  </si>
  <si>
    <t>走幅跳</t>
    <rPh sb="0" eb="1">
      <t>ハシ</t>
    </rPh>
    <rPh sb="1" eb="3">
      <t>ハバト</t>
    </rPh>
    <phoneticPr fontId="4"/>
  </si>
  <si>
    <t>三段跳</t>
    <rPh sb="0" eb="3">
      <t>サンダント</t>
    </rPh>
    <phoneticPr fontId="4"/>
  </si>
  <si>
    <t>砲丸投</t>
    <rPh sb="0" eb="2">
      <t>ホウガン</t>
    </rPh>
    <rPh sb="2" eb="3">
      <t>ナ</t>
    </rPh>
    <phoneticPr fontId="4"/>
  </si>
  <si>
    <t>円盤投</t>
    <rPh sb="0" eb="2">
      <t>エンバン</t>
    </rPh>
    <rPh sb="2" eb="3">
      <t>ナ</t>
    </rPh>
    <phoneticPr fontId="4"/>
  </si>
  <si>
    <t>ｼﾞｬﾍﾞﾘｯｸ</t>
    <phoneticPr fontId="4"/>
  </si>
  <si>
    <t>走高跳</t>
    <rPh sb="0" eb="1">
      <t>ハシ</t>
    </rPh>
    <rPh sb="1" eb="3">
      <t>タカトビ</t>
    </rPh>
    <phoneticPr fontId="4"/>
  </si>
  <si>
    <t>少年B110JH</t>
    <rPh sb="0" eb="2">
      <t>ショウネン</t>
    </rPh>
    <phoneticPr fontId="4"/>
  </si>
  <si>
    <t>少年B100YH</t>
  </si>
  <si>
    <t>110H</t>
    <phoneticPr fontId="5"/>
  </si>
  <si>
    <t>2年100</t>
  </si>
  <si>
    <t>2年1500</t>
  </si>
  <si>
    <t>1年100</t>
  </si>
  <si>
    <t>1年1500</t>
  </si>
  <si>
    <t>1年800</t>
  </si>
  <si>
    <t>C-100</t>
  </si>
  <si>
    <t>A-100</t>
  </si>
  <si>
    <t>A-200</t>
  </si>
  <si>
    <t>A-3000</t>
  </si>
  <si>
    <t>A-110H</t>
  </si>
  <si>
    <t>A-走高跳</t>
  </si>
  <si>
    <t>A-砲丸投</t>
  </si>
  <si>
    <t>AB円盤投</t>
  </si>
  <si>
    <t>A-100H</t>
  </si>
  <si>
    <t>B-100</t>
  </si>
  <si>
    <t>B-1500</t>
  </si>
  <si>
    <t>B-110H</t>
  </si>
  <si>
    <t>B-走幅跳</t>
  </si>
  <si>
    <t>B-100H</t>
  </si>
  <si>
    <t>B-砲丸投</t>
  </si>
  <si>
    <t>C-走幅跳</t>
  </si>
  <si>
    <t>中学女子3ｋ</t>
  </si>
  <si>
    <t>四種</t>
  </si>
  <si>
    <t>高跳の記録</t>
    <rPh sb="0" eb="2">
      <t>タカトビ</t>
    </rPh>
    <rPh sb="3" eb="5">
      <t>キロク</t>
    </rPh>
    <phoneticPr fontId="4"/>
  </si>
  <si>
    <t>記録</t>
    <phoneticPr fontId="5"/>
  </si>
  <si>
    <t>数</t>
    <rPh sb="0" eb="1">
      <t>カズ</t>
    </rPh>
    <phoneticPr fontId="5"/>
  </si>
  <si>
    <t>空</t>
    <rPh sb="0" eb="1">
      <t>ソラ</t>
    </rPh>
    <phoneticPr fontId="5"/>
  </si>
  <si>
    <t>名</t>
    <rPh sb="0" eb="1">
      <t>メイ</t>
    </rPh>
    <phoneticPr fontId="5"/>
  </si>
  <si>
    <t>姓</t>
    <rPh sb="0" eb="1">
      <t>セイ</t>
    </rPh>
    <phoneticPr fontId="5"/>
  </si>
  <si>
    <t>種目数</t>
    <rPh sb="0" eb="2">
      <t>シュモク</t>
    </rPh>
    <rPh sb="2" eb="3">
      <t>カズ</t>
    </rPh>
    <phoneticPr fontId="5"/>
  </si>
  <si>
    <t>人数(種目)</t>
    <rPh sb="0" eb="2">
      <t>ニンズウ</t>
    </rPh>
    <rPh sb="3" eb="5">
      <t>シュモク</t>
    </rPh>
    <phoneticPr fontId="22"/>
  </si>
  <si>
    <t>中学男子5ｋ</t>
  </si>
  <si>
    <t>公認記録記載欄(随時記録が更新された場合は、変更入力して下さい。全ての申し込みに反映されます。正確にお願いいたします</t>
    <rPh sb="47" eb="49">
      <t>セイカク</t>
    </rPh>
    <rPh sb="51" eb="52">
      <t>ネガ</t>
    </rPh>
    <phoneticPr fontId="4"/>
  </si>
  <si>
    <t>男子は3000mの記録</t>
    <rPh sb="0" eb="2">
      <t>ダンシ</t>
    </rPh>
    <rPh sb="9" eb="11">
      <t>キロク</t>
    </rPh>
    <phoneticPr fontId="5"/>
  </si>
  <si>
    <t>女子は2000mの記録</t>
    <rPh sb="0" eb="2">
      <t>ジョシ</t>
    </rPh>
    <rPh sb="9" eb="11">
      <t>キロク</t>
    </rPh>
    <phoneticPr fontId="5"/>
  </si>
  <si>
    <t>最新バージョンのエクセル(2007）使用の場合は、シートの上部にセキュリティの警告が出ますので</t>
    <rPh sb="0" eb="2">
      <t>サイシン</t>
    </rPh>
    <rPh sb="18" eb="20">
      <t>シヨウ</t>
    </rPh>
    <rPh sb="21" eb="23">
      <t>バアイ</t>
    </rPh>
    <rPh sb="29" eb="31">
      <t>ジョウブ</t>
    </rPh>
    <rPh sb="39" eb="41">
      <t>ケイコク</t>
    </rPh>
    <rPh sb="42" eb="43">
      <t>デ</t>
    </rPh>
    <phoneticPr fontId="22"/>
  </si>
  <si>
    <t>それ以前のエクセルは下記に従って下さい。</t>
    <rPh sb="2" eb="4">
      <t>イゼン</t>
    </rPh>
    <rPh sb="10" eb="12">
      <t>カキ</t>
    </rPh>
    <rPh sb="13" eb="14">
      <t>シタガ</t>
    </rPh>
    <rPh sb="16" eb="17">
      <t>クダ</t>
    </rPh>
    <phoneticPr fontId="22"/>
  </si>
  <si>
    <t>右側のオプションをクリックし、「このコンテンツを有効にする」にチェックを入れて下さい。</t>
    <rPh sb="0" eb="2">
      <t>ミギガワ</t>
    </rPh>
    <rPh sb="24" eb="26">
      <t>ユウコウ</t>
    </rPh>
    <rPh sb="36" eb="37">
      <t>イ</t>
    </rPh>
    <rPh sb="39" eb="40">
      <t>クダ</t>
    </rPh>
    <phoneticPr fontId="22"/>
  </si>
  <si>
    <t>TRIM</t>
    <phoneticPr fontId="4"/>
  </si>
  <si>
    <t>選手入力シートでの切り取り、貼り付けを行うと不具合が発生します。</t>
    <rPh sb="0" eb="2">
      <t>センシュ</t>
    </rPh>
    <rPh sb="2" eb="4">
      <t>ニュウリョク</t>
    </rPh>
    <rPh sb="9" eb="10">
      <t>キ</t>
    </rPh>
    <rPh sb="11" eb="12">
      <t>ト</t>
    </rPh>
    <rPh sb="14" eb="15">
      <t>ハ</t>
    </rPh>
    <rPh sb="16" eb="17">
      <t>ツ</t>
    </rPh>
    <rPh sb="19" eb="20">
      <t>オコナ</t>
    </rPh>
    <rPh sb="22" eb="25">
      <t>フグアイ</t>
    </rPh>
    <rPh sb="26" eb="28">
      <t>ハッセイ</t>
    </rPh>
    <phoneticPr fontId="5"/>
  </si>
  <si>
    <t>C-1500</t>
    <phoneticPr fontId="5"/>
  </si>
  <si>
    <t>C-800</t>
    <phoneticPr fontId="5"/>
  </si>
  <si>
    <t>C-1500</t>
    <phoneticPr fontId="5"/>
  </si>
  <si>
    <t>C-800</t>
    <phoneticPr fontId="5"/>
  </si>
  <si>
    <t>C-1500</t>
    <phoneticPr fontId="5"/>
  </si>
  <si>
    <t>C-800</t>
    <phoneticPr fontId="5"/>
  </si>
  <si>
    <t>C-1500</t>
    <phoneticPr fontId="4"/>
  </si>
  <si>
    <t>C-800</t>
    <phoneticPr fontId="4"/>
  </si>
  <si>
    <t>(</t>
    <phoneticPr fontId="5"/>
  </si>
  <si>
    <t>)</t>
    <phoneticPr fontId="5"/>
  </si>
  <si>
    <t>監督</t>
    <rPh sb="0" eb="2">
      <t>カントク</t>
    </rPh>
    <phoneticPr fontId="5"/>
  </si>
  <si>
    <t>男子Ｃ</t>
    <rPh sb="0" eb="2">
      <t>ダンシ</t>
    </rPh>
    <phoneticPr fontId="5"/>
  </si>
  <si>
    <t>男子Ｄ</t>
    <rPh sb="0" eb="2">
      <t>ダンシ</t>
    </rPh>
    <phoneticPr fontId="5"/>
  </si>
  <si>
    <t>女子Ｃ</t>
    <rPh sb="0" eb="2">
      <t>ジョシ</t>
    </rPh>
    <phoneticPr fontId="5"/>
  </si>
  <si>
    <t>女子Ｄ</t>
    <rPh sb="0" eb="2">
      <t>ジョシ</t>
    </rPh>
    <phoneticPr fontId="5"/>
  </si>
  <si>
    <t>女子Ａ</t>
    <rPh sb="0" eb="2">
      <t>ジョシ</t>
    </rPh>
    <phoneticPr fontId="5"/>
  </si>
  <si>
    <t>女子Ｂ</t>
    <rPh sb="0" eb="2">
      <t>ジョシ</t>
    </rPh>
    <phoneticPr fontId="5"/>
  </si>
  <si>
    <t>男子Ｂ</t>
    <rPh sb="0" eb="2">
      <t>ダンシ</t>
    </rPh>
    <phoneticPr fontId="5"/>
  </si>
  <si>
    <t>男子Ａ</t>
    <rPh sb="0" eb="2">
      <t>ダンシ</t>
    </rPh>
    <phoneticPr fontId="5"/>
  </si>
  <si>
    <t>(監督が違う場合は直接入力)</t>
    <rPh sb="1" eb="3">
      <t>カントク</t>
    </rPh>
    <rPh sb="4" eb="5">
      <t>チガ</t>
    </rPh>
    <rPh sb="6" eb="8">
      <t>バアイ</t>
    </rPh>
    <rPh sb="9" eb="11">
      <t>チョクセツ</t>
    </rPh>
    <rPh sb="11" eb="13">
      <t>ニュウリョク</t>
    </rPh>
    <phoneticPr fontId="5"/>
  </si>
  <si>
    <t>男子4×100mR</t>
    <rPh sb="0" eb="2">
      <t>ダンシ</t>
    </rPh>
    <phoneticPr fontId="5"/>
  </si>
  <si>
    <t>Ａ</t>
    <phoneticPr fontId="5"/>
  </si>
  <si>
    <t>Ｂ</t>
    <phoneticPr fontId="5"/>
  </si>
  <si>
    <t>Ｃ</t>
    <phoneticPr fontId="5"/>
  </si>
  <si>
    <t>女子4×100mR</t>
    <rPh sb="0" eb="2">
      <t>ジョシ</t>
    </rPh>
    <phoneticPr fontId="5"/>
  </si>
  <si>
    <t>記録</t>
    <rPh sb="0" eb="2">
      <t>キロク</t>
    </rPh>
    <phoneticPr fontId="5"/>
  </si>
  <si>
    <t>所属コード２</t>
    <rPh sb="0" eb="2">
      <t>ショゾク</t>
    </rPh>
    <phoneticPr fontId="5"/>
  </si>
  <si>
    <t>生年</t>
    <rPh sb="0" eb="2">
      <t>セイネン</t>
    </rPh>
    <phoneticPr fontId="5"/>
  </si>
  <si>
    <t>月日</t>
    <phoneticPr fontId="5"/>
  </si>
  <si>
    <t>ナンバーA</t>
    <phoneticPr fontId="5"/>
  </si>
  <si>
    <t>所属コードB</t>
    <phoneticPr fontId="5"/>
  </si>
  <si>
    <t>コード２</t>
    <phoneticPr fontId="5"/>
  </si>
  <si>
    <t>月日</t>
    <rPh sb="0" eb="2">
      <t>ガッピ</t>
    </rPh>
    <phoneticPr fontId="5"/>
  </si>
  <si>
    <t>緊急連絡先（携帯）</t>
    <rPh sb="0" eb="2">
      <t>キンキュウ</t>
    </rPh>
    <rPh sb="2" eb="5">
      <t>レンラクサキ</t>
    </rPh>
    <rPh sb="6" eb="8">
      <t>ケイタイ</t>
    </rPh>
    <phoneticPr fontId="4"/>
  </si>
  <si>
    <t>年</t>
    <phoneticPr fontId="5"/>
  </si>
  <si>
    <t>少年B砲丸投</t>
    <rPh sb="0" eb="1">
      <t>ショウ</t>
    </rPh>
    <rPh sb="1" eb="2">
      <t>ネン</t>
    </rPh>
    <rPh sb="3" eb="5">
      <t>ホウガン</t>
    </rPh>
    <rPh sb="5" eb="6">
      <t>ナ</t>
    </rPh>
    <phoneticPr fontId="5"/>
  </si>
  <si>
    <t>少年B砲丸投</t>
    <rPh sb="0" eb="2">
      <t>ショウネン</t>
    </rPh>
    <rPh sb="3" eb="5">
      <t>ホウガン</t>
    </rPh>
    <rPh sb="5" eb="6">
      <t>ナ</t>
    </rPh>
    <phoneticPr fontId="5"/>
  </si>
  <si>
    <t>110H</t>
    <phoneticPr fontId="5"/>
  </si>
  <si>
    <t>100H</t>
    <phoneticPr fontId="5"/>
  </si>
  <si>
    <t>400H</t>
    <phoneticPr fontId="5"/>
  </si>
  <si>
    <t>3000SC</t>
    <phoneticPr fontId="5"/>
  </si>
  <si>
    <t>5000W</t>
    <phoneticPr fontId="5"/>
  </si>
  <si>
    <t>少年B砲丸投</t>
    <rPh sb="0" eb="1">
      <t>ショウ</t>
    </rPh>
    <rPh sb="1" eb="2">
      <t>ネン</t>
    </rPh>
    <rPh sb="3" eb="6">
      <t>ホウガンナ</t>
    </rPh>
    <phoneticPr fontId="5"/>
  </si>
  <si>
    <t>ABCｼﾞｬﾍﾞﾘｯｸ</t>
    <phoneticPr fontId="5"/>
  </si>
  <si>
    <t>ABCｼﾞｬﾍﾞﾘｯｸ</t>
    <phoneticPr fontId="5"/>
  </si>
  <si>
    <t>ABCｼﾞｬﾍﾞﾘｯｸ</t>
    <phoneticPr fontId="5"/>
  </si>
  <si>
    <t>ABCｼﾞｬﾍﾞﾘｯｸ</t>
    <phoneticPr fontId="4"/>
  </si>
  <si>
    <t>登録月日</t>
    <rPh sb="0" eb="2">
      <t>トウロク</t>
    </rPh>
    <rPh sb="2" eb="4">
      <t>ツキヒ</t>
    </rPh>
    <phoneticPr fontId="5"/>
  </si>
  <si>
    <t>登録番号</t>
    <rPh sb="0" eb="2">
      <t>トウロク</t>
    </rPh>
    <rPh sb="2" eb="4">
      <t>バンゴウ</t>
    </rPh>
    <phoneticPr fontId="5"/>
  </si>
  <si>
    <t>登録の種類</t>
    <rPh sb="0" eb="2">
      <t>トウロク</t>
    </rPh>
    <rPh sb="3" eb="5">
      <t>シュルイ</t>
    </rPh>
    <phoneticPr fontId="5"/>
  </si>
  <si>
    <t>フリガナ</t>
    <phoneticPr fontId="5"/>
  </si>
  <si>
    <t>生年月日</t>
    <rPh sb="0" eb="2">
      <t>セイネン</t>
    </rPh>
    <rPh sb="2" eb="4">
      <t>ガッピ</t>
    </rPh>
    <phoneticPr fontId="5"/>
  </si>
  <si>
    <t>(○／○○）</t>
    <phoneticPr fontId="5"/>
  </si>
  <si>
    <t>選手番号</t>
    <rPh sb="0" eb="2">
      <t>センシュ</t>
    </rPh>
    <rPh sb="2" eb="4">
      <t>バンゴウ</t>
    </rPh>
    <phoneticPr fontId="5"/>
  </si>
  <si>
    <t>（姓と名の間は全角１文字スペース）</t>
    <rPh sb="1" eb="2">
      <t>セイ</t>
    </rPh>
    <rPh sb="3" eb="4">
      <t>メイ</t>
    </rPh>
    <rPh sb="5" eb="6">
      <t>アイダ</t>
    </rPh>
    <rPh sb="7" eb="9">
      <t>ゼンカク</t>
    </rPh>
    <rPh sb="10" eb="12">
      <t>モジ</t>
    </rPh>
    <phoneticPr fontId="5"/>
  </si>
  <si>
    <t>（全角カタカナで入力、姓と名の間は全角１文字スペース）</t>
    <rPh sb="1" eb="3">
      <t>ゼンカク</t>
    </rPh>
    <rPh sb="8" eb="10">
      <t>ニュウリョク</t>
    </rPh>
    <rPh sb="11" eb="12">
      <t>セイ</t>
    </rPh>
    <rPh sb="13" eb="14">
      <t>メイ</t>
    </rPh>
    <rPh sb="15" eb="16">
      <t>アイダ</t>
    </rPh>
    <rPh sb="17" eb="19">
      <t>ゼンカク</t>
    </rPh>
    <rPh sb="20" eb="22">
      <t>モジ</t>
    </rPh>
    <phoneticPr fontId="5"/>
  </si>
  <si>
    <t>年（西暦）</t>
    <rPh sb="0" eb="1">
      <t>ネン</t>
    </rPh>
    <rPh sb="2" eb="4">
      <t>セイレキ</t>
    </rPh>
    <phoneticPr fontId="5"/>
  </si>
  <si>
    <t>ナンバーA</t>
    <phoneticPr fontId="5"/>
  </si>
  <si>
    <t>月日</t>
    <phoneticPr fontId="5"/>
  </si>
  <si>
    <t>コード</t>
    <phoneticPr fontId="5"/>
  </si>
  <si>
    <t>記録</t>
    <phoneticPr fontId="5"/>
  </si>
  <si>
    <t>記録3</t>
    <phoneticPr fontId="5"/>
  </si>
  <si>
    <t>4×400R</t>
    <phoneticPr fontId="5"/>
  </si>
  <si>
    <t>リレー</t>
    <phoneticPr fontId="5"/>
  </si>
  <si>
    <t>記録5</t>
    <phoneticPr fontId="5"/>
  </si>
  <si>
    <t>100H</t>
  </si>
  <si>
    <t>110H</t>
  </si>
  <si>
    <t>スポーツF</t>
    <phoneticPr fontId="5"/>
  </si>
  <si>
    <t>決定No</t>
    <rPh sb="0" eb="2">
      <t>ケッテイ</t>
    </rPh>
    <phoneticPr fontId="5"/>
  </si>
  <si>
    <r>
      <t>最後に添付ファイル作成ボタンをクリックのこと。添付ファイルが作成されます</t>
    </r>
    <r>
      <rPr>
        <sz val="11"/>
        <rFont val="ＭＳ Ｐゴシック"/>
        <family val="3"/>
        <charset val="128"/>
      </rPr>
      <t>。</t>
    </r>
    <rPh sb="0" eb="2">
      <t>サイゴ</t>
    </rPh>
    <rPh sb="3" eb="5">
      <t>テンプ</t>
    </rPh>
    <rPh sb="9" eb="11">
      <t>サクセイ</t>
    </rPh>
    <rPh sb="23" eb="25">
      <t>テンプ</t>
    </rPh>
    <rPh sb="30" eb="32">
      <t>サクセイ</t>
    </rPh>
    <phoneticPr fontId="5"/>
  </si>
  <si>
    <t>中学</t>
    <rPh sb="0" eb="2">
      <t>チュウガク</t>
    </rPh>
    <phoneticPr fontId="5"/>
  </si>
  <si>
    <t>インターネットに接続できれば申込できます</t>
    <rPh sb="8" eb="10">
      <t>セツゾク</t>
    </rPh>
    <rPh sb="14" eb="16">
      <t>モウシコミ</t>
    </rPh>
    <phoneticPr fontId="5"/>
  </si>
  <si>
    <t>三重</t>
    <rPh sb="0" eb="2">
      <t>ミエ</t>
    </rPh>
    <phoneticPr fontId="4"/>
  </si>
  <si>
    <t>第16回三重タスキリレー大会　</t>
    <rPh sb="0" eb="1">
      <t>ダイ</t>
    </rPh>
    <rPh sb="3" eb="4">
      <t>カイ</t>
    </rPh>
    <rPh sb="4" eb="6">
      <t>ミエ</t>
    </rPh>
    <rPh sb="12" eb="14">
      <t>タイカイ</t>
    </rPh>
    <phoneticPr fontId="5"/>
  </si>
  <si>
    <t>23</t>
    <phoneticPr fontId="5"/>
  </si>
  <si>
    <t>国体1次選考競技会</t>
    <rPh sb="0" eb="2">
      <t>コクタイ</t>
    </rPh>
    <rPh sb="3" eb="4">
      <t>ジ</t>
    </rPh>
    <rPh sb="4" eb="6">
      <t>センコウ</t>
    </rPh>
    <rPh sb="6" eb="9">
      <t>キョウギカイ</t>
    </rPh>
    <phoneticPr fontId="5"/>
  </si>
  <si>
    <t>23</t>
    <phoneticPr fontId="4"/>
  </si>
  <si>
    <t>三重県選手権</t>
    <rPh sb="0" eb="2">
      <t>ミエ</t>
    </rPh>
    <rPh sb="2" eb="3">
      <t>ケン</t>
    </rPh>
    <rPh sb="3" eb="6">
      <t>センシュケン</t>
    </rPh>
    <phoneticPr fontId="5"/>
  </si>
  <si>
    <t>地区推薦は大会名に推薦と入力して下さい。それ以外は受理致しません。</t>
    <rPh sb="0" eb="2">
      <t>チク</t>
    </rPh>
    <rPh sb="2" eb="4">
      <t>スイセン</t>
    </rPh>
    <rPh sb="5" eb="7">
      <t>タイカイ</t>
    </rPh>
    <rPh sb="7" eb="8">
      <t>メイ</t>
    </rPh>
    <rPh sb="9" eb="11">
      <t>スイセン</t>
    </rPh>
    <rPh sb="12" eb="14">
      <t>ニュウリョク</t>
    </rPh>
    <rPh sb="16" eb="17">
      <t>クダ</t>
    </rPh>
    <rPh sb="22" eb="24">
      <t>イガイ</t>
    </rPh>
    <rPh sb="25" eb="27">
      <t>ジュリ</t>
    </rPh>
    <rPh sb="27" eb="28">
      <t>イタ</t>
    </rPh>
    <phoneticPr fontId="5"/>
  </si>
  <si>
    <t>三重タスキリレー大会　</t>
    <rPh sb="0" eb="2">
      <t>ミエ</t>
    </rPh>
    <rPh sb="8" eb="10">
      <t>タイカイ</t>
    </rPh>
    <phoneticPr fontId="5"/>
  </si>
  <si>
    <t>中日三重お伊勢さんマラソン</t>
    <rPh sb="0" eb="2">
      <t>チュウニチ</t>
    </rPh>
    <rPh sb="2" eb="4">
      <t>ミエ</t>
    </rPh>
    <rPh sb="5" eb="7">
      <t>イセ</t>
    </rPh>
    <phoneticPr fontId="5"/>
  </si>
  <si>
    <t>三重陸協より割り振られた</t>
    <rPh sb="0" eb="2">
      <t>ミエ</t>
    </rPh>
    <rPh sb="2" eb="4">
      <t>リクキョウ</t>
    </rPh>
    <rPh sb="6" eb="7">
      <t>ワ</t>
    </rPh>
    <rPh sb="8" eb="9">
      <t>フ</t>
    </rPh>
    <phoneticPr fontId="5"/>
  </si>
  <si>
    <t>ｸﾗﾌﾞ名</t>
    <rPh sb="4" eb="5">
      <t>メイ</t>
    </rPh>
    <phoneticPr fontId="4"/>
  </si>
  <si>
    <t>　　百五銀行　生桑(ｲｸﾜ)支店　普通預金　口座番号　４４０２６６　口座名　一般財団法人三重陸上競技協会</t>
    <rPh sb="2" eb="4">
      <t>１０５</t>
    </rPh>
    <rPh sb="4" eb="6">
      <t>ギンコウ</t>
    </rPh>
    <rPh sb="7" eb="8">
      <t>イ</t>
    </rPh>
    <rPh sb="8" eb="9">
      <t>クワ</t>
    </rPh>
    <rPh sb="14" eb="16">
      <t>シテン</t>
    </rPh>
    <rPh sb="17" eb="19">
      <t>フツウ</t>
    </rPh>
    <rPh sb="19" eb="21">
      <t>ヨキン</t>
    </rPh>
    <rPh sb="22" eb="24">
      <t>コウザ</t>
    </rPh>
    <rPh sb="24" eb="26">
      <t>バンゴウ</t>
    </rPh>
    <rPh sb="34" eb="36">
      <t>コウザ</t>
    </rPh>
    <rPh sb="36" eb="37">
      <t>メイ</t>
    </rPh>
    <rPh sb="38" eb="40">
      <t>イッパン</t>
    </rPh>
    <rPh sb="40" eb="42">
      <t>ザイダン</t>
    </rPh>
    <rPh sb="42" eb="44">
      <t>ホウジン</t>
    </rPh>
    <rPh sb="44" eb="46">
      <t>ミエ</t>
    </rPh>
    <rPh sb="46" eb="48">
      <t>リクジョウ</t>
    </rPh>
    <rPh sb="48" eb="50">
      <t>キョウギ</t>
    </rPh>
    <rPh sb="50" eb="52">
      <t>キョウカイ</t>
    </rPh>
    <phoneticPr fontId="5"/>
  </si>
  <si>
    <t>ｱｽﾘｰﾄY</t>
  </si>
  <si>
    <t>ｲﾑﾗAA</t>
  </si>
  <si>
    <t>上野AC</t>
  </si>
  <si>
    <t>熊野RC</t>
  </si>
  <si>
    <t>Y.W.C</t>
  </si>
  <si>
    <t>中学生クラブ登録者　大会申込み概要</t>
    <rPh sb="0" eb="3">
      <t>チュウガクセイ</t>
    </rPh>
    <rPh sb="6" eb="9">
      <t>トウロクシャ</t>
    </rPh>
    <rPh sb="10" eb="12">
      <t>タイカイ</t>
    </rPh>
    <rPh sb="12" eb="14">
      <t>モウシコミ</t>
    </rPh>
    <rPh sb="15" eb="17">
      <t>ガイヨウ</t>
    </rPh>
    <phoneticPr fontId="5"/>
  </si>
  <si>
    <t>*</t>
    <phoneticPr fontId="5"/>
  </si>
  <si>
    <t>*</t>
    <phoneticPr fontId="5"/>
  </si>
  <si>
    <t>プログラム冊数</t>
    <rPh sb="5" eb="7">
      <t>サッスウ</t>
    </rPh>
    <phoneticPr fontId="5"/>
  </si>
  <si>
    <t>冊</t>
    <rPh sb="0" eb="1">
      <t>サツ</t>
    </rPh>
    <phoneticPr fontId="5"/>
  </si>
  <si>
    <t>少年B100</t>
    <rPh sb="0" eb="2">
      <t>ショウネン</t>
    </rPh>
    <phoneticPr fontId="5"/>
  </si>
  <si>
    <t>少年B100</t>
    <rPh sb="0" eb="1">
      <t>ショウ</t>
    </rPh>
    <rPh sb="1" eb="2">
      <t>ネン</t>
    </rPh>
    <phoneticPr fontId="5"/>
  </si>
  <si>
    <t>プログラム冊数</t>
    <rPh sb="5" eb="7">
      <t>サッスウ</t>
    </rPh>
    <phoneticPr fontId="5"/>
  </si>
  <si>
    <t>冊</t>
    <rPh sb="0" eb="1">
      <t>サツ</t>
    </rPh>
    <phoneticPr fontId="5"/>
  </si>
  <si>
    <t>プログラム冊数</t>
    <rPh sb="5" eb="7">
      <t>サッスウ</t>
    </rPh>
    <phoneticPr fontId="5"/>
  </si>
  <si>
    <t>冊</t>
    <rPh sb="0" eb="1">
      <t>サツ</t>
    </rPh>
    <phoneticPr fontId="5"/>
  </si>
  <si>
    <t>11.90</t>
  </si>
  <si>
    <t>24.10</t>
  </si>
  <si>
    <t>9.50.00</t>
  </si>
  <si>
    <t>18.00</t>
  </si>
  <si>
    <t>1m60</t>
  </si>
  <si>
    <t>10m00</t>
  </si>
  <si>
    <t>29m00</t>
  </si>
  <si>
    <t>40m00</t>
  </si>
  <si>
    <t>12.30</t>
  </si>
  <si>
    <t>4.45.00</t>
  </si>
  <si>
    <t>20.50</t>
  </si>
  <si>
    <t>5m20</t>
  </si>
  <si>
    <t>5k  8m50</t>
  </si>
  <si>
    <t>4k 10m50</t>
  </si>
  <si>
    <t>13.10</t>
  </si>
  <si>
    <t>5.10.00</t>
  </si>
  <si>
    <t>4m40</t>
  </si>
  <si>
    <t>13.40</t>
  </si>
  <si>
    <t>28.30</t>
  </si>
  <si>
    <t>11.20.00</t>
  </si>
  <si>
    <t>17.00</t>
  </si>
  <si>
    <t>1m35</t>
  </si>
  <si>
    <t>4k  7m50</t>
  </si>
  <si>
    <t>2.7k 10m00</t>
  </si>
  <si>
    <t>23m00</t>
  </si>
  <si>
    <t>28m00</t>
  </si>
  <si>
    <t>13.70</t>
  </si>
  <si>
    <t>5.25.00</t>
  </si>
  <si>
    <t>19.00</t>
  </si>
  <si>
    <t>4m30</t>
  </si>
  <si>
    <t>8m00</t>
  </si>
  <si>
    <t>14.20</t>
  </si>
  <si>
    <t>2.45.00</t>
  </si>
  <si>
    <t>4m00</t>
  </si>
  <si>
    <t>PBASE</t>
  </si>
  <si>
    <t>IFC RC</t>
  </si>
  <si>
    <t>JACK</t>
  </si>
  <si>
    <t>陸連ID</t>
    <rPh sb="0" eb="2">
      <t>リクレン</t>
    </rPh>
    <phoneticPr fontId="5"/>
  </si>
  <si>
    <t>陸連ID</t>
    <rPh sb="0" eb="2">
      <t>リクレン</t>
    </rPh>
    <phoneticPr fontId="4"/>
  </si>
  <si>
    <t>少年B走幅跳</t>
    <rPh sb="0" eb="1">
      <t>ショウ</t>
    </rPh>
    <rPh sb="1" eb="2">
      <t>ネン</t>
    </rPh>
    <rPh sb="3" eb="4">
      <t>ハシ</t>
    </rPh>
    <rPh sb="4" eb="6">
      <t>ハバト</t>
    </rPh>
    <phoneticPr fontId="5"/>
  </si>
  <si>
    <t>陸連ID</t>
    <phoneticPr fontId="5"/>
  </si>
  <si>
    <t>少年B走幅跳</t>
    <rPh sb="0" eb="2">
      <t>ショウネン</t>
    </rPh>
    <rPh sb="3" eb="4">
      <t>ハシ</t>
    </rPh>
    <rPh sb="4" eb="6">
      <t>ハバト</t>
    </rPh>
    <phoneticPr fontId="5"/>
  </si>
  <si>
    <t>陸連ID</t>
    <rPh sb="0" eb="2">
      <t>リクレン</t>
    </rPh>
    <phoneticPr fontId="5"/>
  </si>
</sst>
</file>

<file path=xl/styles.xml><?xml version="1.0" encoding="utf-8"?>
<styleSheet xmlns="http://schemas.openxmlformats.org/spreadsheetml/2006/main">
  <numFmts count="7">
    <numFmt numFmtId="176" formatCode="&quot;¥&quot;#,##0_);\(&quot;¥&quot;#,##0\)"/>
    <numFmt numFmtId="177" formatCode="0_ "/>
    <numFmt numFmtId="178" formatCode="0_);[Red]\(0\)"/>
    <numFmt numFmtId="179" formatCode="##&quot;人&quot;"/>
    <numFmt numFmtId="180" formatCode="##&quot;種目&quot;"/>
    <numFmt numFmtId="181" formatCode="&quot;計&quot;##&quot;人&quot;"/>
    <numFmt numFmtId="182" formatCode="m/d;@"/>
  </numFmts>
  <fonts count="7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明朝"/>
      <family val="1"/>
      <charset val="128"/>
    </font>
    <font>
      <b/>
      <sz val="11"/>
      <name val="ＭＳ Ｐゴシック"/>
      <family val="3"/>
      <charset val="128"/>
    </font>
    <font>
      <sz val="9"/>
      <name val="ＭＳ 明朝"/>
      <family val="1"/>
      <charset val="128"/>
    </font>
    <font>
      <b/>
      <u/>
      <sz val="11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i/>
      <sz val="11"/>
      <name val="ＭＳ Ｐゴシック"/>
      <family val="3"/>
      <charset val="128"/>
    </font>
    <font>
      <b/>
      <sz val="10"/>
      <name val="ＭＳ 明朝"/>
      <family val="1"/>
      <charset val="128"/>
    </font>
    <font>
      <b/>
      <sz val="16"/>
      <color indexed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6"/>
      <name val="ＭＳ 明朝"/>
      <family val="1"/>
      <charset val="128"/>
    </font>
    <font>
      <sz val="16"/>
      <name val="ＭＳ 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8"/>
      <name val="ＭＳ 明朝"/>
      <family val="1"/>
      <charset val="128"/>
    </font>
    <font>
      <sz val="11"/>
      <color indexed="10"/>
      <name val="ＭＳ 明朝"/>
      <family val="1"/>
      <charset val="128"/>
    </font>
    <font>
      <u/>
      <sz val="11"/>
      <color indexed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9"/>
      <color indexed="10"/>
      <name val="ＭＳ ゴシック"/>
      <family val="3"/>
      <charset val="128"/>
    </font>
    <font>
      <sz val="1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9"/>
      <name val="ＭＳ 明朝"/>
      <family val="1"/>
      <charset val="128"/>
    </font>
    <font>
      <b/>
      <sz val="12"/>
      <name val="ＭＳ 明朝"/>
      <family val="1"/>
      <charset val="128"/>
    </font>
    <font>
      <b/>
      <sz val="12"/>
      <color indexed="10"/>
      <name val="ＭＳ 明朝"/>
      <family val="1"/>
      <charset val="128"/>
    </font>
    <font>
      <b/>
      <u/>
      <sz val="11"/>
      <name val="ＭＳ Ｐゴシック"/>
      <family val="3"/>
      <charset val="128"/>
    </font>
    <font>
      <b/>
      <u/>
      <sz val="14"/>
      <name val="ＭＳ Ｐゴシック"/>
      <family val="3"/>
      <charset val="128"/>
    </font>
    <font>
      <b/>
      <sz val="10"/>
      <name val="ＭＳ ゴシック"/>
      <family val="3"/>
      <charset val="128"/>
    </font>
    <font>
      <b/>
      <sz val="11"/>
      <color indexed="10"/>
      <name val="ＭＳ 明朝"/>
      <family val="1"/>
      <charset val="128"/>
    </font>
    <font>
      <sz val="12"/>
      <name val="ＭＳ 明朝"/>
      <family val="1"/>
      <charset val="128"/>
    </font>
    <font>
      <sz val="18"/>
      <name val="ＭＳ ゴシック"/>
      <family val="3"/>
      <charset val="128"/>
    </font>
    <font>
      <sz val="12"/>
      <color indexed="12"/>
      <name val="ＭＳ 明朝"/>
      <family val="1"/>
      <charset val="128"/>
    </font>
    <font>
      <b/>
      <sz val="14"/>
      <color indexed="12"/>
      <name val="ＭＳ Ｐゴシック"/>
      <family val="3"/>
      <charset val="128"/>
    </font>
    <font>
      <b/>
      <i/>
      <sz val="14"/>
      <color indexed="12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b/>
      <sz val="11"/>
      <color indexed="8"/>
      <name val="ＭＳ 明朝"/>
      <family val="1"/>
      <charset val="128"/>
    </font>
    <font>
      <b/>
      <sz val="16"/>
      <name val="ＭＳ 明朝"/>
      <family val="1"/>
      <charset val="128"/>
    </font>
    <font>
      <sz val="10"/>
      <color indexed="8"/>
      <name val="ＭＳ Ｐゴシック"/>
      <family val="3"/>
      <charset val="128"/>
    </font>
    <font>
      <b/>
      <sz val="18"/>
      <color indexed="8"/>
      <name val="ＭＳ 明朝"/>
      <family val="1"/>
      <charset val="128"/>
    </font>
    <font>
      <sz val="18"/>
      <color indexed="8"/>
      <name val="ＭＳ 明朝"/>
      <family val="1"/>
      <charset val="128"/>
    </font>
    <font>
      <b/>
      <sz val="16"/>
      <color indexed="8"/>
      <name val="ＭＳ 明朝"/>
      <family val="1"/>
      <charset val="128"/>
    </font>
    <font>
      <b/>
      <sz val="18"/>
      <name val="ＭＳ 明朝"/>
      <family val="1"/>
      <charset val="128"/>
    </font>
    <font>
      <sz val="11"/>
      <name val="ＭＳ 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20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1"/>
      <color indexed="10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14"/>
      <name val="ＭＳ ゴシック"/>
      <family val="3"/>
      <charset val="128"/>
    </font>
    <font>
      <sz val="10"/>
      <color indexed="16"/>
      <name val="ＭＳ Ｐ明朝"/>
      <family val="1"/>
      <charset val="128"/>
    </font>
    <font>
      <sz val="9"/>
      <color indexed="16"/>
      <name val="ＭＳ Ｐ明朝"/>
      <family val="1"/>
      <charset val="128"/>
    </font>
    <font>
      <sz val="12"/>
      <color indexed="16"/>
      <name val="ＭＳ Ｐ明朝"/>
      <family val="1"/>
      <charset val="128"/>
    </font>
    <font>
      <sz val="8"/>
      <color indexed="16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43"/>
      <name val="ＭＳ ゴシック"/>
      <family val="3"/>
      <charset val="128"/>
    </font>
    <font>
      <b/>
      <sz val="10"/>
      <color rgb="FFFF0000"/>
      <name val="ＭＳ 明朝"/>
      <family val="1"/>
      <charset val="128"/>
    </font>
    <font>
      <sz val="11"/>
      <color rgb="FFFFFF99"/>
      <name val="ＭＳ ゴシック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99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16"/>
      </left>
      <right style="thin">
        <color indexed="16"/>
      </right>
      <top/>
      <bottom/>
      <diagonal/>
    </border>
    <border>
      <left style="dotted">
        <color indexed="16"/>
      </left>
      <right style="thin">
        <color indexed="16"/>
      </right>
      <top style="thin">
        <color indexed="16"/>
      </top>
      <bottom/>
      <diagonal/>
    </border>
    <border>
      <left style="thin">
        <color indexed="16"/>
      </left>
      <right style="dotted">
        <color indexed="16"/>
      </right>
      <top style="thin">
        <color indexed="16"/>
      </top>
      <bottom/>
      <diagonal/>
    </border>
    <border>
      <left style="thin">
        <color indexed="16"/>
      </left>
      <right style="thin">
        <color indexed="16"/>
      </right>
      <top style="medium">
        <color indexed="64"/>
      </top>
      <bottom/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/>
      <diagonal/>
    </border>
    <border>
      <left style="thin">
        <color indexed="16"/>
      </left>
      <right style="medium">
        <color indexed="64"/>
      </right>
      <top style="thin">
        <color indexed="16"/>
      </top>
      <bottom/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6"/>
      </left>
      <right style="thin">
        <color indexed="16"/>
      </right>
      <top style="medium">
        <color indexed="64"/>
      </top>
      <bottom style="thin">
        <color indexed="16"/>
      </bottom>
      <diagonal/>
    </border>
    <border>
      <left style="thin">
        <color indexed="16"/>
      </left>
      <right style="medium">
        <color indexed="64"/>
      </right>
      <top style="medium">
        <color indexed="64"/>
      </top>
      <bottom style="thin">
        <color indexed="16"/>
      </bottom>
      <diagonal/>
    </border>
    <border>
      <left style="thin">
        <color indexed="16"/>
      </left>
      <right/>
      <top style="medium">
        <color indexed="64"/>
      </top>
      <bottom style="thin">
        <color indexed="16"/>
      </bottom>
      <diagonal/>
    </border>
    <border>
      <left/>
      <right style="thin">
        <color indexed="16"/>
      </right>
      <top style="medium">
        <color indexed="64"/>
      </top>
      <bottom style="thin">
        <color indexed="16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</borders>
  <cellStyleXfs count="13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  <xf numFmtId="0" fontId="44" fillId="0" borderId="0" applyNumberFormat="0" applyFont="0" applyFill="0" applyBorder="0" applyProtection="0">
      <alignment vertical="center"/>
    </xf>
    <xf numFmtId="0" fontId="8" fillId="0" borderId="0">
      <alignment vertical="center"/>
    </xf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39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4" fillId="0" borderId="0" xfId="5" applyFont="1" applyFill="1"/>
    <xf numFmtId="0" fontId="6" fillId="0" borderId="0" xfId="0" applyFont="1" applyFill="1" applyAlignment="1">
      <alignment horizontal="center" vertical="center"/>
    </xf>
    <xf numFmtId="0" fontId="6" fillId="0" borderId="0" xfId="6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Border="1">
      <alignment vertical="center"/>
    </xf>
    <xf numFmtId="0" fontId="6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distributed" vertical="center"/>
    </xf>
    <xf numFmtId="0" fontId="6" fillId="0" borderId="0" xfId="6" applyFont="1" applyFill="1" applyBorder="1" applyAlignment="1">
      <alignment vertical="center"/>
    </xf>
    <xf numFmtId="0" fontId="0" fillId="0" borderId="0" xfId="0" applyProtection="1">
      <alignment vertical="center"/>
      <protection hidden="1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0" fillId="3" borderId="0" xfId="0" applyFill="1">
      <alignment vertical="center"/>
    </xf>
    <xf numFmtId="0" fontId="8" fillId="0" borderId="0" xfId="7" applyFont="1" applyProtection="1">
      <protection hidden="1"/>
    </xf>
    <xf numFmtId="0" fontId="8" fillId="0" borderId="0" xfId="0" applyFont="1" applyProtection="1">
      <alignment vertical="center"/>
      <protection hidden="1"/>
    </xf>
    <xf numFmtId="0" fontId="8" fillId="0" borderId="4" xfId="7" applyFont="1" applyBorder="1" applyProtection="1">
      <protection hidden="1"/>
    </xf>
    <xf numFmtId="0" fontId="8" fillId="0" borderId="0" xfId="7" applyNumberFormat="1" applyFont="1" applyProtection="1">
      <protection hidden="1"/>
    </xf>
    <xf numFmtId="49" fontId="8" fillId="0" borderId="0" xfId="7" applyNumberFormat="1" applyFont="1" applyProtection="1">
      <protection hidden="1"/>
    </xf>
    <xf numFmtId="49" fontId="8" fillId="0" borderId="0" xfId="7" applyNumberFormat="1" applyFont="1" applyFill="1" applyAlignment="1" applyProtection="1">
      <alignment shrinkToFit="1"/>
      <protection locked="0" hidden="1"/>
    </xf>
    <xf numFmtId="0" fontId="8" fillId="0" borderId="0" xfId="7" applyFont="1" applyProtection="1">
      <protection locked="0" hidden="1"/>
    </xf>
    <xf numFmtId="49" fontId="8" fillId="0" borderId="0" xfId="7" applyNumberFormat="1" applyFont="1" applyFill="1" applyProtection="1">
      <protection locked="0" hidden="1"/>
    </xf>
    <xf numFmtId="0" fontId="14" fillId="0" borderId="5" xfId="7" applyFont="1" applyBorder="1" applyAlignment="1" applyProtection="1">
      <alignment horizontal="center" vertical="center" shrinkToFit="1"/>
      <protection hidden="1"/>
    </xf>
    <xf numFmtId="49" fontId="14" fillId="0" borderId="5" xfId="7" applyNumberFormat="1" applyFont="1" applyBorder="1" applyAlignment="1" applyProtection="1">
      <alignment horizontal="center" vertical="center" shrinkToFit="1"/>
      <protection hidden="1"/>
    </xf>
    <xf numFmtId="0" fontId="14" fillId="0" borderId="0" xfId="7" applyFont="1" applyAlignment="1" applyProtection="1">
      <alignment horizontal="left" vertical="center" shrinkToFit="1"/>
      <protection hidden="1"/>
    </xf>
    <xf numFmtId="0" fontId="14" fillId="0" borderId="0" xfId="7" applyFont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49" fontId="14" fillId="0" borderId="6" xfId="7" applyNumberFormat="1" applyFont="1" applyFill="1" applyBorder="1" applyAlignment="1" applyProtection="1">
      <alignment horizontal="center" vertical="center" shrinkToFit="1"/>
      <protection locked="0" hidden="1"/>
    </xf>
    <xf numFmtId="49" fontId="14" fillId="0" borderId="0" xfId="7" applyNumberFormat="1" applyFont="1" applyAlignment="1" applyProtection="1">
      <alignment horizontal="right"/>
      <protection locked="0" hidden="1"/>
    </xf>
    <xf numFmtId="49" fontId="14" fillId="0" borderId="0" xfId="7" applyNumberFormat="1" applyFont="1" applyFill="1" applyAlignment="1" applyProtection="1">
      <alignment shrinkToFit="1"/>
      <protection locked="0" hidden="1"/>
    </xf>
    <xf numFmtId="0" fontId="15" fillId="0" borderId="0" xfId="0" applyFont="1" applyAlignment="1" applyProtection="1">
      <alignment vertical="center" shrinkToFit="1"/>
      <protection hidden="1"/>
    </xf>
    <xf numFmtId="0" fontId="14" fillId="0" borderId="0" xfId="7" applyNumberFormat="1" applyFont="1" applyAlignment="1" applyProtection="1">
      <alignment horizontal="right"/>
      <protection locked="0" hidden="1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7" fillId="0" borderId="0" xfId="0" applyFont="1">
      <alignment vertical="center"/>
    </xf>
    <xf numFmtId="0" fontId="8" fillId="0" borderId="0" xfId="12" applyNumberFormat="1" applyFont="1" applyProtection="1">
      <protection hidden="1"/>
    </xf>
    <xf numFmtId="49" fontId="0" fillId="0" borderId="7" xfId="0" applyNumberFormat="1" applyBorder="1">
      <alignment vertical="center"/>
    </xf>
    <xf numFmtId="0" fontId="0" fillId="0" borderId="8" xfId="0" applyBorder="1">
      <alignment vertical="center"/>
    </xf>
    <xf numFmtId="0" fontId="0" fillId="0" borderId="8" xfId="0" applyNumberFormat="1" applyBorder="1">
      <alignment vertical="center"/>
    </xf>
    <xf numFmtId="0" fontId="0" fillId="0" borderId="7" xfId="0" applyBorder="1">
      <alignment vertical="center"/>
    </xf>
    <xf numFmtId="0" fontId="0" fillId="0" borderId="9" xfId="0" applyNumberFormat="1" applyBorder="1">
      <alignment vertical="center"/>
    </xf>
    <xf numFmtId="0" fontId="0" fillId="0" borderId="10" xfId="0" applyNumberFormat="1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49" fontId="0" fillId="0" borderId="9" xfId="0" applyNumberFormat="1" applyBorder="1">
      <alignment vertical="center"/>
    </xf>
    <xf numFmtId="0" fontId="0" fillId="0" borderId="11" xfId="0" applyBorder="1">
      <alignment vertical="center"/>
    </xf>
    <xf numFmtId="49" fontId="0" fillId="0" borderId="12" xfId="0" applyNumberFormat="1" applyBorder="1">
      <alignment vertical="center"/>
    </xf>
    <xf numFmtId="0" fontId="0" fillId="0" borderId="11" xfId="0" applyNumberFormat="1" applyBorder="1">
      <alignment vertical="center"/>
    </xf>
    <xf numFmtId="49" fontId="0" fillId="0" borderId="8" xfId="0" applyNumberFormat="1" applyBorder="1">
      <alignment vertical="center"/>
    </xf>
    <xf numFmtId="0" fontId="20" fillId="0" borderId="0" xfId="0" applyFont="1">
      <alignment vertical="center"/>
    </xf>
    <xf numFmtId="0" fontId="0" fillId="0" borderId="13" xfId="0" applyBorder="1">
      <alignment vertical="center"/>
    </xf>
    <xf numFmtId="0" fontId="9" fillId="0" borderId="0" xfId="0" applyFont="1">
      <alignment vertical="center"/>
    </xf>
    <xf numFmtId="0" fontId="8" fillId="0" borderId="0" xfId="7" applyFont="1" applyBorder="1" applyProtection="1">
      <protection hidden="1"/>
    </xf>
    <xf numFmtId="0" fontId="8" fillId="0" borderId="0" xfId="4">
      <alignment vertical="center"/>
    </xf>
    <xf numFmtId="0" fontId="29" fillId="0" borderId="0" xfId="0" applyFont="1">
      <alignment vertical="center"/>
    </xf>
    <xf numFmtId="0" fontId="0" fillId="0" borderId="0" xfId="0" applyNumberFormat="1" applyBorder="1">
      <alignment vertical="center"/>
    </xf>
    <xf numFmtId="0" fontId="21" fillId="0" borderId="0" xfId="0" applyFont="1">
      <alignment vertical="center"/>
    </xf>
    <xf numFmtId="0" fontId="28" fillId="0" borderId="0" xfId="0" applyFont="1">
      <alignment vertical="center"/>
    </xf>
    <xf numFmtId="49" fontId="0" fillId="0" borderId="7" xfId="0" applyNumberFormat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9" xfId="0" applyNumberFormat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49" fontId="0" fillId="0" borderId="9" xfId="0" applyNumberFormat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49" fontId="0" fillId="0" borderId="12" xfId="0" applyNumberFormat="1" applyBorder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0" borderId="11" xfId="0" applyNumberFormat="1" applyFill="1" applyBorder="1">
      <alignment vertical="center"/>
    </xf>
    <xf numFmtId="0" fontId="0" fillId="0" borderId="0" xfId="0" applyNumberFormat="1" applyAlignment="1">
      <alignment horizontal="left" vertical="center"/>
    </xf>
    <xf numFmtId="0" fontId="0" fillId="0" borderId="0" xfId="0" applyFill="1" applyBorder="1">
      <alignment vertical="center"/>
    </xf>
    <xf numFmtId="0" fontId="4" fillId="0" borderId="0" xfId="5" applyFont="1" applyFill="1" applyAlignment="1">
      <alignment horizontal="center"/>
    </xf>
    <xf numFmtId="0" fontId="6" fillId="0" borderId="0" xfId="0" applyFont="1" applyFill="1" applyAlignment="1" applyProtection="1">
      <alignment horizontal="center" vertical="center"/>
      <protection locked="0" hidden="1"/>
    </xf>
    <xf numFmtId="0" fontId="6" fillId="0" borderId="0" xfId="0" applyFont="1" applyFill="1" applyAlignment="1" applyProtection="1">
      <alignment vertical="center"/>
      <protection locked="0" hidden="1"/>
    </xf>
    <xf numFmtId="0" fontId="6" fillId="0" borderId="0" xfId="6" applyFont="1" applyFill="1" applyBorder="1" applyAlignment="1" applyProtection="1">
      <alignment horizontal="center" vertical="center"/>
      <protection locked="0" hidden="1"/>
    </xf>
    <xf numFmtId="0" fontId="0" fillId="0" borderId="10" xfId="0" applyNumberFormat="1" applyFill="1" applyBorder="1">
      <alignment vertical="center"/>
    </xf>
    <xf numFmtId="49" fontId="0" fillId="0" borderId="0" xfId="0" applyNumberFormat="1" applyBorder="1">
      <alignment vertical="center"/>
    </xf>
    <xf numFmtId="0" fontId="6" fillId="0" borderId="0" xfId="6" applyFont="1" applyFill="1" applyBorder="1" applyAlignment="1" applyProtection="1">
      <alignment horizontal="center" vertical="center"/>
      <protection hidden="1"/>
    </xf>
    <xf numFmtId="0" fontId="6" fillId="0" borderId="0" xfId="6" applyFont="1" applyFill="1" applyBorder="1" applyAlignment="1" applyProtection="1">
      <alignment vertical="center"/>
      <protection hidden="1"/>
    </xf>
    <xf numFmtId="0" fontId="8" fillId="0" borderId="0" xfId="0" applyFont="1">
      <alignment vertical="center"/>
    </xf>
    <xf numFmtId="0" fontId="0" fillId="0" borderId="10" xfId="0" applyFill="1" applyBorder="1">
      <alignment vertical="center"/>
    </xf>
    <xf numFmtId="0" fontId="14" fillId="0" borderId="0" xfId="7" applyFont="1" applyBorder="1" applyAlignment="1" applyProtection="1">
      <alignment horizontal="center" vertical="center" shrinkToFit="1"/>
      <protection hidden="1"/>
    </xf>
    <xf numFmtId="0" fontId="0" fillId="0" borderId="25" xfId="0" applyBorder="1">
      <alignment vertical="center"/>
    </xf>
    <xf numFmtId="0" fontId="0" fillId="0" borderId="25" xfId="0" applyBorder="1" applyAlignment="1">
      <alignment horizontal="center" vertical="center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0" borderId="0" xfId="0" applyProtection="1">
      <alignment vertical="center"/>
      <protection locked="0"/>
    </xf>
    <xf numFmtId="0" fontId="14" fillId="0" borderId="27" xfId="7" applyFont="1" applyBorder="1" applyAlignment="1" applyProtection="1">
      <alignment horizontal="center" vertical="center" shrinkToFit="1"/>
      <protection hidden="1"/>
    </xf>
    <xf numFmtId="0" fontId="14" fillId="0" borderId="0" xfId="7" applyFont="1" applyAlignment="1" applyProtection="1">
      <alignment horizontal="center"/>
      <protection hidden="1"/>
    </xf>
    <xf numFmtId="0" fontId="0" fillId="0" borderId="0" xfId="0" applyFill="1">
      <alignment vertical="center"/>
    </xf>
    <xf numFmtId="0" fontId="14" fillId="0" borderId="0" xfId="12" applyNumberFormat="1" applyFont="1" applyFill="1" applyAlignment="1" applyProtection="1">
      <alignment shrinkToFit="1"/>
      <protection locked="0" hidden="1"/>
    </xf>
    <xf numFmtId="0" fontId="14" fillId="0" borderId="0" xfId="12" applyNumberFormat="1" applyFont="1" applyProtection="1">
      <protection hidden="1"/>
    </xf>
    <xf numFmtId="0" fontId="14" fillId="0" borderId="0" xfId="12" applyNumberFormat="1" applyFont="1" applyAlignment="1" applyProtection="1">
      <alignment horizontal="right"/>
      <protection locked="0" hidden="1"/>
    </xf>
    <xf numFmtId="0" fontId="8" fillId="0" borderId="0" xfId="12" applyNumberFormat="1" applyFont="1" applyFill="1" applyAlignment="1" applyProtection="1">
      <alignment shrinkToFit="1"/>
      <protection locked="0" hidden="1"/>
    </xf>
    <xf numFmtId="0" fontId="10" fillId="0" borderId="0" xfId="12" applyNumberFormat="1" applyFont="1" applyProtection="1">
      <protection locked="0" hidden="1"/>
    </xf>
    <xf numFmtId="0" fontId="8" fillId="0" borderId="0" xfId="0" applyNumberFormat="1" applyFont="1" applyProtection="1">
      <alignment vertical="center"/>
      <protection hidden="1"/>
    </xf>
    <xf numFmtId="0" fontId="8" fillId="0" borderId="0" xfId="12" applyNumberFormat="1" applyFont="1" applyProtection="1">
      <protection locked="0" hidden="1"/>
    </xf>
    <xf numFmtId="0" fontId="14" fillId="0" borderId="0" xfId="12" applyNumberFormat="1" applyFont="1" applyAlignment="1" applyProtection="1">
      <alignment horizontal="left" vertical="center" shrinkToFit="1"/>
      <protection hidden="1"/>
    </xf>
    <xf numFmtId="0" fontId="14" fillId="0" borderId="28" xfId="12" applyNumberFormat="1" applyFont="1" applyBorder="1" applyAlignment="1" applyProtection="1">
      <alignment horizontal="center" vertical="center" shrinkToFit="1"/>
      <protection hidden="1"/>
    </xf>
    <xf numFmtId="0" fontId="14" fillId="0" borderId="30" xfId="12" applyNumberFormat="1" applyFont="1" applyBorder="1" applyAlignment="1" applyProtection="1">
      <alignment horizontal="center" vertical="center" shrinkToFit="1"/>
      <protection hidden="1"/>
    </xf>
    <xf numFmtId="0" fontId="14" fillId="0" borderId="31" xfId="12" applyNumberFormat="1" applyFont="1" applyFill="1" applyBorder="1" applyAlignment="1" applyProtection="1">
      <alignment horizontal="center" vertical="center" shrinkToFit="1"/>
      <protection hidden="1"/>
    </xf>
    <xf numFmtId="0" fontId="14" fillId="0" borderId="5" xfId="12" applyNumberFormat="1" applyFont="1" applyBorder="1" applyAlignment="1" applyProtection="1">
      <alignment horizontal="left" vertical="center" shrinkToFit="1"/>
      <protection hidden="1"/>
    </xf>
    <xf numFmtId="0" fontId="14" fillId="0" borderId="32" xfId="12" applyNumberFormat="1" applyFont="1" applyBorder="1" applyAlignment="1" applyProtection="1">
      <alignment horizontal="center" vertical="center" shrinkToFit="1"/>
      <protection hidden="1"/>
    </xf>
    <xf numFmtId="0" fontId="14" fillId="0" borderId="31" xfId="12" applyNumberFormat="1" applyFont="1" applyFill="1" applyBorder="1" applyAlignment="1" applyProtection="1">
      <alignment horizontal="center" vertical="center" shrinkToFit="1"/>
      <protection locked="0" hidden="1"/>
    </xf>
    <xf numFmtId="0" fontId="14" fillId="0" borderId="33" xfId="12" applyNumberFormat="1" applyFont="1" applyBorder="1" applyAlignment="1" applyProtection="1">
      <alignment horizontal="center" vertical="center" shrinkToFit="1"/>
      <protection locked="0" hidden="1"/>
    </xf>
    <xf numFmtId="0" fontId="14" fillId="0" borderId="29" xfId="12" applyNumberFormat="1" applyFont="1" applyFill="1" applyBorder="1" applyAlignment="1" applyProtection="1">
      <alignment horizontal="center" vertical="center" shrinkToFit="1"/>
      <protection locked="0" hidden="1"/>
    </xf>
    <xf numFmtId="0" fontId="14" fillId="0" borderId="29" xfId="12" applyNumberFormat="1" applyFont="1" applyBorder="1" applyAlignment="1" applyProtection="1">
      <alignment horizontal="left" vertical="center" shrinkToFit="1"/>
      <protection hidden="1"/>
    </xf>
    <xf numFmtId="0" fontId="14" fillId="0" borderId="29" xfId="12" applyNumberFormat="1" applyFont="1" applyBorder="1" applyAlignment="1" applyProtection="1">
      <alignment horizontal="left" vertical="center" shrinkToFit="1"/>
      <protection locked="0" hidden="1"/>
    </xf>
    <xf numFmtId="0" fontId="14" fillId="0" borderId="34" xfId="12" applyNumberFormat="1" applyFont="1" applyBorder="1" applyAlignment="1" applyProtection="1">
      <alignment horizontal="left" vertical="center" shrinkToFit="1"/>
      <protection locked="0" hidden="1"/>
    </xf>
    <xf numFmtId="0" fontId="14" fillId="0" borderId="0" xfId="0" applyNumberFormat="1" applyFont="1" applyAlignment="1" applyProtection="1">
      <alignment horizontal="center" vertical="center" shrinkToFit="1"/>
      <protection hidden="1"/>
    </xf>
    <xf numFmtId="0" fontId="14" fillId="0" borderId="0" xfId="12" applyNumberFormat="1" applyFont="1" applyAlignment="1" applyProtection="1">
      <alignment horizontal="center" vertical="center" shrinkToFit="1"/>
      <protection hidden="1"/>
    </xf>
    <xf numFmtId="0" fontId="14" fillId="5" borderId="24" xfId="12" applyNumberFormat="1" applyFont="1" applyFill="1" applyBorder="1" applyAlignment="1" applyProtection="1">
      <alignment shrinkToFit="1"/>
      <protection locked="0" hidden="1"/>
    </xf>
    <xf numFmtId="0" fontId="14" fillId="0" borderId="18" xfId="12" applyNumberFormat="1" applyFont="1" applyBorder="1" applyProtection="1">
      <protection hidden="1"/>
    </xf>
    <xf numFmtId="0" fontId="14" fillId="6" borderId="35" xfId="12" applyNumberFormat="1" applyFont="1" applyFill="1" applyBorder="1" applyAlignment="1" applyProtection="1">
      <alignment horizontal="right"/>
      <protection locked="0" hidden="1"/>
    </xf>
    <xf numFmtId="0" fontId="14" fillId="6" borderId="19" xfId="12" applyNumberFormat="1" applyFont="1" applyFill="1" applyBorder="1" applyAlignment="1" applyProtection="1">
      <alignment horizontal="right"/>
      <protection locked="0" hidden="1"/>
    </xf>
    <xf numFmtId="0" fontId="8" fillId="5" borderId="24" xfId="12" applyNumberFormat="1" applyFont="1" applyFill="1" applyBorder="1" applyAlignment="1" applyProtection="1">
      <alignment shrinkToFit="1"/>
      <protection locked="0" hidden="1"/>
    </xf>
    <xf numFmtId="0" fontId="8" fillId="0" borderId="18" xfId="12" applyNumberFormat="1" applyFont="1" applyBorder="1" applyProtection="1">
      <protection hidden="1"/>
    </xf>
    <xf numFmtId="0" fontId="10" fillId="6" borderId="18" xfId="12" applyNumberFormat="1" applyFont="1" applyFill="1" applyBorder="1" applyProtection="1">
      <protection locked="0" hidden="1"/>
    </xf>
    <xf numFmtId="0" fontId="8" fillId="5" borderId="18" xfId="12" applyNumberFormat="1" applyFont="1" applyFill="1" applyBorder="1" applyAlignment="1" applyProtection="1">
      <alignment shrinkToFit="1"/>
      <protection locked="0" hidden="1"/>
    </xf>
    <xf numFmtId="0" fontId="10" fillId="6" borderId="19" xfId="12" applyNumberFormat="1" applyFont="1" applyFill="1" applyBorder="1" applyProtection="1">
      <protection locked="0" hidden="1"/>
    </xf>
    <xf numFmtId="0" fontId="14" fillId="0" borderId="4" xfId="12" applyNumberFormat="1" applyFont="1" applyBorder="1" applyProtection="1">
      <protection hidden="1"/>
    </xf>
    <xf numFmtId="0" fontId="14" fillId="5" borderId="22" xfId="12" applyNumberFormat="1" applyFont="1" applyFill="1" applyBorder="1" applyAlignment="1" applyProtection="1">
      <alignment shrinkToFit="1"/>
      <protection locked="0" hidden="1"/>
    </xf>
    <xf numFmtId="0" fontId="8" fillId="5" borderId="22" xfId="12" applyNumberFormat="1" applyFont="1" applyFill="1" applyBorder="1" applyAlignment="1" applyProtection="1">
      <alignment shrinkToFit="1"/>
      <protection locked="0" hidden="1"/>
    </xf>
    <xf numFmtId="0" fontId="8" fillId="0" borderId="4" xfId="12" applyNumberFormat="1" applyFont="1" applyBorder="1" applyProtection="1">
      <protection hidden="1"/>
    </xf>
    <xf numFmtId="0" fontId="8" fillId="5" borderId="4" xfId="12" applyNumberFormat="1" applyFont="1" applyFill="1" applyBorder="1" applyAlignment="1" applyProtection="1">
      <alignment shrinkToFit="1"/>
      <protection locked="0" hidden="1"/>
    </xf>
    <xf numFmtId="0" fontId="0" fillId="0" borderId="0" xfId="0" applyNumberFormat="1" applyProtection="1">
      <alignment vertical="center"/>
      <protection hidden="1"/>
    </xf>
    <xf numFmtId="0" fontId="8" fillId="0" borderId="36" xfId="7" applyNumberFormat="1" applyFont="1" applyBorder="1" applyAlignment="1" applyProtection="1">
      <alignment horizontal="left" shrinkToFit="1"/>
      <protection locked="0" hidden="1"/>
    </xf>
    <xf numFmtId="0" fontId="8" fillId="0" borderId="37" xfId="7" applyNumberFormat="1" applyFont="1" applyBorder="1" applyAlignment="1" applyProtection="1">
      <alignment horizontal="center"/>
      <protection locked="0" hidden="1"/>
    </xf>
    <xf numFmtId="0" fontId="8" fillId="0" borderId="38" xfId="7" applyNumberFormat="1" applyFont="1" applyBorder="1" applyAlignment="1" applyProtection="1">
      <alignment horizontal="left" shrinkToFit="1"/>
      <protection locked="0" hidden="1"/>
    </xf>
    <xf numFmtId="0" fontId="8" fillId="0" borderId="39" xfId="7" applyNumberFormat="1" applyFont="1" applyBorder="1" applyAlignment="1" applyProtection="1">
      <alignment horizontal="center"/>
      <protection locked="0" hidden="1"/>
    </xf>
    <xf numFmtId="0" fontId="14" fillId="0" borderId="0" xfId="12" applyNumberFormat="1" applyFont="1" applyAlignment="1" applyProtection="1">
      <alignment horizontal="center"/>
      <protection hidden="1"/>
    </xf>
    <xf numFmtId="0" fontId="8" fillId="0" borderId="0" xfId="8" applyFont="1" applyProtection="1">
      <protection hidden="1"/>
    </xf>
    <xf numFmtId="49" fontId="8" fillId="0" borderId="0" xfId="8" applyNumberFormat="1" applyFont="1" applyProtection="1">
      <protection hidden="1"/>
    </xf>
    <xf numFmtId="0" fontId="8" fillId="0" borderId="0" xfId="8" applyFont="1" applyAlignment="1" applyProtection="1">
      <alignment horizontal="center"/>
      <protection hidden="1"/>
    </xf>
    <xf numFmtId="0" fontId="8" fillId="0" borderId="0" xfId="8" applyFont="1" applyAlignment="1" applyProtection="1">
      <alignment horizontal="center" shrinkToFit="1"/>
      <protection hidden="1"/>
    </xf>
    <xf numFmtId="49" fontId="8" fillId="0" borderId="0" xfId="8" applyNumberFormat="1" applyFont="1" applyAlignment="1" applyProtection="1">
      <alignment horizontal="right" shrinkToFit="1"/>
      <protection hidden="1"/>
    </xf>
    <xf numFmtId="49" fontId="8" fillId="0" borderId="0" xfId="8" applyNumberFormat="1" applyFont="1" applyFill="1" applyAlignment="1" applyProtection="1">
      <alignment shrinkToFit="1"/>
      <protection hidden="1"/>
    </xf>
    <xf numFmtId="0" fontId="8" fillId="0" borderId="0" xfId="8" applyFont="1" applyAlignment="1" applyProtection="1">
      <alignment shrinkToFit="1"/>
      <protection hidden="1"/>
    </xf>
    <xf numFmtId="49" fontId="8" fillId="0" borderId="0" xfId="8" applyNumberFormat="1" applyFont="1" applyFill="1" applyAlignment="1" applyProtection="1">
      <alignment horizontal="center" shrinkToFit="1"/>
      <protection hidden="1"/>
    </xf>
    <xf numFmtId="0" fontId="8" fillId="0" borderId="0" xfId="8" applyFont="1" applyAlignment="1" applyProtection="1">
      <alignment horizontal="left"/>
      <protection hidden="1"/>
    </xf>
    <xf numFmtId="0" fontId="14" fillId="0" borderId="0" xfId="8" applyFont="1" applyAlignment="1" applyProtection="1">
      <alignment horizontal="center" vertical="center"/>
      <protection hidden="1"/>
    </xf>
    <xf numFmtId="49" fontId="14" fillId="0" borderId="40" xfId="8" applyNumberFormat="1" applyFont="1" applyFill="1" applyBorder="1" applyAlignment="1" applyProtection="1">
      <alignment horizontal="center" vertical="center" shrinkToFit="1"/>
      <protection hidden="1"/>
    </xf>
    <xf numFmtId="0" fontId="14" fillId="0" borderId="5" xfId="8" applyFont="1" applyBorder="1" applyAlignment="1" applyProtection="1">
      <alignment horizontal="center" vertical="center" shrinkToFit="1"/>
      <protection hidden="1"/>
    </xf>
    <xf numFmtId="49" fontId="14" fillId="0" borderId="32" xfId="8" applyNumberFormat="1" applyFont="1" applyBorder="1" applyAlignment="1" applyProtection="1">
      <alignment horizontal="center" vertical="center" shrinkToFit="1"/>
      <protection hidden="1"/>
    </xf>
    <xf numFmtId="49" fontId="14" fillId="0" borderId="33" xfId="8" applyNumberFormat="1" applyFont="1" applyBorder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8" fillId="0" borderId="6" xfId="8" applyFont="1" applyFill="1" applyBorder="1" applyProtection="1">
      <protection hidden="1"/>
    </xf>
    <xf numFmtId="0" fontId="8" fillId="0" borderId="6" xfId="8" applyFont="1" applyFill="1" applyBorder="1" applyAlignment="1" applyProtection="1">
      <alignment horizontal="center"/>
      <protection hidden="1"/>
    </xf>
    <xf numFmtId="49" fontId="8" fillId="6" borderId="41" xfId="8" applyNumberFormat="1" applyFont="1" applyFill="1" applyBorder="1" applyAlignment="1" applyProtection="1">
      <alignment horizontal="right" shrinkToFit="1"/>
      <protection locked="0" hidden="1"/>
    </xf>
    <xf numFmtId="49" fontId="8" fillId="6" borderId="14" xfId="8" applyNumberFormat="1" applyFont="1" applyFill="1" applyBorder="1" applyAlignment="1" applyProtection="1">
      <alignment horizontal="right" shrinkToFit="1"/>
      <protection locked="0" hidden="1"/>
    </xf>
    <xf numFmtId="49" fontId="8" fillId="5" borderId="21" xfId="8" applyNumberFormat="1" applyFont="1" applyFill="1" applyBorder="1" applyAlignment="1" applyProtection="1">
      <alignment shrinkToFit="1"/>
      <protection locked="0" hidden="1"/>
    </xf>
    <xf numFmtId="0" fontId="8" fillId="0" borderId="6" xfId="8" applyFont="1" applyBorder="1" applyAlignment="1" applyProtection="1">
      <alignment shrinkToFit="1"/>
      <protection hidden="1"/>
    </xf>
    <xf numFmtId="49" fontId="8" fillId="5" borderId="37" xfId="8" applyNumberFormat="1" applyFont="1" applyFill="1" applyBorder="1" applyAlignment="1" applyProtection="1">
      <alignment horizontal="center" shrinkToFit="1"/>
      <protection locked="0" hidden="1"/>
    </xf>
    <xf numFmtId="0" fontId="8" fillId="0" borderId="42" xfId="8" applyFont="1" applyBorder="1" applyAlignment="1" applyProtection="1">
      <alignment shrinkToFit="1"/>
      <protection hidden="1"/>
    </xf>
    <xf numFmtId="49" fontId="8" fillId="6" borderId="43" xfId="8" applyNumberFormat="1" applyFont="1" applyFill="1" applyBorder="1" applyAlignment="1" applyProtection="1">
      <alignment horizontal="right" shrinkToFit="1"/>
      <protection locked="0" hidden="1"/>
    </xf>
    <xf numFmtId="49" fontId="8" fillId="5" borderId="24" xfId="8" applyNumberFormat="1" applyFont="1" applyFill="1" applyBorder="1" applyAlignment="1" applyProtection="1">
      <alignment shrinkToFit="1"/>
      <protection locked="0" hidden="1"/>
    </xf>
    <xf numFmtId="0" fontId="8" fillId="0" borderId="18" xfId="8" applyFont="1" applyBorder="1" applyAlignment="1" applyProtection="1">
      <alignment shrinkToFit="1"/>
      <protection hidden="1"/>
    </xf>
    <xf numFmtId="0" fontId="8" fillId="0" borderId="4" xfId="8" applyFont="1" applyFill="1" applyBorder="1" applyProtection="1">
      <protection hidden="1"/>
    </xf>
    <xf numFmtId="49" fontId="8" fillId="6" borderId="44" xfId="8" applyNumberFormat="1" applyFont="1" applyFill="1" applyBorder="1" applyAlignment="1" applyProtection="1">
      <alignment horizontal="right" shrinkToFit="1"/>
      <protection locked="0" hidden="1"/>
    </xf>
    <xf numFmtId="49" fontId="8" fillId="6" borderId="15" xfId="8" applyNumberFormat="1" applyFont="1" applyFill="1" applyBorder="1" applyAlignment="1" applyProtection="1">
      <alignment horizontal="right" shrinkToFit="1"/>
      <protection locked="0" hidden="1"/>
    </xf>
    <xf numFmtId="0" fontId="8" fillId="0" borderId="4" xfId="8" applyFont="1" applyBorder="1" applyAlignment="1" applyProtection="1">
      <alignment shrinkToFit="1"/>
      <protection hidden="1"/>
    </xf>
    <xf numFmtId="49" fontId="8" fillId="5" borderId="45" xfId="8" applyNumberFormat="1" applyFont="1" applyFill="1" applyBorder="1" applyAlignment="1" applyProtection="1">
      <alignment horizontal="center" shrinkToFit="1"/>
      <protection locked="0" hidden="1"/>
    </xf>
    <xf numFmtId="0" fontId="8" fillId="0" borderId="46" xfId="8" applyFont="1" applyBorder="1" applyAlignment="1" applyProtection="1">
      <alignment shrinkToFit="1"/>
      <protection hidden="1"/>
    </xf>
    <xf numFmtId="49" fontId="0" fillId="0" borderId="0" xfId="0" applyNumberFormat="1" applyBorder="1" applyAlignment="1">
      <alignment horizontal="left" vertical="center"/>
    </xf>
    <xf numFmtId="0" fontId="8" fillId="0" borderId="0" xfId="8" applyFont="1" applyBorder="1" applyAlignment="1" applyProtection="1">
      <alignment horizontal="left"/>
      <protection hidden="1"/>
    </xf>
    <xf numFmtId="0" fontId="8" fillId="0" borderId="16" xfId="8" applyFont="1" applyFill="1" applyBorder="1" applyProtection="1">
      <protection hidden="1"/>
    </xf>
    <xf numFmtId="49" fontId="8" fillId="6" borderId="47" xfId="8" applyNumberFormat="1" applyFont="1" applyFill="1" applyBorder="1" applyAlignment="1" applyProtection="1">
      <alignment horizontal="right" shrinkToFit="1"/>
      <protection locked="0" hidden="1"/>
    </xf>
    <xf numFmtId="49" fontId="8" fillId="5" borderId="48" xfId="8" applyNumberFormat="1" applyFont="1" applyFill="1" applyBorder="1" applyAlignment="1" applyProtection="1">
      <alignment shrinkToFit="1"/>
      <protection locked="0" hidden="1"/>
    </xf>
    <xf numFmtId="0" fontId="8" fillId="0" borderId="16" xfId="8" applyFont="1" applyBorder="1" applyAlignment="1" applyProtection="1">
      <alignment shrinkToFit="1"/>
      <protection hidden="1"/>
    </xf>
    <xf numFmtId="49" fontId="8" fillId="5" borderId="39" xfId="8" applyNumberFormat="1" applyFont="1" applyFill="1" applyBorder="1" applyAlignment="1" applyProtection="1">
      <alignment horizontal="center" shrinkToFit="1"/>
      <protection locked="0" hidden="1"/>
    </xf>
    <xf numFmtId="0" fontId="8" fillId="0" borderId="49" xfId="8" applyFont="1" applyBorder="1" applyAlignment="1" applyProtection="1">
      <alignment shrinkToFit="1"/>
      <protection hidden="1"/>
    </xf>
    <xf numFmtId="49" fontId="8" fillId="0" borderId="0" xfId="8" applyNumberFormat="1" applyFont="1" applyAlignment="1" applyProtection="1">
      <alignment horizontal="right" shrinkToFit="1"/>
      <protection locked="0" hidden="1"/>
    </xf>
    <xf numFmtId="49" fontId="8" fillId="0" borderId="0" xfId="8" applyNumberFormat="1" applyFont="1" applyFill="1" applyAlignment="1" applyProtection="1">
      <alignment shrinkToFit="1"/>
      <protection locked="0" hidden="1"/>
    </xf>
    <xf numFmtId="49" fontId="14" fillId="0" borderId="31" xfId="8" applyNumberFormat="1" applyFont="1" applyFill="1" applyBorder="1" applyAlignment="1" applyProtection="1">
      <alignment horizontal="center" vertical="center" shrinkToFit="1"/>
      <protection hidden="1"/>
    </xf>
    <xf numFmtId="49" fontId="14" fillId="0" borderId="29" xfId="8" applyNumberFormat="1" applyFont="1" applyFill="1" applyBorder="1" applyAlignment="1" applyProtection="1">
      <alignment horizontal="center" vertical="center" shrinkToFit="1"/>
      <protection hidden="1"/>
    </xf>
    <xf numFmtId="0" fontId="8" fillId="0" borderId="50" xfId="8" applyFont="1" applyFill="1" applyBorder="1" applyProtection="1">
      <protection hidden="1"/>
    </xf>
    <xf numFmtId="0" fontId="0" fillId="0" borderId="51" xfId="0" applyNumberFormat="1" applyBorder="1" applyAlignment="1">
      <alignment horizontal="center" vertical="center"/>
    </xf>
    <xf numFmtId="0" fontId="8" fillId="0" borderId="52" xfId="8" applyFont="1" applyFill="1" applyBorder="1" applyProtection="1">
      <protection hidden="1"/>
    </xf>
    <xf numFmtId="0" fontId="0" fillId="0" borderId="45" xfId="0" applyNumberFormat="1" applyBorder="1" applyAlignment="1">
      <alignment horizontal="center" vertical="center"/>
    </xf>
    <xf numFmtId="49" fontId="0" fillId="0" borderId="25" xfId="0" applyNumberFormat="1" applyBorder="1" applyAlignment="1">
      <alignment horizontal="left" vertical="center"/>
    </xf>
    <xf numFmtId="0" fontId="8" fillId="0" borderId="53" xfId="8" applyFont="1" applyFill="1" applyBorder="1" applyProtection="1">
      <protection hidden="1"/>
    </xf>
    <xf numFmtId="0" fontId="0" fillId="0" borderId="39" xfId="0" applyNumberFormat="1" applyBorder="1" applyAlignment="1">
      <alignment horizontal="center" vertical="center"/>
    </xf>
    <xf numFmtId="0" fontId="8" fillId="0" borderId="4" xfId="8" applyFont="1" applyFill="1" applyBorder="1" applyAlignment="1" applyProtection="1">
      <alignment horizontal="center"/>
      <protection hidden="1"/>
    </xf>
    <xf numFmtId="0" fontId="8" fillId="0" borderId="16" xfId="8" applyFont="1" applyFill="1" applyBorder="1" applyAlignment="1" applyProtection="1">
      <alignment horizontal="center"/>
      <protection hidden="1"/>
    </xf>
    <xf numFmtId="0" fontId="14" fillId="0" borderId="57" xfId="8" applyFont="1" applyBorder="1" applyAlignment="1" applyProtection="1">
      <alignment horizontal="center" vertical="center"/>
      <protection hidden="1"/>
    </xf>
    <xf numFmtId="0" fontId="31" fillId="0" borderId="0" xfId="0" applyFont="1">
      <alignment vertical="center"/>
    </xf>
    <xf numFmtId="0" fontId="40" fillId="0" borderId="0" xfId="0" applyFont="1">
      <alignment vertical="center"/>
    </xf>
    <xf numFmtId="0" fontId="15" fillId="0" borderId="36" xfId="0" applyNumberFormat="1" applyFont="1" applyBorder="1" applyAlignment="1">
      <alignment horizontal="left" vertical="center" shrinkToFit="1"/>
    </xf>
    <xf numFmtId="0" fontId="14" fillId="0" borderId="37" xfId="11" applyFont="1" applyBorder="1" applyAlignment="1" applyProtection="1">
      <alignment horizontal="center"/>
      <protection hidden="1"/>
    </xf>
    <xf numFmtId="0" fontId="15" fillId="0" borderId="58" xfId="0" applyNumberFormat="1" applyFont="1" applyBorder="1" applyAlignment="1">
      <alignment horizontal="left" vertical="center" shrinkToFit="1"/>
    </xf>
    <xf numFmtId="0" fontId="14" fillId="0" borderId="45" xfId="11" applyFont="1" applyBorder="1" applyAlignment="1" applyProtection="1">
      <alignment horizontal="center"/>
      <protection hidden="1"/>
    </xf>
    <xf numFmtId="49" fontId="15" fillId="0" borderId="58" xfId="0" applyNumberFormat="1" applyFont="1" applyBorder="1" applyAlignment="1">
      <alignment horizontal="left" vertical="center" shrinkToFit="1"/>
    </xf>
    <xf numFmtId="49" fontId="15" fillId="0" borderId="59" xfId="0" applyNumberFormat="1" applyFont="1" applyBorder="1" applyAlignment="1">
      <alignment horizontal="left" vertical="center" shrinkToFit="1"/>
    </xf>
    <xf numFmtId="0" fontId="14" fillId="0" borderId="60" xfId="11" applyFont="1" applyBorder="1" applyAlignment="1" applyProtection="1">
      <alignment horizontal="center"/>
      <protection hidden="1"/>
    </xf>
    <xf numFmtId="49" fontId="15" fillId="0" borderId="61" xfId="0" applyNumberFormat="1" applyFont="1" applyBorder="1" applyAlignment="1">
      <alignment horizontal="center" vertical="center" shrinkToFit="1"/>
    </xf>
    <xf numFmtId="0" fontId="14" fillId="0" borderId="3" xfId="11" applyFont="1" applyBorder="1" applyAlignment="1" applyProtection="1">
      <alignment horizontal="center" shrinkToFit="1"/>
      <protection hidden="1"/>
    </xf>
    <xf numFmtId="0" fontId="15" fillId="0" borderId="62" xfId="0" applyNumberFormat="1" applyFont="1" applyBorder="1" applyAlignment="1">
      <alignment horizontal="left" vertical="center" shrinkToFit="1"/>
    </xf>
    <xf numFmtId="49" fontId="15" fillId="0" borderId="38" xfId="0" applyNumberFormat="1" applyFont="1" applyBorder="1" applyAlignment="1">
      <alignment horizontal="left" vertical="center" shrinkToFit="1"/>
    </xf>
    <xf numFmtId="0" fontId="14" fillId="0" borderId="39" xfId="11" applyFont="1" applyBorder="1" applyAlignment="1" applyProtection="1">
      <alignment horizontal="center"/>
      <protection hidden="1"/>
    </xf>
    <xf numFmtId="0" fontId="14" fillId="0" borderId="63" xfId="8" applyFont="1" applyBorder="1" applyAlignment="1" applyProtection="1">
      <alignment horizontal="center"/>
      <protection hidden="1"/>
    </xf>
    <xf numFmtId="0" fontId="14" fillId="0" borderId="64" xfId="8" applyFont="1" applyBorder="1" applyAlignment="1" applyProtection="1">
      <alignment horizontal="center" shrinkToFit="1"/>
      <protection hidden="1"/>
    </xf>
    <xf numFmtId="0" fontId="14" fillId="0" borderId="3" xfId="11" applyFont="1" applyBorder="1" applyAlignment="1" applyProtection="1">
      <alignment horizontal="center"/>
      <protection hidden="1"/>
    </xf>
    <xf numFmtId="0" fontId="14" fillId="0" borderId="3" xfId="8" applyFont="1" applyBorder="1" applyAlignment="1" applyProtection="1">
      <alignment horizontal="center"/>
      <protection hidden="1"/>
    </xf>
    <xf numFmtId="49" fontId="14" fillId="0" borderId="65" xfId="7" applyNumberFormat="1" applyFont="1" applyFill="1" applyBorder="1" applyAlignment="1" applyProtection="1">
      <alignment horizontal="center" vertical="center" shrinkToFit="1"/>
      <protection locked="0" hidden="1"/>
    </xf>
    <xf numFmtId="49" fontId="14" fillId="0" borderId="5" xfId="7" applyNumberFormat="1" applyFont="1" applyBorder="1" applyAlignment="1" applyProtection="1">
      <alignment horizontal="center" vertical="center" shrinkToFit="1"/>
      <protection locked="0" hidden="1"/>
    </xf>
    <xf numFmtId="0" fontId="8" fillId="0" borderId="63" xfId="12" applyNumberFormat="1" applyFont="1" applyBorder="1" applyAlignment="1" applyProtection="1">
      <alignment horizontal="center"/>
      <protection locked="0" hidden="1"/>
    </xf>
    <xf numFmtId="0" fontId="8" fillId="0" borderId="64" xfId="12" applyNumberFormat="1" applyFont="1" applyBorder="1" applyAlignment="1" applyProtection="1">
      <alignment horizontal="center"/>
      <protection locked="0" hidden="1"/>
    </xf>
    <xf numFmtId="0" fontId="44" fillId="0" borderId="0" xfId="3">
      <alignment vertical="center"/>
    </xf>
    <xf numFmtId="0" fontId="45" fillId="0" borderId="0" xfId="3" applyFont="1">
      <alignment vertical="center"/>
    </xf>
    <xf numFmtId="0" fontId="44" fillId="0" borderId="0" xfId="3" applyFont="1">
      <alignment vertical="center"/>
    </xf>
    <xf numFmtId="0" fontId="47" fillId="0" borderId="13" xfId="0" applyFont="1" applyBorder="1">
      <alignment vertical="center"/>
    </xf>
    <xf numFmtId="0" fontId="48" fillId="0" borderId="13" xfId="0" applyFont="1" applyBorder="1">
      <alignment vertical="center"/>
    </xf>
    <xf numFmtId="0" fontId="49" fillId="0" borderId="13" xfId="0" applyFont="1" applyBorder="1">
      <alignment vertical="center"/>
    </xf>
    <xf numFmtId="0" fontId="8" fillId="5" borderId="0" xfId="7" applyFont="1" applyFill="1" applyBorder="1" applyAlignment="1" applyProtection="1">
      <alignment horizontal="center"/>
      <protection hidden="1"/>
    </xf>
    <xf numFmtId="0" fontId="14" fillId="5" borderId="0" xfId="7" applyFont="1" applyFill="1" applyAlignment="1" applyProtection="1">
      <alignment horizontal="left"/>
      <protection hidden="1"/>
    </xf>
    <xf numFmtId="0" fontId="14" fillId="5" borderId="0" xfId="7" applyFont="1" applyFill="1" applyBorder="1" applyAlignment="1" applyProtection="1">
      <alignment horizontal="left"/>
      <protection hidden="1"/>
    </xf>
    <xf numFmtId="0" fontId="25" fillId="5" borderId="0" xfId="7" applyFont="1" applyFill="1" applyAlignment="1" applyProtection="1">
      <protection hidden="1"/>
    </xf>
    <xf numFmtId="0" fontId="8" fillId="5" borderId="0" xfId="7" applyFont="1" applyFill="1" applyBorder="1" applyProtection="1">
      <protection hidden="1"/>
    </xf>
    <xf numFmtId="49" fontId="8" fillId="5" borderId="0" xfId="7" applyNumberFormat="1" applyFont="1" applyFill="1" applyBorder="1" applyProtection="1">
      <protection hidden="1"/>
    </xf>
    <xf numFmtId="0" fontId="8" fillId="5" borderId="0" xfId="0" applyFont="1" applyFill="1" applyBorder="1" applyProtection="1">
      <alignment vertical="center"/>
      <protection hidden="1"/>
    </xf>
    <xf numFmtId="49" fontId="8" fillId="5" borderId="0" xfId="7" applyNumberFormat="1" applyFont="1" applyFill="1" applyBorder="1" applyAlignment="1" applyProtection="1">
      <alignment shrinkToFit="1"/>
      <protection hidden="1"/>
    </xf>
    <xf numFmtId="0" fontId="8" fillId="5" borderId="0" xfId="7" applyFont="1" applyFill="1" applyProtection="1">
      <protection hidden="1"/>
    </xf>
    <xf numFmtId="49" fontId="8" fillId="5" borderId="0" xfId="7" applyNumberFormat="1" applyFont="1" applyFill="1" applyAlignment="1" applyProtection="1">
      <alignment horizontal="right"/>
      <protection locked="0" hidden="1"/>
    </xf>
    <xf numFmtId="49" fontId="8" fillId="5" borderId="0" xfId="7" applyNumberFormat="1" applyFont="1" applyFill="1" applyAlignment="1" applyProtection="1">
      <alignment shrinkToFit="1"/>
      <protection locked="0" hidden="1"/>
    </xf>
    <xf numFmtId="0" fontId="8" fillId="5" borderId="0" xfId="0" applyFont="1" applyFill="1" applyProtection="1">
      <alignment vertical="center"/>
      <protection hidden="1"/>
    </xf>
    <xf numFmtId="0" fontId="8" fillId="5" borderId="0" xfId="7" applyNumberFormat="1" applyFont="1" applyFill="1" applyProtection="1">
      <protection hidden="1"/>
    </xf>
    <xf numFmtId="0" fontId="8" fillId="5" borderId="0" xfId="7" applyFont="1" applyFill="1" applyProtection="1">
      <protection locked="0" hidden="1"/>
    </xf>
    <xf numFmtId="0" fontId="32" fillId="5" borderId="0" xfId="7" applyFont="1" applyFill="1" applyAlignment="1" applyProtection="1">
      <alignment horizontal="left"/>
      <protection hidden="1"/>
    </xf>
    <xf numFmtId="49" fontId="32" fillId="5" borderId="0" xfId="7" applyNumberFormat="1" applyFont="1" applyFill="1" applyBorder="1" applyAlignment="1" applyProtection="1">
      <alignment horizontal="right"/>
      <protection hidden="1"/>
    </xf>
    <xf numFmtId="0" fontId="32" fillId="5" borderId="0" xfId="7" applyFont="1" applyFill="1" applyBorder="1" applyAlignment="1" applyProtection="1">
      <alignment horizontal="right"/>
      <protection hidden="1"/>
    </xf>
    <xf numFmtId="176" fontId="32" fillId="5" borderId="0" xfId="7" applyNumberFormat="1" applyFont="1" applyFill="1" applyBorder="1" applyAlignment="1" applyProtection="1">
      <alignment horizontal="left" shrinkToFit="1"/>
      <protection hidden="1"/>
    </xf>
    <xf numFmtId="176" fontId="32" fillId="5" borderId="0" xfId="7" applyNumberFormat="1" applyFont="1" applyFill="1" applyBorder="1" applyAlignment="1" applyProtection="1">
      <alignment horizontal="center"/>
      <protection hidden="1"/>
    </xf>
    <xf numFmtId="49" fontId="32" fillId="5" borderId="0" xfId="7" applyNumberFormat="1" applyFont="1" applyFill="1" applyAlignment="1" applyProtection="1">
      <alignment horizontal="right" shrinkToFit="1"/>
      <protection locked="0" hidden="1"/>
    </xf>
    <xf numFmtId="176" fontId="32" fillId="5" borderId="0" xfId="7" applyNumberFormat="1" applyFont="1" applyFill="1" applyAlignment="1" applyProtection="1">
      <alignment horizontal="left" shrinkToFit="1"/>
      <protection hidden="1"/>
    </xf>
    <xf numFmtId="49" fontId="32" fillId="5" borderId="0" xfId="7" applyNumberFormat="1" applyFont="1" applyFill="1" applyAlignment="1" applyProtection="1">
      <alignment horizontal="right"/>
      <protection hidden="1"/>
    </xf>
    <xf numFmtId="49" fontId="32" fillId="5" borderId="0" xfId="7" applyNumberFormat="1" applyFont="1" applyFill="1" applyAlignment="1" applyProtection="1">
      <alignment shrinkToFit="1"/>
      <protection locked="0" hidden="1"/>
    </xf>
    <xf numFmtId="49" fontId="32" fillId="5" borderId="0" xfId="7" applyNumberFormat="1" applyFont="1" applyFill="1" applyAlignment="1" applyProtection="1">
      <alignment horizontal="right"/>
      <protection locked="0" hidden="1"/>
    </xf>
    <xf numFmtId="0" fontId="8" fillId="5" borderId="0" xfId="7" applyFont="1" applyFill="1" applyBorder="1" applyAlignment="1" applyProtection="1">
      <alignment horizontal="left"/>
      <protection hidden="1"/>
    </xf>
    <xf numFmtId="179" fontId="32" fillId="5" borderId="0" xfId="7" applyNumberFormat="1" applyFont="1" applyFill="1" applyBorder="1" applyAlignment="1" applyProtection="1">
      <alignment horizontal="center" shrinkToFit="1"/>
      <protection hidden="1"/>
    </xf>
    <xf numFmtId="0" fontId="32" fillId="5" borderId="0" xfId="7" applyFont="1" applyFill="1" applyAlignment="1" applyProtection="1">
      <alignment horizontal="center"/>
      <protection hidden="1"/>
    </xf>
    <xf numFmtId="49" fontId="32" fillId="5" borderId="68" xfId="7" applyNumberFormat="1" applyFont="1" applyFill="1" applyBorder="1" applyAlignment="1" applyProtection="1">
      <alignment horizontal="right"/>
      <protection hidden="1"/>
    </xf>
    <xf numFmtId="176" fontId="32" fillId="5" borderId="68" xfId="7" applyNumberFormat="1" applyFont="1" applyFill="1" applyBorder="1" applyAlignment="1" applyProtection="1">
      <alignment horizontal="center"/>
      <protection hidden="1"/>
    </xf>
    <xf numFmtId="0" fontId="14" fillId="5" borderId="0" xfId="7" applyFont="1" applyFill="1" applyAlignment="1" applyProtection="1">
      <alignment horizontal="center" vertical="center" shrinkToFit="1"/>
      <protection hidden="1"/>
    </xf>
    <xf numFmtId="0" fontId="0" fillId="5" borderId="0" xfId="0" applyNumberFormat="1" applyFill="1" applyBorder="1">
      <alignment vertical="center"/>
    </xf>
    <xf numFmtId="0" fontId="8" fillId="5" borderId="0" xfId="7" applyFont="1" applyFill="1" applyAlignment="1" applyProtection="1">
      <alignment shrinkToFit="1"/>
      <protection hidden="1"/>
    </xf>
    <xf numFmtId="49" fontId="8" fillId="5" borderId="0" xfId="7" applyNumberFormat="1" applyFont="1" applyFill="1" applyProtection="1">
      <protection hidden="1"/>
    </xf>
    <xf numFmtId="49" fontId="14" fillId="5" borderId="0" xfId="7" applyNumberFormat="1" applyFont="1" applyFill="1" applyAlignment="1" applyProtection="1">
      <alignment shrinkToFit="1"/>
      <protection locked="0" hidden="1"/>
    </xf>
    <xf numFmtId="0" fontId="14" fillId="5" borderId="0" xfId="7" applyFont="1" applyFill="1" applyAlignment="1" applyProtection="1">
      <alignment horizontal="center"/>
      <protection hidden="1"/>
    </xf>
    <xf numFmtId="49" fontId="14" fillId="5" borderId="0" xfId="7" applyNumberFormat="1" applyFont="1" applyFill="1" applyAlignment="1" applyProtection="1">
      <alignment horizontal="right"/>
      <protection locked="0" hidden="1"/>
    </xf>
    <xf numFmtId="0" fontId="8" fillId="0" borderId="6" xfId="7" applyFont="1" applyFill="1" applyBorder="1" applyAlignment="1" applyProtection="1">
      <alignment shrinkToFit="1"/>
      <protection hidden="1"/>
    </xf>
    <xf numFmtId="0" fontId="8" fillId="0" borderId="6" xfId="7" applyFont="1" applyFill="1" applyBorder="1" applyAlignment="1" applyProtection="1">
      <alignment horizontal="center"/>
      <protection hidden="1"/>
    </xf>
    <xf numFmtId="0" fontId="14" fillId="0" borderId="6" xfId="7" applyFont="1" applyFill="1" applyBorder="1" applyAlignment="1" applyProtection="1">
      <alignment horizontal="center"/>
      <protection hidden="1"/>
    </xf>
    <xf numFmtId="177" fontId="14" fillId="0" borderId="37" xfId="7" applyNumberFormat="1" applyFont="1" applyFill="1" applyBorder="1" applyAlignment="1" applyProtection="1">
      <alignment shrinkToFit="1"/>
      <protection locked="0" hidden="1"/>
    </xf>
    <xf numFmtId="0" fontId="8" fillId="0" borderId="18" xfId="7" applyFont="1" applyFill="1" applyBorder="1" applyProtection="1">
      <protection hidden="1"/>
    </xf>
    <xf numFmtId="0" fontId="8" fillId="0" borderId="18" xfId="7" applyFont="1" applyFill="1" applyBorder="1" applyAlignment="1" applyProtection="1">
      <alignment horizontal="center"/>
      <protection hidden="1"/>
    </xf>
    <xf numFmtId="0" fontId="14" fillId="0" borderId="4" xfId="7" applyFont="1" applyFill="1" applyBorder="1" applyAlignment="1" applyProtection="1">
      <alignment horizontal="center"/>
      <protection hidden="1"/>
    </xf>
    <xf numFmtId="177" fontId="14" fillId="0" borderId="45" xfId="7" applyNumberFormat="1" applyFont="1" applyFill="1" applyBorder="1" applyAlignment="1" applyProtection="1">
      <alignment shrinkToFit="1"/>
      <protection locked="0" hidden="1"/>
    </xf>
    <xf numFmtId="0" fontId="14" fillId="0" borderId="16" xfId="7" applyFont="1" applyFill="1" applyBorder="1" applyAlignment="1" applyProtection="1">
      <alignment horizontal="center"/>
      <protection hidden="1"/>
    </xf>
    <xf numFmtId="177" fontId="14" fillId="0" borderId="39" xfId="7" applyNumberFormat="1" applyFont="1" applyFill="1" applyBorder="1" applyAlignment="1" applyProtection="1">
      <alignment shrinkToFit="1"/>
      <protection locked="0" hidden="1"/>
    </xf>
    <xf numFmtId="0" fontId="14" fillId="0" borderId="65" xfId="8" applyFont="1" applyBorder="1" applyAlignment="1" applyProtection="1">
      <alignment horizontal="center" vertical="center"/>
      <protection hidden="1"/>
    </xf>
    <xf numFmtId="0" fontId="14" fillId="0" borderId="5" xfId="8" applyFont="1" applyBorder="1" applyAlignment="1" applyProtection="1">
      <alignment horizontal="center" vertical="center"/>
      <protection hidden="1"/>
    </xf>
    <xf numFmtId="49" fontId="14" fillId="0" borderId="5" xfId="8" applyNumberFormat="1" applyFont="1" applyBorder="1" applyAlignment="1" applyProtection="1">
      <alignment horizontal="center" vertical="center"/>
      <protection hidden="1"/>
    </xf>
    <xf numFmtId="0" fontId="8" fillId="5" borderId="0" xfId="8" applyFont="1" applyFill="1" applyProtection="1">
      <protection hidden="1"/>
    </xf>
    <xf numFmtId="0" fontId="39" fillId="5" borderId="0" xfId="8" applyFont="1" applyFill="1" applyAlignment="1" applyProtection="1">
      <protection hidden="1"/>
    </xf>
    <xf numFmtId="49" fontId="8" fillId="5" borderId="0" xfId="8" applyNumberFormat="1" applyFont="1" applyFill="1" applyAlignment="1" applyProtection="1">
      <alignment shrinkToFit="1"/>
      <protection hidden="1"/>
    </xf>
    <xf numFmtId="0" fontId="8" fillId="5" borderId="0" xfId="8" applyFont="1" applyFill="1" applyAlignment="1" applyProtection="1">
      <alignment shrinkToFit="1"/>
      <protection hidden="1"/>
    </xf>
    <xf numFmtId="49" fontId="8" fillId="5" borderId="0" xfId="8" applyNumberFormat="1" applyFont="1" applyFill="1" applyAlignment="1" applyProtection="1">
      <alignment horizontal="right" shrinkToFit="1"/>
      <protection hidden="1"/>
    </xf>
    <xf numFmtId="49" fontId="8" fillId="5" borderId="0" xfId="8" applyNumberFormat="1" applyFont="1" applyFill="1" applyAlignment="1" applyProtection="1">
      <alignment horizontal="center" shrinkToFit="1"/>
      <protection hidden="1"/>
    </xf>
    <xf numFmtId="0" fontId="8" fillId="5" borderId="0" xfId="8" applyFont="1" applyFill="1" applyAlignment="1" applyProtection="1">
      <alignment horizontal="left"/>
      <protection hidden="1"/>
    </xf>
    <xf numFmtId="0" fontId="37" fillId="5" borderId="0" xfId="8" applyFont="1" applyFill="1" applyAlignment="1"/>
    <xf numFmtId="0" fontId="32" fillId="5" borderId="0" xfId="8" applyFont="1" applyFill="1" applyAlignment="1" applyProtection="1">
      <alignment horizontal="left"/>
      <protection hidden="1"/>
    </xf>
    <xf numFmtId="0" fontId="43" fillId="5" borderId="0" xfId="7" applyFont="1" applyFill="1" applyBorder="1" applyAlignment="1" applyProtection="1">
      <alignment horizontal="left"/>
      <protection hidden="1"/>
    </xf>
    <xf numFmtId="49" fontId="37" fillId="5" borderId="0" xfId="8" applyNumberFormat="1" applyFont="1" applyFill="1" applyAlignment="1" applyProtection="1">
      <alignment horizontal="right" shrinkToFit="1"/>
      <protection hidden="1"/>
    </xf>
    <xf numFmtId="176" fontId="37" fillId="5" borderId="0" xfId="8" applyNumberFormat="1" applyFont="1" applyFill="1" applyBorder="1" applyAlignment="1" applyProtection="1">
      <alignment horizontal="right" shrinkToFit="1"/>
      <protection hidden="1"/>
    </xf>
    <xf numFmtId="49" fontId="37" fillId="5" borderId="0" xfId="8" applyNumberFormat="1" applyFont="1" applyFill="1" applyAlignment="1" applyProtection="1">
      <alignment shrinkToFit="1"/>
      <protection hidden="1"/>
    </xf>
    <xf numFmtId="0" fontId="37" fillId="5" borderId="0" xfId="8" applyFont="1" applyFill="1" applyAlignment="1" applyProtection="1">
      <alignment shrinkToFit="1"/>
      <protection hidden="1"/>
    </xf>
    <xf numFmtId="176" fontId="37" fillId="5" borderId="0" xfId="8" applyNumberFormat="1" applyFont="1" applyFill="1" applyBorder="1" applyAlignment="1" applyProtection="1">
      <alignment horizontal="left" shrinkToFit="1"/>
      <protection hidden="1"/>
    </xf>
    <xf numFmtId="0" fontId="14" fillId="5" borderId="0" xfId="8" applyFont="1" applyFill="1" applyAlignment="1">
      <alignment horizontal="center"/>
    </xf>
    <xf numFmtId="0" fontId="8" fillId="5" borderId="0" xfId="8" applyFont="1" applyFill="1" applyBorder="1" applyAlignment="1" applyProtection="1">
      <alignment horizontal="center"/>
      <protection hidden="1"/>
    </xf>
    <xf numFmtId="0" fontId="8" fillId="5" borderId="72" xfId="7" applyFont="1" applyFill="1" applyBorder="1" applyAlignment="1" applyProtection="1">
      <alignment horizontal="left"/>
      <protection hidden="1"/>
    </xf>
    <xf numFmtId="49" fontId="37" fillId="5" borderId="0" xfId="8" applyNumberFormat="1" applyFont="1" applyFill="1" applyBorder="1" applyAlignment="1" applyProtection="1">
      <alignment horizontal="right" shrinkToFit="1"/>
      <protection hidden="1"/>
    </xf>
    <xf numFmtId="49" fontId="37" fillId="5" borderId="0" xfId="8" applyNumberFormat="1" applyFont="1" applyFill="1" applyBorder="1" applyAlignment="1" applyProtection="1">
      <alignment shrinkToFit="1"/>
      <protection hidden="1"/>
    </xf>
    <xf numFmtId="0" fontId="37" fillId="5" borderId="0" xfId="8" applyFont="1" applyFill="1" applyBorder="1" applyAlignment="1" applyProtection="1">
      <alignment shrinkToFit="1"/>
      <protection hidden="1"/>
    </xf>
    <xf numFmtId="49" fontId="8" fillId="5" borderId="0" xfId="8" applyNumberFormat="1" applyFont="1" applyFill="1" applyBorder="1" applyAlignment="1" applyProtection="1">
      <alignment horizontal="right" shrinkToFit="1"/>
      <protection hidden="1"/>
    </xf>
    <xf numFmtId="49" fontId="8" fillId="5" borderId="0" xfId="8" applyNumberFormat="1" applyFont="1" applyFill="1" applyBorder="1" applyAlignment="1" applyProtection="1">
      <alignment shrinkToFit="1"/>
      <protection hidden="1"/>
    </xf>
    <xf numFmtId="0" fontId="8" fillId="5" borderId="0" xfId="8" applyFont="1" applyFill="1" applyBorder="1" applyAlignment="1" applyProtection="1">
      <alignment shrinkToFit="1"/>
      <protection hidden="1"/>
    </xf>
    <xf numFmtId="0" fontId="8" fillId="5" borderId="0" xfId="8" applyFont="1" applyFill="1" applyBorder="1" applyProtection="1">
      <protection hidden="1"/>
    </xf>
    <xf numFmtId="0" fontId="8" fillId="5" borderId="0" xfId="8" applyFont="1" applyFill="1" applyBorder="1" applyAlignment="1" applyProtection="1">
      <alignment horizontal="left"/>
      <protection hidden="1"/>
    </xf>
    <xf numFmtId="0" fontId="14" fillId="5" borderId="0" xfId="8" applyFont="1" applyFill="1" applyBorder="1" applyAlignment="1">
      <alignment horizontal="center"/>
    </xf>
    <xf numFmtId="0" fontId="8" fillId="5" borderId="73" xfId="7" applyFont="1" applyFill="1" applyBorder="1" applyAlignment="1" applyProtection="1">
      <alignment horizontal="left"/>
      <protection hidden="1"/>
    </xf>
    <xf numFmtId="0" fontId="51" fillId="5" borderId="0" xfId="7" applyFont="1" applyFill="1" applyBorder="1" applyAlignment="1" applyProtection="1">
      <alignment horizontal="left"/>
      <protection hidden="1"/>
    </xf>
    <xf numFmtId="0" fontId="51" fillId="5" borderId="0" xfId="7" applyFont="1" applyFill="1" applyBorder="1" applyAlignment="1" applyProtection="1">
      <alignment horizontal="right"/>
      <protection hidden="1"/>
    </xf>
    <xf numFmtId="0" fontId="32" fillId="5" borderId="0" xfId="8" applyFont="1" applyFill="1" applyBorder="1" applyAlignment="1" applyProtection="1">
      <alignment horizontal="center"/>
      <protection hidden="1"/>
    </xf>
    <xf numFmtId="0" fontId="14" fillId="5" borderId="0" xfId="8" applyFont="1" applyFill="1" applyAlignment="1" applyProtection="1">
      <alignment horizontal="center" vertical="center"/>
      <protection hidden="1"/>
    </xf>
    <xf numFmtId="49" fontId="8" fillId="5" borderId="0" xfId="8" applyNumberFormat="1" applyFont="1" applyFill="1" applyProtection="1">
      <protection hidden="1"/>
    </xf>
    <xf numFmtId="0" fontId="8" fillId="5" borderId="0" xfId="8" applyFont="1" applyFill="1" applyAlignment="1" applyProtection="1">
      <alignment horizontal="center"/>
      <protection hidden="1"/>
    </xf>
    <xf numFmtId="0" fontId="8" fillId="5" borderId="0" xfId="8" applyFont="1" applyFill="1" applyAlignment="1" applyProtection="1">
      <alignment horizontal="center" shrinkToFit="1"/>
      <protection hidden="1"/>
    </xf>
    <xf numFmtId="49" fontId="0" fillId="5" borderId="0" xfId="0" applyNumberFormat="1" applyFill="1" applyBorder="1" applyAlignment="1">
      <alignment horizontal="left" vertical="center"/>
    </xf>
    <xf numFmtId="49" fontId="8" fillId="0" borderId="69" xfId="8" applyNumberFormat="1" applyFont="1" applyFill="1" applyBorder="1" applyAlignment="1" applyProtection="1">
      <alignment shrinkToFit="1"/>
      <protection locked="0" hidden="1"/>
    </xf>
    <xf numFmtId="49" fontId="8" fillId="0" borderId="14" xfId="8" applyNumberFormat="1" applyFont="1" applyFill="1" applyBorder="1" applyAlignment="1" applyProtection="1">
      <alignment horizontal="right" shrinkToFit="1"/>
      <protection locked="0" hidden="1"/>
    </xf>
    <xf numFmtId="49" fontId="8" fillId="0" borderId="66" xfId="8" applyNumberFormat="1" applyFont="1" applyFill="1" applyBorder="1" applyAlignment="1" applyProtection="1">
      <alignment shrinkToFit="1"/>
      <protection locked="0" hidden="1"/>
    </xf>
    <xf numFmtId="49" fontId="8" fillId="0" borderId="15" xfId="8" applyNumberFormat="1" applyFont="1" applyFill="1" applyBorder="1" applyAlignment="1" applyProtection="1">
      <alignment horizontal="right" shrinkToFit="1"/>
      <protection locked="0" hidden="1"/>
    </xf>
    <xf numFmtId="49" fontId="8" fillId="0" borderId="71" xfId="8" applyNumberFormat="1" applyFont="1" applyFill="1" applyBorder="1" applyAlignment="1" applyProtection="1">
      <alignment shrinkToFit="1"/>
      <protection locked="0" hidden="1"/>
    </xf>
    <xf numFmtId="49" fontId="8" fillId="0" borderId="17" xfId="8" applyNumberFormat="1" applyFont="1" applyFill="1" applyBorder="1" applyAlignment="1" applyProtection="1">
      <alignment horizontal="right" shrinkToFit="1"/>
      <protection locked="0" hidden="1"/>
    </xf>
    <xf numFmtId="0" fontId="8" fillId="5" borderId="0" xfId="7" applyFont="1" applyFill="1" applyBorder="1" applyAlignment="1" applyProtection="1">
      <alignment horizontal="right"/>
      <protection hidden="1"/>
    </xf>
    <xf numFmtId="176" fontId="19" fillId="5" borderId="0" xfId="7" applyNumberFormat="1" applyFont="1" applyFill="1" applyBorder="1" applyAlignment="1" applyProtection="1">
      <alignment horizontal="left"/>
      <protection hidden="1"/>
    </xf>
    <xf numFmtId="0" fontId="39" fillId="5" borderId="0" xfId="8" applyFont="1" applyFill="1" applyBorder="1" applyAlignment="1" applyProtection="1">
      <protection hidden="1"/>
    </xf>
    <xf numFmtId="49" fontId="8" fillId="5" borderId="0" xfId="8" applyNumberFormat="1" applyFont="1" applyFill="1" applyAlignment="1" applyProtection="1">
      <alignment shrinkToFit="1"/>
      <protection locked="0" hidden="1"/>
    </xf>
    <xf numFmtId="49" fontId="8" fillId="5" borderId="0" xfId="8" applyNumberFormat="1" applyFont="1" applyFill="1" applyAlignment="1" applyProtection="1">
      <alignment horizontal="right" shrinkToFit="1"/>
      <protection locked="0" hidden="1"/>
    </xf>
    <xf numFmtId="0" fontId="43" fillId="5" borderId="0" xfId="7" applyFont="1" applyFill="1" applyBorder="1" applyAlignment="1" applyProtection="1">
      <alignment vertical="top"/>
      <protection hidden="1"/>
    </xf>
    <xf numFmtId="49" fontId="37" fillId="5" borderId="0" xfId="8" applyNumberFormat="1" applyFont="1" applyFill="1" applyBorder="1" applyAlignment="1" applyProtection="1">
      <alignment horizontal="right" shrinkToFit="1"/>
      <protection locked="0" hidden="1"/>
    </xf>
    <xf numFmtId="176" fontId="37" fillId="5" borderId="0" xfId="8" applyNumberFormat="1" applyFont="1" applyFill="1" applyBorder="1" applyAlignment="1" applyProtection="1">
      <alignment horizontal="center" shrinkToFit="1"/>
      <protection hidden="1"/>
    </xf>
    <xf numFmtId="176" fontId="37" fillId="5" borderId="68" xfId="8" applyNumberFormat="1" applyFont="1" applyFill="1" applyBorder="1" applyAlignment="1" applyProtection="1">
      <alignment horizontal="center" shrinkToFit="1"/>
      <protection hidden="1"/>
    </xf>
    <xf numFmtId="176" fontId="38" fillId="5" borderId="0" xfId="8" applyNumberFormat="1" applyFont="1" applyFill="1" applyBorder="1" applyAlignment="1" applyProtection="1">
      <alignment horizontal="center" vertical="center"/>
      <protection hidden="1"/>
    </xf>
    <xf numFmtId="0" fontId="32" fillId="5" borderId="0" xfId="8" applyFont="1" applyFill="1" applyBorder="1" applyAlignment="1" applyProtection="1">
      <alignment horizontal="center" vertical="center"/>
      <protection hidden="1"/>
    </xf>
    <xf numFmtId="176" fontId="38" fillId="5" borderId="68" xfId="8" applyNumberFormat="1" applyFont="1" applyFill="1" applyBorder="1" applyAlignment="1" applyProtection="1">
      <alignment horizontal="center" vertical="center"/>
      <protection hidden="1"/>
    </xf>
    <xf numFmtId="0" fontId="0" fillId="5" borderId="0" xfId="0" applyNumberFormat="1" applyFill="1" applyBorder="1" applyAlignment="1">
      <alignment horizontal="left" vertical="center"/>
    </xf>
    <xf numFmtId="0" fontId="8" fillId="5" borderId="74" xfId="8" applyFont="1" applyFill="1" applyBorder="1" applyProtection="1">
      <protection hidden="1"/>
    </xf>
    <xf numFmtId="0" fontId="32" fillId="5" borderId="0" xfId="8" applyFont="1" applyFill="1" applyBorder="1" applyAlignment="1" applyProtection="1">
      <alignment horizontal="left"/>
      <protection hidden="1"/>
    </xf>
    <xf numFmtId="0" fontId="8" fillId="0" borderId="4" xfId="7" applyFont="1" applyFill="1" applyBorder="1" applyProtection="1">
      <protection hidden="1"/>
    </xf>
    <xf numFmtId="0" fontId="8" fillId="0" borderId="4" xfId="7" applyFont="1" applyFill="1" applyBorder="1" applyAlignment="1" applyProtection="1">
      <alignment horizontal="center"/>
      <protection hidden="1"/>
    </xf>
    <xf numFmtId="0" fontId="8" fillId="0" borderId="16" xfId="7" applyFont="1" applyFill="1" applyBorder="1" applyProtection="1">
      <protection hidden="1"/>
    </xf>
    <xf numFmtId="0" fontId="8" fillId="0" borderId="16" xfId="7" applyFont="1" applyFill="1" applyBorder="1" applyAlignment="1" applyProtection="1">
      <alignment horizontal="center"/>
      <protection hidden="1"/>
    </xf>
    <xf numFmtId="177" fontId="14" fillId="0" borderId="50" xfId="7" applyNumberFormat="1" applyFont="1" applyFill="1" applyBorder="1" applyAlignment="1" applyProtection="1">
      <alignment shrinkToFit="1"/>
      <protection locked="0" hidden="1"/>
    </xf>
    <xf numFmtId="177" fontId="14" fillId="0" borderId="52" xfId="7" applyNumberFormat="1" applyFont="1" applyFill="1" applyBorder="1" applyAlignment="1" applyProtection="1">
      <alignment shrinkToFit="1"/>
      <protection locked="0" hidden="1"/>
    </xf>
    <xf numFmtId="177" fontId="14" fillId="0" borderId="53" xfId="7" applyNumberFormat="1" applyFont="1" applyFill="1" applyBorder="1" applyAlignment="1" applyProtection="1">
      <alignment shrinkToFit="1"/>
      <protection locked="0" hidden="1"/>
    </xf>
    <xf numFmtId="176" fontId="38" fillId="5" borderId="78" xfId="8" applyNumberFormat="1" applyFont="1" applyFill="1" applyBorder="1" applyAlignment="1" applyProtection="1">
      <alignment horizontal="center" shrinkToFit="1"/>
      <protection hidden="1"/>
    </xf>
    <xf numFmtId="0" fontId="14" fillId="5" borderId="0" xfId="7" applyNumberFormat="1" applyFont="1" applyFill="1" applyAlignment="1" applyProtection="1">
      <alignment horizontal="right"/>
      <protection locked="0" hidden="1"/>
    </xf>
    <xf numFmtId="0" fontId="0" fillId="0" borderId="0" xfId="0" applyNumberFormat="1" applyFill="1" applyBorder="1">
      <alignment vertical="center"/>
    </xf>
    <xf numFmtId="49" fontId="8" fillId="5" borderId="0" xfId="7" applyNumberFormat="1" applyFont="1" applyFill="1" applyProtection="1">
      <protection locked="0" hidden="1"/>
    </xf>
    <xf numFmtId="0" fontId="8" fillId="5" borderId="0" xfId="7" applyFont="1" applyFill="1" applyBorder="1" applyAlignment="1" applyProtection="1">
      <alignment shrinkToFit="1"/>
      <protection hidden="1"/>
    </xf>
    <xf numFmtId="0" fontId="8" fillId="5" borderId="0" xfId="7" applyFont="1" applyFill="1" applyBorder="1" applyAlignment="1" applyProtection="1">
      <alignment vertical="top" shrinkToFit="1"/>
      <protection hidden="1"/>
    </xf>
    <xf numFmtId="49" fontId="19" fillId="5" borderId="0" xfId="7" applyNumberFormat="1" applyFont="1" applyFill="1" applyBorder="1" applyAlignment="1" applyProtection="1">
      <alignment horizontal="center" shrinkToFit="1"/>
      <protection hidden="1"/>
    </xf>
    <xf numFmtId="49" fontId="19" fillId="5" borderId="0" xfId="7" applyNumberFormat="1" applyFont="1" applyFill="1" applyBorder="1" applyAlignment="1" applyProtection="1">
      <alignment shrinkToFit="1"/>
      <protection hidden="1"/>
    </xf>
    <xf numFmtId="0" fontId="8" fillId="5" borderId="68" xfId="7" applyFont="1" applyFill="1" applyBorder="1" applyAlignment="1" applyProtection="1">
      <alignment vertical="top" shrinkToFit="1"/>
      <protection hidden="1"/>
    </xf>
    <xf numFmtId="49" fontId="19" fillId="5" borderId="68" xfId="7" applyNumberFormat="1" applyFont="1" applyFill="1" applyBorder="1" applyAlignment="1" applyProtection="1">
      <alignment shrinkToFit="1"/>
      <protection hidden="1"/>
    </xf>
    <xf numFmtId="49" fontId="8" fillId="5" borderId="0" xfId="7" applyNumberFormat="1" applyFont="1" applyFill="1" applyBorder="1" applyAlignment="1" applyProtection="1">
      <alignment horizontal="right"/>
      <protection hidden="1"/>
    </xf>
    <xf numFmtId="49" fontId="8" fillId="5" borderId="0" xfId="11" applyNumberFormat="1" applyFont="1" applyFill="1" applyBorder="1" applyAlignment="1" applyProtection="1">
      <alignment horizontal="right"/>
      <protection hidden="1"/>
    </xf>
    <xf numFmtId="49" fontId="8" fillId="5" borderId="0" xfId="7" applyNumberFormat="1" applyFont="1" applyFill="1" applyBorder="1" applyAlignment="1" applyProtection="1">
      <alignment horizontal="center"/>
      <protection hidden="1"/>
    </xf>
    <xf numFmtId="0" fontId="0" fillId="5" borderId="0" xfId="0" applyFill="1" applyProtection="1">
      <alignment vertical="center"/>
      <protection hidden="1"/>
    </xf>
    <xf numFmtId="0" fontId="30" fillId="5" borderId="0" xfId="0" applyFont="1" applyFill="1" applyProtection="1">
      <alignment vertical="center"/>
      <protection hidden="1"/>
    </xf>
    <xf numFmtId="0" fontId="9" fillId="5" borderId="0" xfId="0" applyFont="1" applyFill="1" applyAlignment="1">
      <alignment horizontal="center" vertical="center"/>
    </xf>
    <xf numFmtId="0" fontId="34" fillId="5" borderId="0" xfId="0" applyFont="1" applyFill="1">
      <alignment vertical="center"/>
    </xf>
    <xf numFmtId="0" fontId="34" fillId="5" borderId="0" xfId="0" applyFont="1" applyFill="1" applyBorder="1">
      <alignment vertical="center"/>
    </xf>
    <xf numFmtId="0" fontId="9" fillId="5" borderId="0" xfId="0" applyFont="1" applyFill="1" applyProtection="1">
      <alignment vertic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0" fontId="0" fillId="5" borderId="80" xfId="0" applyFill="1" applyBorder="1" applyProtection="1">
      <alignment vertical="center"/>
      <protection hidden="1"/>
    </xf>
    <xf numFmtId="0" fontId="0" fillId="5" borderId="81" xfId="0" applyFill="1" applyBorder="1" applyProtection="1">
      <alignment vertical="center"/>
      <protection hidden="1"/>
    </xf>
    <xf numFmtId="0" fontId="0" fillId="5" borderId="81" xfId="0" applyFill="1" applyBorder="1" applyAlignment="1" applyProtection="1">
      <alignment horizontal="center" vertical="center"/>
      <protection hidden="1"/>
    </xf>
    <xf numFmtId="0" fontId="0" fillId="5" borderId="82" xfId="0" applyFill="1" applyBorder="1" applyProtection="1">
      <alignment vertical="center"/>
      <protection hidden="1"/>
    </xf>
    <xf numFmtId="0" fontId="0" fillId="5" borderId="61" xfId="0" applyFill="1" applyBorder="1" applyProtection="1">
      <alignment vertical="center"/>
      <protection hidden="1"/>
    </xf>
    <xf numFmtId="0" fontId="12" fillId="5" borderId="0" xfId="0" applyFont="1" applyFill="1" applyProtection="1">
      <alignment vertical="center"/>
      <protection hidden="1"/>
    </xf>
    <xf numFmtId="0" fontId="0" fillId="5" borderId="13" xfId="0" applyFill="1" applyBorder="1">
      <alignment vertical="center"/>
    </xf>
    <xf numFmtId="0" fontId="0" fillId="5" borderId="1" xfId="0" applyFill="1" applyBorder="1" applyAlignment="1">
      <alignment horizontal="center" vertical="center" wrapText="1"/>
    </xf>
    <xf numFmtId="0" fontId="0" fillId="5" borderId="25" xfId="0" applyFill="1" applyBorder="1" applyProtection="1">
      <alignment vertical="center"/>
      <protection hidden="1"/>
    </xf>
    <xf numFmtId="0" fontId="0" fillId="5" borderId="25" xfId="0" applyFill="1" applyBorder="1" applyAlignment="1" applyProtection="1">
      <alignment horizontal="center" vertical="center"/>
      <protection hidden="1"/>
    </xf>
    <xf numFmtId="0" fontId="0" fillId="5" borderId="2" xfId="0" applyFill="1" applyBorder="1" applyProtection="1">
      <alignment vertical="center"/>
      <protection hidden="1"/>
    </xf>
    <xf numFmtId="0" fontId="0" fillId="5" borderId="2" xfId="0" applyFill="1" applyBorder="1" applyAlignment="1" applyProtection="1">
      <alignment horizontal="center" vertical="center"/>
      <protection hidden="1"/>
    </xf>
    <xf numFmtId="0" fontId="9" fillId="4" borderId="83" xfId="0" applyFont="1" applyFill="1" applyBorder="1" applyAlignment="1" applyProtection="1">
      <alignment horizontal="center" vertical="center"/>
      <protection locked="0" hidden="1"/>
    </xf>
    <xf numFmtId="0" fontId="9" fillId="4" borderId="3" xfId="0" applyFont="1" applyFill="1" applyBorder="1" applyAlignment="1" applyProtection="1">
      <alignment horizontal="center" vertical="center"/>
      <protection locked="0" hidden="1"/>
    </xf>
    <xf numFmtId="0" fontId="12" fillId="4" borderId="83" xfId="0" applyFont="1" applyFill="1" applyBorder="1" applyAlignment="1" applyProtection="1">
      <alignment horizontal="center" vertical="center"/>
      <protection locked="0" hidden="1"/>
    </xf>
    <xf numFmtId="0" fontId="12" fillId="4" borderId="3" xfId="0" applyFont="1" applyFill="1" applyBorder="1" applyAlignment="1" applyProtection="1">
      <alignment horizontal="center" vertical="center"/>
      <protection locked="0" hidden="1"/>
    </xf>
    <xf numFmtId="0" fontId="8" fillId="5" borderId="0" xfId="12" applyNumberFormat="1" applyFont="1" applyFill="1" applyProtection="1">
      <protection hidden="1"/>
    </xf>
    <xf numFmtId="0" fontId="8" fillId="5" borderId="0" xfId="12" applyNumberFormat="1" applyFont="1" applyFill="1" applyBorder="1" applyProtection="1">
      <protection hidden="1"/>
    </xf>
    <xf numFmtId="0" fontId="8" fillId="5" borderId="0" xfId="0" applyNumberFormat="1" applyFont="1" applyFill="1" applyBorder="1" applyProtection="1">
      <alignment vertical="center"/>
      <protection hidden="1"/>
    </xf>
    <xf numFmtId="0" fontId="8" fillId="5" borderId="0" xfId="12" applyNumberFormat="1" applyFont="1" applyFill="1" applyBorder="1" applyAlignment="1" applyProtection="1">
      <alignment horizontal="center"/>
      <protection hidden="1"/>
    </xf>
    <xf numFmtId="0" fontId="14" fillId="5" borderId="0" xfId="12" applyNumberFormat="1" applyFont="1" applyFill="1" applyBorder="1" applyAlignment="1" applyProtection="1">
      <alignment horizontal="right"/>
      <protection locked="0" hidden="1"/>
    </xf>
    <xf numFmtId="0" fontId="14" fillId="5" borderId="0" xfId="12" applyNumberFormat="1" applyFont="1" applyFill="1" applyAlignment="1" applyProtection="1">
      <alignment shrinkToFit="1"/>
      <protection locked="0" hidden="1"/>
    </xf>
    <xf numFmtId="0" fontId="14" fillId="5" borderId="0" xfId="12" applyNumberFormat="1" applyFont="1" applyFill="1" applyProtection="1">
      <protection hidden="1"/>
    </xf>
    <xf numFmtId="0" fontId="14" fillId="5" borderId="0" xfId="12" applyNumberFormat="1" applyFont="1" applyFill="1" applyAlignment="1" applyProtection="1">
      <alignment horizontal="right"/>
      <protection locked="0" hidden="1"/>
    </xf>
    <xf numFmtId="0" fontId="8" fillId="5" borderId="0" xfId="12" applyNumberFormat="1" applyFont="1" applyFill="1" applyAlignment="1" applyProtection="1">
      <alignment shrinkToFit="1"/>
      <protection locked="0" hidden="1"/>
    </xf>
    <xf numFmtId="0" fontId="10" fillId="5" borderId="0" xfId="12" applyNumberFormat="1" applyFont="1" applyFill="1" applyProtection="1">
      <protection locked="0" hidden="1"/>
    </xf>
    <xf numFmtId="0" fontId="8" fillId="5" borderId="0" xfId="0" applyNumberFormat="1" applyFont="1" applyFill="1" applyProtection="1">
      <alignment vertical="center"/>
      <protection hidden="1"/>
    </xf>
    <xf numFmtId="0" fontId="8" fillId="5" borderId="0" xfId="12" applyNumberFormat="1" applyFont="1" applyFill="1" applyProtection="1">
      <protection locked="0" hidden="1"/>
    </xf>
    <xf numFmtId="0" fontId="32" fillId="5" borderId="0" xfId="12" applyNumberFormat="1" applyFont="1" applyFill="1" applyAlignment="1" applyProtection="1">
      <alignment horizontal="left"/>
      <protection hidden="1"/>
    </xf>
    <xf numFmtId="0" fontId="19" fillId="5" borderId="0" xfId="12" applyNumberFormat="1" applyFont="1" applyFill="1" applyAlignment="1" applyProtection="1">
      <alignment horizontal="center"/>
      <protection hidden="1"/>
    </xf>
    <xf numFmtId="0" fontId="19" fillId="5" borderId="0" xfId="12" applyNumberFormat="1" applyFont="1" applyFill="1" applyBorder="1" applyAlignment="1" applyProtection="1">
      <alignment horizontal="left"/>
      <protection hidden="1"/>
    </xf>
    <xf numFmtId="0" fontId="19" fillId="5" borderId="68" xfId="12" applyNumberFormat="1" applyFont="1" applyFill="1" applyBorder="1" applyAlignment="1" applyProtection="1">
      <alignment horizontal="left"/>
      <protection hidden="1"/>
    </xf>
    <xf numFmtId="0" fontId="14" fillId="5" borderId="0" xfId="12" applyNumberFormat="1" applyFont="1" applyFill="1" applyAlignment="1" applyProtection="1">
      <alignment horizontal="right"/>
      <protection hidden="1"/>
    </xf>
    <xf numFmtId="0" fontId="14" fillId="5" borderId="0" xfId="12" applyNumberFormat="1" applyFont="1" applyFill="1" applyProtection="1">
      <protection locked="0" hidden="1"/>
    </xf>
    <xf numFmtId="0" fontId="32" fillId="5" borderId="0" xfId="12" applyNumberFormat="1" applyFont="1" applyFill="1" applyAlignment="1" applyProtection="1">
      <alignment horizontal="right"/>
      <protection hidden="1"/>
    </xf>
    <xf numFmtId="179" fontId="32" fillId="5" borderId="0" xfId="12" applyNumberFormat="1" applyFont="1" applyFill="1" applyAlignment="1" applyProtection="1">
      <alignment horizontal="center"/>
      <protection hidden="1"/>
    </xf>
    <xf numFmtId="176" fontId="32" fillId="5" borderId="78" xfId="12" applyNumberFormat="1" applyFont="1" applyFill="1" applyBorder="1" applyAlignment="1" applyProtection="1">
      <alignment horizontal="center"/>
      <protection hidden="1"/>
    </xf>
    <xf numFmtId="0" fontId="32" fillId="5" borderId="0" xfId="12" applyNumberFormat="1" applyFont="1" applyFill="1" applyAlignment="1" applyProtection="1">
      <alignment horizontal="center"/>
      <protection hidden="1"/>
    </xf>
    <xf numFmtId="0" fontId="14" fillId="5" borderId="0" xfId="12" applyNumberFormat="1" applyFont="1" applyFill="1" applyAlignment="1" applyProtection="1">
      <alignment horizontal="center"/>
      <protection hidden="1"/>
    </xf>
    <xf numFmtId="0" fontId="14" fillId="5" borderId="0" xfId="12" applyNumberFormat="1" applyFont="1" applyFill="1" applyAlignment="1" applyProtection="1">
      <alignment horizontal="center" vertical="center" shrinkToFit="1"/>
      <protection hidden="1"/>
    </xf>
    <xf numFmtId="0" fontId="8" fillId="0" borderId="52" xfId="12" applyNumberFormat="1" applyFont="1" applyFill="1" applyBorder="1" applyProtection="1">
      <protection hidden="1"/>
    </xf>
    <xf numFmtId="0" fontId="8" fillId="0" borderId="4" xfId="12" applyNumberFormat="1" applyFont="1" applyFill="1" applyBorder="1" applyProtection="1">
      <protection hidden="1"/>
    </xf>
    <xf numFmtId="0" fontId="8" fillId="0" borderId="4" xfId="12" applyNumberFormat="1" applyFont="1" applyFill="1" applyBorder="1" applyAlignment="1" applyProtection="1">
      <alignment horizontal="center"/>
      <protection hidden="1"/>
    </xf>
    <xf numFmtId="0" fontId="8" fillId="0" borderId="53" xfId="12" applyNumberFormat="1" applyFont="1" applyFill="1" applyBorder="1" applyProtection="1">
      <protection hidden="1"/>
    </xf>
    <xf numFmtId="0" fontId="8" fillId="0" borderId="16" xfId="12" applyNumberFormat="1" applyFont="1" applyFill="1" applyBorder="1" applyProtection="1">
      <protection hidden="1"/>
    </xf>
    <xf numFmtId="0" fontId="8" fillId="0" borderId="16" xfId="12" applyNumberFormat="1" applyFont="1" applyFill="1" applyBorder="1" applyAlignment="1" applyProtection="1">
      <alignment horizontal="center"/>
      <protection hidden="1"/>
    </xf>
    <xf numFmtId="0" fontId="14" fillId="0" borderId="0" xfId="7" applyFont="1" applyBorder="1" applyProtection="1">
      <protection hidden="1"/>
    </xf>
    <xf numFmtId="0" fontId="14" fillId="0" borderId="0" xfId="7" applyFont="1" applyFill="1" applyBorder="1" applyAlignment="1" applyProtection="1">
      <alignment horizontal="center"/>
      <protection hidden="1"/>
    </xf>
    <xf numFmtId="0" fontId="14" fillId="0" borderId="0" xfId="7" applyFont="1" applyBorder="1" applyAlignment="1" applyProtection="1">
      <alignment horizontal="center"/>
      <protection hidden="1"/>
    </xf>
    <xf numFmtId="49" fontId="14" fillId="0" borderId="0" xfId="7" applyNumberFormat="1" applyFont="1" applyBorder="1" applyAlignment="1" applyProtection="1">
      <alignment horizontal="right"/>
      <protection hidden="1"/>
    </xf>
    <xf numFmtId="49" fontId="14" fillId="5" borderId="0" xfId="7" applyNumberFormat="1" applyFont="1" applyFill="1" applyBorder="1" applyAlignment="1" applyProtection="1">
      <alignment horizontal="right"/>
      <protection hidden="1"/>
    </xf>
    <xf numFmtId="0" fontId="0" fillId="7" borderId="0" xfId="0" applyFill="1">
      <alignment vertical="center"/>
    </xf>
    <xf numFmtId="0" fontId="0" fillId="7" borderId="0" xfId="0" applyFill="1" applyAlignment="1">
      <alignment horizontal="center" vertical="center"/>
    </xf>
    <xf numFmtId="0" fontId="6" fillId="5" borderId="0" xfId="6" applyFont="1" applyFill="1" applyBorder="1" applyAlignment="1">
      <alignment horizontal="center" vertical="center"/>
    </xf>
    <xf numFmtId="0" fontId="6" fillId="5" borderId="0" xfId="6" applyFont="1" applyFill="1" applyBorder="1" applyAlignment="1" applyProtection="1">
      <alignment horizontal="center" vertical="center"/>
      <protection locked="0"/>
    </xf>
    <xf numFmtId="0" fontId="7" fillId="8" borderId="2" xfId="0" applyFont="1" applyFill="1" applyBorder="1" applyAlignment="1" applyProtection="1">
      <alignment horizontal="right" vertical="center"/>
      <protection locked="0" hidden="1"/>
    </xf>
    <xf numFmtId="0" fontId="7" fillId="8" borderId="18" xfId="0" applyFont="1" applyFill="1" applyBorder="1" applyAlignment="1" applyProtection="1">
      <alignment horizontal="right" vertical="center"/>
      <protection hidden="1"/>
    </xf>
    <xf numFmtId="0" fontId="7" fillId="8" borderId="22" xfId="0" applyFont="1" applyFill="1" applyBorder="1" applyAlignment="1" applyProtection="1">
      <alignment vertical="center"/>
      <protection hidden="1"/>
    </xf>
    <xf numFmtId="0" fontId="7" fillId="8" borderId="4" xfId="0" applyFont="1" applyFill="1" applyBorder="1" applyAlignment="1" applyProtection="1">
      <alignment horizontal="right" vertical="center"/>
      <protection hidden="1"/>
    </xf>
    <xf numFmtId="0" fontId="7" fillId="8" borderId="23" xfId="0" applyFont="1" applyFill="1" applyBorder="1" applyAlignment="1" applyProtection="1">
      <alignment vertical="center"/>
      <protection hidden="1"/>
    </xf>
    <xf numFmtId="0" fontId="7" fillId="8" borderId="16" xfId="0" applyFont="1" applyFill="1" applyBorder="1" applyAlignment="1" applyProtection="1">
      <alignment horizontal="right" vertical="center"/>
      <protection hidden="1"/>
    </xf>
    <xf numFmtId="0" fontId="8" fillId="0" borderId="0" xfId="4" applyAlignment="1">
      <alignment horizontal="center" vertical="center"/>
    </xf>
    <xf numFmtId="0" fontId="8" fillId="5" borderId="0" xfId="4" applyFill="1" applyProtection="1">
      <alignment vertical="center"/>
      <protection locked="0"/>
    </xf>
    <xf numFmtId="0" fontId="8" fillId="5" borderId="0" xfId="4" applyFill="1" applyBorder="1" applyProtection="1">
      <alignment vertical="center"/>
      <protection locked="0"/>
    </xf>
    <xf numFmtId="0" fontId="8" fillId="5" borderId="0" xfId="4" applyFill="1">
      <alignment vertical="center"/>
    </xf>
    <xf numFmtId="0" fontId="23" fillId="5" borderId="0" xfId="4" applyFont="1" applyFill="1" applyAlignment="1" applyProtection="1">
      <alignment horizontal="center" vertical="center"/>
      <protection locked="0"/>
    </xf>
    <xf numFmtId="0" fontId="23" fillId="5" borderId="0" xfId="4" applyFont="1" applyFill="1" applyAlignment="1" applyProtection="1">
      <alignment horizontal="left" vertical="center"/>
      <protection locked="0"/>
    </xf>
    <xf numFmtId="0" fontId="8" fillId="5" borderId="0" xfId="4" applyFill="1" applyBorder="1">
      <alignment vertical="center"/>
    </xf>
    <xf numFmtId="0" fontId="8" fillId="5" borderId="7" xfId="4" applyFill="1" applyBorder="1">
      <alignment vertical="center"/>
    </xf>
    <xf numFmtId="0" fontId="8" fillId="5" borderId="67" xfId="4" applyFill="1" applyBorder="1">
      <alignment vertical="center"/>
    </xf>
    <xf numFmtId="0" fontId="8" fillId="5" borderId="8" xfId="4" applyFill="1" applyBorder="1">
      <alignment vertical="center"/>
    </xf>
    <xf numFmtId="0" fontId="8" fillId="5" borderId="9" xfId="4" applyFill="1" applyBorder="1">
      <alignment vertical="center"/>
    </xf>
    <xf numFmtId="0" fontId="8" fillId="5" borderId="10" xfId="4" applyFill="1" applyBorder="1">
      <alignment vertical="center"/>
    </xf>
    <xf numFmtId="0" fontId="8" fillId="5" borderId="12" xfId="4" applyFill="1" applyBorder="1">
      <alignment vertical="center"/>
    </xf>
    <xf numFmtId="0" fontId="8" fillId="5" borderId="13" xfId="4" applyFill="1" applyBorder="1">
      <alignment vertical="center"/>
    </xf>
    <xf numFmtId="0" fontId="8" fillId="5" borderId="11" xfId="4" applyFill="1" applyBorder="1">
      <alignment vertical="center"/>
    </xf>
    <xf numFmtId="0" fontId="24" fillId="5" borderId="0" xfId="4" applyFont="1" applyFill="1" applyBorder="1">
      <alignment vertical="center"/>
    </xf>
    <xf numFmtId="0" fontId="26" fillId="5" borderId="0" xfId="4" applyFont="1" applyFill="1" applyBorder="1" applyProtection="1">
      <alignment vertical="center"/>
      <protection hidden="1"/>
    </xf>
    <xf numFmtId="0" fontId="24" fillId="5" borderId="0" xfId="4" applyFont="1" applyFill="1" applyBorder="1" applyProtection="1">
      <alignment vertical="center"/>
      <protection hidden="1"/>
    </xf>
    <xf numFmtId="0" fontId="8" fillId="4" borderId="0" xfId="4" applyFill="1">
      <alignment vertical="center"/>
    </xf>
    <xf numFmtId="179" fontId="51" fillId="5" borderId="0" xfId="7" applyNumberFormat="1" applyFont="1" applyFill="1" applyBorder="1" applyAlignment="1" applyProtection="1">
      <alignment horizontal="center"/>
      <protection hidden="1"/>
    </xf>
    <xf numFmtId="0" fontId="26" fillId="5" borderId="0" xfId="4" applyFont="1" applyFill="1">
      <alignment vertical="center"/>
    </xf>
    <xf numFmtId="0" fontId="26" fillId="0" borderId="0" xfId="4" applyFont="1">
      <alignment vertical="center"/>
    </xf>
    <xf numFmtId="0" fontId="26" fillId="5" borderId="0" xfId="4" applyFont="1" applyFill="1" applyAlignment="1">
      <alignment horizontal="left" vertical="center"/>
    </xf>
    <xf numFmtId="0" fontId="56" fillId="4" borderId="0" xfId="7" applyFont="1" applyFill="1" applyBorder="1" applyAlignment="1" applyProtection="1">
      <alignment horizontal="center" vertical="center"/>
      <protection hidden="1"/>
    </xf>
    <xf numFmtId="0" fontId="56" fillId="5" borderId="0" xfId="7" applyFont="1" applyFill="1" applyBorder="1" applyAlignment="1" applyProtection="1">
      <alignment horizontal="center" vertical="center"/>
      <protection hidden="1"/>
    </xf>
    <xf numFmtId="0" fontId="30" fillId="5" borderId="0" xfId="0" applyFont="1" applyFill="1" applyAlignment="1">
      <alignment horizontal="left" vertical="center"/>
    </xf>
    <xf numFmtId="49" fontId="26" fillId="4" borderId="0" xfId="4" applyNumberFormat="1" applyFont="1" applyFill="1" applyBorder="1" applyProtection="1">
      <alignment vertical="center"/>
      <protection hidden="1"/>
    </xf>
    <xf numFmtId="0" fontId="25" fillId="5" borderId="0" xfId="7" applyFont="1" applyFill="1" applyAlignment="1" applyProtection="1">
      <alignment shrinkToFit="1"/>
      <protection hidden="1"/>
    </xf>
    <xf numFmtId="0" fontId="26" fillId="4" borderId="0" xfId="4" applyFont="1" applyFill="1" applyAlignment="1">
      <alignment horizontal="center" vertical="center"/>
    </xf>
    <xf numFmtId="49" fontId="26" fillId="5" borderId="0" xfId="4" applyNumberFormat="1" applyFont="1" applyFill="1" applyBorder="1" applyProtection="1">
      <alignment vertical="center"/>
      <protection hidden="1"/>
    </xf>
    <xf numFmtId="0" fontId="26" fillId="4" borderId="0" xfId="4" applyFont="1" applyFill="1" applyAlignment="1" applyProtection="1">
      <alignment horizontal="center" vertical="center"/>
      <protection locked="0"/>
    </xf>
    <xf numFmtId="3" fontId="57" fillId="4" borderId="0" xfId="10" applyNumberFormat="1" applyFont="1" applyFill="1" applyBorder="1" applyAlignment="1" applyProtection="1">
      <alignment horizontal="left" vertical="center" shrinkToFit="1"/>
      <protection locked="0" hidden="1"/>
    </xf>
    <xf numFmtId="3" fontId="57" fillId="4" borderId="0" xfId="1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0" xfId="4" applyFont="1" applyFill="1" applyProtection="1">
      <alignment vertical="center"/>
      <protection locked="0"/>
    </xf>
    <xf numFmtId="0" fontId="14" fillId="9" borderId="52" xfId="7" applyFont="1" applyFill="1" applyBorder="1" applyAlignment="1" applyProtection="1">
      <alignment horizontal="left" shrinkToFit="1"/>
      <protection hidden="1"/>
    </xf>
    <xf numFmtId="0" fontId="26" fillId="4" borderId="0" xfId="4" applyNumberFormat="1" applyFont="1" applyFill="1" applyBorder="1" applyProtection="1">
      <alignment vertical="center"/>
      <protection locked="0" hidden="1"/>
    </xf>
    <xf numFmtId="0" fontId="58" fillId="5" borderId="0" xfId="0" applyFont="1" applyFill="1">
      <alignment vertical="center"/>
    </xf>
    <xf numFmtId="0" fontId="58" fillId="0" borderId="0" xfId="0" applyFont="1">
      <alignment vertical="center"/>
    </xf>
    <xf numFmtId="0" fontId="61" fillId="5" borderId="0" xfId="0" applyFont="1" applyFill="1">
      <alignment vertical="center"/>
    </xf>
    <xf numFmtId="0" fontId="63" fillId="5" borderId="0" xfId="0" applyFont="1" applyFill="1" applyAlignment="1">
      <alignment horizontal="center" vertical="center"/>
    </xf>
    <xf numFmtId="0" fontId="58" fillId="5" borderId="0" xfId="0" applyFont="1" applyFill="1" applyAlignment="1">
      <alignment horizontal="center" vertical="center"/>
    </xf>
    <xf numFmtId="0" fontId="59" fillId="5" borderId="0" xfId="0" applyFont="1" applyFill="1">
      <alignment vertical="center"/>
    </xf>
    <xf numFmtId="0" fontId="59" fillId="5" borderId="0" xfId="0" applyFont="1" applyFill="1" applyBorder="1">
      <alignment vertical="center"/>
    </xf>
    <xf numFmtId="0" fontId="58" fillId="5" borderId="1" xfId="0" applyFont="1" applyFill="1" applyBorder="1" applyAlignment="1">
      <alignment horizontal="center" vertical="center"/>
    </xf>
    <xf numFmtId="0" fontId="58" fillId="0" borderId="89" xfId="0" applyFont="1" applyFill="1" applyBorder="1" applyProtection="1">
      <alignment vertical="center"/>
      <protection locked="0" hidden="1"/>
    </xf>
    <xf numFmtId="0" fontId="58" fillId="5" borderId="0" xfId="0" applyFont="1" applyFill="1" applyBorder="1" applyProtection="1">
      <alignment vertical="center"/>
      <protection locked="0" hidden="1"/>
    </xf>
    <xf numFmtId="0" fontId="58" fillId="5" borderId="0" xfId="0" applyFont="1" applyFill="1" applyBorder="1" applyAlignment="1" applyProtection="1">
      <alignment horizontal="center" vertical="center"/>
      <protection locked="0" hidden="1"/>
    </xf>
    <xf numFmtId="0" fontId="59" fillId="5" borderId="0" xfId="0" applyFont="1" applyFill="1" applyAlignment="1" applyProtection="1">
      <alignment horizontal="left" vertical="center"/>
      <protection locked="0" hidden="1"/>
    </xf>
    <xf numFmtId="0" fontId="59" fillId="5" borderId="0" xfId="0" applyFont="1" applyFill="1" applyAlignment="1" applyProtection="1">
      <alignment horizontal="center" vertical="center"/>
      <protection locked="0" hidden="1"/>
    </xf>
    <xf numFmtId="0" fontId="59" fillId="5" borderId="0" xfId="0" applyFont="1" applyFill="1" applyAlignment="1" applyProtection="1">
      <alignment horizontal="centerContinuous" vertical="center"/>
      <protection locked="0" hidden="1"/>
    </xf>
    <xf numFmtId="0" fontId="59" fillId="5" borderId="0" xfId="0" applyFont="1" applyFill="1" applyAlignment="1">
      <alignment horizontal="distributed" vertical="center"/>
    </xf>
    <xf numFmtId="0" fontId="59" fillId="5" borderId="0" xfId="0" applyFont="1" applyFill="1" applyAlignment="1" applyProtection="1">
      <alignment horizontal="right" vertical="center"/>
      <protection locked="0" hidden="1"/>
    </xf>
    <xf numFmtId="0" fontId="58" fillId="0" borderId="0" xfId="0" applyFont="1" applyAlignment="1">
      <alignment horizontal="center" vertical="center"/>
    </xf>
    <xf numFmtId="0" fontId="62" fillId="5" borderId="0" xfId="0" applyFont="1" applyFill="1">
      <alignment vertical="center"/>
    </xf>
    <xf numFmtId="0" fontId="58" fillId="0" borderId="0" xfId="0" applyFont="1" applyFill="1">
      <alignment vertical="center"/>
    </xf>
    <xf numFmtId="176" fontId="58" fillId="4" borderId="13" xfId="0" applyNumberFormat="1" applyFont="1" applyFill="1" applyBorder="1" applyAlignment="1">
      <alignment horizontal="center" vertical="center"/>
    </xf>
    <xf numFmtId="0" fontId="63" fillId="5" borderId="0" xfId="0" applyFont="1" applyFill="1">
      <alignment vertical="center"/>
    </xf>
    <xf numFmtId="0" fontId="58" fillId="5" borderId="80" xfId="0" applyFont="1" applyFill="1" applyBorder="1">
      <alignment vertical="center"/>
    </xf>
    <xf numFmtId="0" fontId="58" fillId="5" borderId="81" xfId="0" applyFont="1" applyFill="1" applyBorder="1">
      <alignment vertical="center"/>
    </xf>
    <xf numFmtId="0" fontId="58" fillId="5" borderId="82" xfId="0" applyFont="1" applyFill="1" applyBorder="1">
      <alignment vertical="center"/>
    </xf>
    <xf numFmtId="0" fontId="58" fillId="0" borderId="93" xfId="0" applyFont="1" applyFill="1" applyBorder="1" applyAlignment="1" applyProtection="1">
      <alignment horizontal="center" vertical="center"/>
      <protection locked="0" hidden="1"/>
    </xf>
    <xf numFmtId="0" fontId="58" fillId="5" borderId="61" xfId="0" applyFont="1" applyFill="1" applyBorder="1">
      <alignment vertical="center"/>
    </xf>
    <xf numFmtId="0" fontId="58" fillId="5" borderId="0" xfId="0" applyFont="1" applyFill="1" applyBorder="1">
      <alignment vertical="center"/>
    </xf>
    <xf numFmtId="0" fontId="58" fillId="5" borderId="0" xfId="0" applyFont="1" applyFill="1" applyBorder="1" applyProtection="1">
      <alignment vertical="center"/>
      <protection locked="0"/>
    </xf>
    <xf numFmtId="0" fontId="64" fillId="5" borderId="0" xfId="0" applyFont="1" applyFill="1">
      <alignment vertical="center"/>
    </xf>
    <xf numFmtId="14" fontId="59" fillId="0" borderId="0" xfId="0" applyNumberFormat="1" applyFont="1" applyFill="1" applyAlignment="1" applyProtection="1">
      <alignment horizontal="left" vertical="center"/>
      <protection locked="0" hidden="1"/>
    </xf>
    <xf numFmtId="0" fontId="58" fillId="5" borderId="13" xfId="0" applyFont="1" applyFill="1" applyBorder="1" applyProtection="1">
      <alignment vertical="center"/>
      <protection locked="0"/>
    </xf>
    <xf numFmtId="0" fontId="0" fillId="5" borderId="25" xfId="0" applyFill="1" applyBorder="1" applyAlignment="1" applyProtection="1">
      <alignment vertical="center" shrinkToFit="1"/>
      <protection hidden="1"/>
    </xf>
    <xf numFmtId="0" fontId="0" fillId="5" borderId="2" xfId="0" applyFill="1" applyBorder="1" applyAlignment="1" applyProtection="1">
      <alignment vertical="center" shrinkToFit="1"/>
      <protection hidden="1"/>
    </xf>
    <xf numFmtId="0" fontId="58" fillId="0" borderId="25" xfId="0" applyFont="1" applyFill="1" applyBorder="1" applyAlignment="1" applyProtection="1">
      <alignment horizontal="right" vertical="center"/>
      <protection locked="0"/>
    </xf>
    <xf numFmtId="0" fontId="58" fillId="0" borderId="2" xfId="0" applyFont="1" applyFill="1" applyBorder="1" applyAlignment="1" applyProtection="1">
      <alignment horizontal="right" vertical="center"/>
      <protection locked="0"/>
    </xf>
    <xf numFmtId="0" fontId="0" fillId="5" borderId="89" xfId="0" applyFill="1" applyBorder="1" applyAlignment="1" applyProtection="1">
      <alignment vertical="center" shrinkToFit="1"/>
      <protection hidden="1"/>
    </xf>
    <xf numFmtId="0" fontId="0" fillId="5" borderId="94" xfId="0" applyFill="1" applyBorder="1" applyAlignment="1" applyProtection="1">
      <alignment vertical="center" shrinkToFit="1"/>
      <protection hidden="1"/>
    </xf>
    <xf numFmtId="0" fontId="58" fillId="5" borderId="95" xfId="0" applyFont="1" applyFill="1" applyBorder="1" applyAlignment="1">
      <alignment horizontal="center" vertical="center"/>
    </xf>
    <xf numFmtId="0" fontId="58" fillId="0" borderId="96" xfId="0" applyFont="1" applyFill="1" applyBorder="1" applyAlignment="1" applyProtection="1">
      <alignment horizontal="center" vertical="center"/>
      <protection locked="0" hidden="1"/>
    </xf>
    <xf numFmtId="0" fontId="58" fillId="0" borderId="97" xfId="0" applyFont="1" applyFill="1" applyBorder="1" applyAlignment="1" applyProtection="1">
      <alignment horizontal="center" vertical="center"/>
      <protection locked="0" hidden="1"/>
    </xf>
    <xf numFmtId="49" fontId="6" fillId="0" borderId="0" xfId="6" applyNumberFormat="1" applyFont="1" applyFill="1" applyBorder="1" applyAlignment="1">
      <alignment vertical="center"/>
    </xf>
    <xf numFmtId="49" fontId="65" fillId="5" borderId="0" xfId="6" applyNumberFormat="1" applyFont="1" applyFill="1" applyBorder="1" applyAlignment="1">
      <alignment horizontal="right" vertical="top"/>
    </xf>
    <xf numFmtId="49" fontId="6" fillId="5" borderId="0" xfId="6" applyNumberFormat="1" applyFont="1" applyFill="1" applyBorder="1" applyAlignment="1">
      <alignment horizontal="right" vertical="center"/>
    </xf>
    <xf numFmtId="49" fontId="0" fillId="5" borderId="0" xfId="0" applyNumberFormat="1" applyFill="1" applyAlignment="1">
      <alignment horizontal="right" vertical="center"/>
    </xf>
    <xf numFmtId="49" fontId="6" fillId="5" borderId="0" xfId="6" applyNumberFormat="1" applyFont="1" applyFill="1" applyBorder="1" applyAlignment="1" applyProtection="1">
      <alignment horizontal="right" vertical="center"/>
      <protection locked="0"/>
    </xf>
    <xf numFmtId="49" fontId="6" fillId="0" borderId="0" xfId="6" applyNumberFormat="1" applyFont="1" applyFill="1" applyBorder="1" applyAlignment="1">
      <alignment horizontal="right" vertical="center"/>
    </xf>
    <xf numFmtId="49" fontId="33" fillId="5" borderId="0" xfId="6" applyNumberFormat="1" applyFont="1" applyFill="1" applyBorder="1" applyAlignment="1">
      <alignment horizontal="right" vertical="top" textRotation="255"/>
    </xf>
    <xf numFmtId="0" fontId="8" fillId="0" borderId="54" xfId="7" applyNumberFormat="1" applyFont="1" applyFill="1" applyBorder="1" applyAlignment="1" applyProtection="1">
      <alignment horizontal="right"/>
      <protection locked="0" hidden="1"/>
    </xf>
    <xf numFmtId="0" fontId="8" fillId="0" borderId="55" xfId="7" applyNumberFormat="1" applyFont="1" applyFill="1" applyBorder="1" applyAlignment="1" applyProtection="1">
      <alignment horizontal="right"/>
      <protection locked="0" hidden="1"/>
    </xf>
    <xf numFmtId="0" fontId="8" fillId="0" borderId="56" xfId="7" applyNumberFormat="1" applyFont="1" applyFill="1" applyBorder="1" applyAlignment="1" applyProtection="1">
      <alignment horizontal="right"/>
      <protection locked="0" hidden="1"/>
    </xf>
    <xf numFmtId="0" fontId="6" fillId="0" borderId="0" xfId="6" applyNumberFormat="1" applyFont="1" applyFill="1" applyBorder="1" applyAlignment="1">
      <alignment horizontal="right" vertical="center"/>
    </xf>
    <xf numFmtId="0" fontId="6" fillId="0" borderId="0" xfId="6" applyNumberFormat="1" applyFont="1" applyFill="1" applyBorder="1" applyAlignment="1">
      <alignment vertical="center"/>
    </xf>
    <xf numFmtId="0" fontId="0" fillId="0" borderId="0" xfId="0" applyFill="1" applyProtection="1">
      <alignment vertical="center"/>
      <protection hidden="1"/>
    </xf>
    <xf numFmtId="49" fontId="0" fillId="0" borderId="0" xfId="0" applyNumberFormat="1" applyFill="1" applyAlignment="1">
      <alignment vertical="center"/>
    </xf>
    <xf numFmtId="0" fontId="3" fillId="0" borderId="0" xfId="1" applyFill="1" applyAlignment="1" applyProtection="1">
      <alignment vertical="center"/>
      <protection locked="0" hidden="1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left" vertical="center"/>
    </xf>
    <xf numFmtId="0" fontId="6" fillId="3" borderId="98" xfId="6" applyFont="1" applyFill="1" applyBorder="1" applyAlignment="1">
      <alignment horizontal="left" vertical="center"/>
    </xf>
    <xf numFmtId="0" fontId="6" fillId="3" borderId="99" xfId="6" applyFont="1" applyFill="1" applyBorder="1" applyAlignment="1">
      <alignment horizontal="center" vertical="center"/>
    </xf>
    <xf numFmtId="0" fontId="14" fillId="0" borderId="29" xfId="8" applyFont="1" applyFill="1" applyBorder="1" applyAlignment="1" applyProtection="1">
      <alignment horizontal="center" vertical="center" shrinkToFit="1"/>
      <protection hidden="1"/>
    </xf>
    <xf numFmtId="49" fontId="14" fillId="0" borderId="86" xfId="8" applyNumberFormat="1" applyFont="1" applyFill="1" applyBorder="1" applyAlignment="1" applyProtection="1">
      <alignment horizontal="center" vertical="center" shrinkToFit="1"/>
      <protection hidden="1"/>
    </xf>
    <xf numFmtId="0" fontId="14" fillId="0" borderId="100" xfId="8" applyFont="1" applyFill="1" applyBorder="1" applyAlignment="1" applyProtection="1">
      <alignment horizontal="center" vertical="center" shrinkToFit="1"/>
      <protection hidden="1"/>
    </xf>
    <xf numFmtId="49" fontId="14" fillId="0" borderId="100" xfId="8" applyNumberFormat="1" applyFont="1" applyFill="1" applyBorder="1" applyAlignment="1" applyProtection="1">
      <alignment horizontal="center" vertical="center" shrinkToFit="1"/>
      <protection hidden="1"/>
    </xf>
    <xf numFmtId="49" fontId="14" fillId="0" borderId="101" xfId="8" applyNumberFormat="1" applyFont="1" applyFill="1" applyBorder="1" applyAlignment="1" applyProtection="1">
      <alignment horizontal="center" vertical="center" shrinkToFit="1"/>
      <protection hidden="1"/>
    </xf>
    <xf numFmtId="0" fontId="14" fillId="0" borderId="34" xfId="8" applyFont="1" applyFill="1" applyBorder="1" applyAlignment="1" applyProtection="1">
      <alignment horizontal="center" vertical="center" shrinkToFit="1"/>
      <protection hidden="1"/>
    </xf>
    <xf numFmtId="49" fontId="14" fillId="0" borderId="57" xfId="8" applyNumberFormat="1" applyFont="1" applyFill="1" applyBorder="1" applyAlignment="1" applyProtection="1">
      <alignment horizontal="center" vertical="center" shrinkToFit="1"/>
      <protection hidden="1"/>
    </xf>
    <xf numFmtId="0" fontId="8" fillId="0" borderId="54" xfId="8" applyFont="1" applyFill="1" applyBorder="1" applyAlignment="1" applyProtection="1">
      <alignment shrinkToFit="1"/>
      <protection hidden="1"/>
    </xf>
    <xf numFmtId="49" fontId="8" fillId="0" borderId="102" xfId="8" applyNumberFormat="1" applyFont="1" applyFill="1" applyBorder="1" applyAlignment="1" applyProtection="1">
      <alignment horizontal="right" shrinkToFit="1"/>
      <protection locked="0" hidden="1"/>
    </xf>
    <xf numFmtId="49" fontId="8" fillId="0" borderId="37" xfId="8" applyNumberFormat="1" applyFont="1" applyFill="1" applyBorder="1" applyAlignment="1" applyProtection="1">
      <alignment shrinkToFit="1"/>
      <protection locked="0" hidden="1"/>
    </xf>
    <xf numFmtId="0" fontId="8" fillId="0" borderId="42" xfId="8" applyFont="1" applyFill="1" applyBorder="1" applyAlignment="1" applyProtection="1">
      <alignment shrinkToFit="1"/>
      <protection hidden="1"/>
    </xf>
    <xf numFmtId="49" fontId="8" fillId="0" borderId="42" xfId="8" applyNumberFormat="1" applyFont="1" applyFill="1" applyBorder="1" applyAlignment="1" applyProtection="1">
      <alignment horizontal="right" shrinkToFit="1"/>
      <protection locked="0" hidden="1"/>
    </xf>
    <xf numFmtId="0" fontId="8" fillId="0" borderId="55" xfId="8" applyFont="1" applyFill="1" applyBorder="1" applyAlignment="1" applyProtection="1">
      <alignment shrinkToFit="1"/>
      <protection hidden="1"/>
    </xf>
    <xf numFmtId="49" fontId="8" fillId="0" borderId="103" xfId="8" applyNumberFormat="1" applyFont="1" applyFill="1" applyBorder="1" applyAlignment="1" applyProtection="1">
      <alignment horizontal="right" shrinkToFit="1"/>
      <protection locked="0" hidden="1"/>
    </xf>
    <xf numFmtId="49" fontId="8" fillId="0" borderId="45" xfId="8" applyNumberFormat="1" applyFont="1" applyFill="1" applyBorder="1" applyAlignment="1" applyProtection="1">
      <alignment shrinkToFit="1"/>
      <protection locked="0" hidden="1"/>
    </xf>
    <xf numFmtId="0" fontId="8" fillId="0" borderId="46" xfId="8" applyFont="1" applyFill="1" applyBorder="1" applyAlignment="1" applyProtection="1">
      <alignment shrinkToFit="1"/>
      <protection hidden="1"/>
    </xf>
    <xf numFmtId="49" fontId="8" fillId="0" borderId="46" xfId="8" applyNumberFormat="1" applyFont="1" applyFill="1" applyBorder="1" applyAlignment="1" applyProtection="1">
      <alignment horizontal="right" shrinkToFit="1"/>
      <protection locked="0" hidden="1"/>
    </xf>
    <xf numFmtId="0" fontId="8" fillId="0" borderId="56" xfId="8" applyFont="1" applyFill="1" applyBorder="1" applyAlignment="1" applyProtection="1">
      <alignment shrinkToFit="1"/>
      <protection hidden="1"/>
    </xf>
    <xf numFmtId="49" fontId="8" fillId="0" borderId="104" xfId="8" applyNumberFormat="1" applyFont="1" applyFill="1" applyBorder="1" applyAlignment="1" applyProtection="1">
      <alignment horizontal="right" shrinkToFit="1"/>
      <protection locked="0" hidden="1"/>
    </xf>
    <xf numFmtId="49" fontId="8" fillId="0" borderId="39" xfId="8" applyNumberFormat="1" applyFont="1" applyFill="1" applyBorder="1" applyAlignment="1" applyProtection="1">
      <alignment shrinkToFit="1"/>
      <protection locked="0" hidden="1"/>
    </xf>
    <xf numFmtId="0" fontId="8" fillId="0" borderId="49" xfId="8" applyFont="1" applyFill="1" applyBorder="1" applyAlignment="1" applyProtection="1">
      <alignment shrinkToFit="1"/>
      <protection hidden="1"/>
    </xf>
    <xf numFmtId="0" fontId="8" fillId="0" borderId="0" xfId="8" applyFont="1" applyFill="1" applyAlignment="1" applyProtection="1">
      <alignment shrinkToFit="1"/>
      <protection hidden="1"/>
    </xf>
    <xf numFmtId="49" fontId="8" fillId="0" borderId="0" xfId="8" applyNumberFormat="1" applyFont="1" applyFill="1" applyAlignment="1" applyProtection="1">
      <alignment horizontal="right" shrinkToFit="1"/>
      <protection locked="0" hidden="1"/>
    </xf>
    <xf numFmtId="0" fontId="10" fillId="0" borderId="0" xfId="6" applyFont="1" applyFill="1" applyBorder="1"/>
    <xf numFmtId="0" fontId="10" fillId="0" borderId="0" xfId="6" applyFont="1" applyFill="1" applyBorder="1" applyAlignment="1">
      <alignment horizontal="left"/>
    </xf>
    <xf numFmtId="0" fontId="8" fillId="0" borderId="0" xfId="0" applyFont="1" applyAlignment="1">
      <alignment horizontal="left" vertical="center"/>
    </xf>
    <xf numFmtId="0" fontId="8" fillId="0" borderId="6" xfId="8" applyNumberFormat="1" applyFont="1" applyFill="1" applyBorder="1" applyAlignment="1" applyProtection="1">
      <alignment shrinkToFit="1"/>
      <protection hidden="1"/>
    </xf>
    <xf numFmtId="0" fontId="8" fillId="0" borderId="4" xfId="8" applyNumberFormat="1" applyFont="1" applyFill="1" applyBorder="1" applyAlignment="1" applyProtection="1">
      <alignment shrinkToFit="1"/>
      <protection hidden="1"/>
    </xf>
    <xf numFmtId="0" fontId="8" fillId="0" borderId="16" xfId="8" applyNumberFormat="1" applyFont="1" applyFill="1" applyBorder="1" applyAlignment="1" applyProtection="1">
      <alignment shrinkToFit="1"/>
      <protection hidden="1"/>
    </xf>
    <xf numFmtId="0" fontId="8" fillId="0" borderId="4" xfId="7" applyFont="1" applyFill="1" applyBorder="1" applyAlignment="1" applyProtection="1">
      <alignment shrinkToFit="1"/>
      <protection hidden="1"/>
    </xf>
    <xf numFmtId="0" fontId="8" fillId="0" borderId="16" xfId="7" applyFont="1" applyFill="1" applyBorder="1" applyAlignment="1" applyProtection="1">
      <alignment shrinkToFit="1"/>
      <protection hidden="1"/>
    </xf>
    <xf numFmtId="0" fontId="14" fillId="0" borderId="0" xfId="7" applyFont="1" applyAlignment="1" applyProtection="1">
      <alignment horizontal="center" vertical="center"/>
      <protection hidden="1"/>
    </xf>
    <xf numFmtId="181" fontId="32" fillId="5" borderId="78" xfId="7" applyNumberFormat="1" applyFont="1" applyFill="1" applyBorder="1" applyAlignment="1" applyProtection="1">
      <alignment horizontal="right"/>
      <protection hidden="1"/>
    </xf>
    <xf numFmtId="176" fontId="32" fillId="5" borderId="68" xfId="7" applyNumberFormat="1" applyFont="1" applyFill="1" applyBorder="1" applyAlignment="1" applyProtection="1">
      <alignment horizontal="center" shrinkToFit="1"/>
      <protection hidden="1"/>
    </xf>
    <xf numFmtId="0" fontId="55" fillId="4" borderId="0" xfId="7" applyNumberFormat="1" applyFont="1" applyFill="1" applyBorder="1" applyAlignment="1" applyProtection="1">
      <alignment horizontal="center"/>
      <protection locked="0" hidden="1"/>
    </xf>
    <xf numFmtId="0" fontId="8" fillId="0" borderId="15" xfId="7" applyNumberFormat="1" applyFont="1" applyFill="1" applyBorder="1" applyAlignment="1" applyProtection="1">
      <alignment horizontal="right"/>
      <protection locked="0" hidden="1"/>
    </xf>
    <xf numFmtId="0" fontId="8" fillId="0" borderId="17" xfId="7" applyNumberFormat="1" applyFont="1" applyFill="1" applyBorder="1" applyAlignment="1" applyProtection="1">
      <alignment horizontal="right"/>
      <protection locked="0" hidden="1"/>
    </xf>
    <xf numFmtId="0" fontId="8" fillId="0" borderId="14" xfId="7" applyNumberFormat="1" applyFont="1" applyFill="1" applyBorder="1" applyAlignment="1" applyProtection="1">
      <alignment horizontal="right"/>
      <protection locked="0" hidden="1"/>
    </xf>
    <xf numFmtId="0" fontId="27" fillId="5" borderId="0" xfId="12" applyNumberFormat="1" applyFont="1" applyFill="1" applyProtection="1">
      <protection locked="0" hidden="1"/>
    </xf>
    <xf numFmtId="0" fontId="27" fillId="5" borderId="0" xfId="12" applyNumberFormat="1" applyFont="1" applyFill="1" applyProtection="1">
      <protection hidden="1"/>
    </xf>
    <xf numFmtId="0" fontId="38" fillId="5" borderId="0" xfId="7" applyFont="1" applyFill="1" applyBorder="1" applyAlignment="1" applyProtection="1">
      <alignment horizontal="right"/>
      <protection hidden="1"/>
    </xf>
    <xf numFmtId="0" fontId="44" fillId="5" borderId="0" xfId="7" applyFont="1" applyFill="1" applyBorder="1" applyAlignment="1" applyProtection="1">
      <alignment vertical="top" shrinkToFit="1"/>
      <protection hidden="1"/>
    </xf>
    <xf numFmtId="176" fontId="38" fillId="5" borderId="68" xfId="7" applyNumberFormat="1" applyFont="1" applyFill="1" applyBorder="1" applyAlignment="1" applyProtection="1">
      <alignment horizontal="right" shrinkToFit="1"/>
      <protection hidden="1"/>
    </xf>
    <xf numFmtId="0" fontId="6" fillId="0" borderId="0" xfId="6" applyFont="1" applyFill="1" applyBorder="1" applyAlignment="1" applyProtection="1">
      <alignment vertical="center"/>
    </xf>
    <xf numFmtId="0" fontId="6" fillId="3" borderId="99" xfId="6" applyFont="1" applyFill="1" applyBorder="1" applyAlignment="1" applyProtection="1">
      <alignment horizontal="center" vertical="center"/>
    </xf>
    <xf numFmtId="49" fontId="6" fillId="0" borderId="0" xfId="6" applyNumberFormat="1" applyFont="1" applyFill="1" applyBorder="1" applyAlignment="1" applyProtection="1">
      <alignment vertical="center"/>
    </xf>
    <xf numFmtId="0" fontId="6" fillId="3" borderId="29" xfId="6" applyFont="1" applyFill="1" applyBorder="1" applyAlignment="1" applyProtection="1">
      <alignment horizontal="center" vertical="center"/>
    </xf>
    <xf numFmtId="0" fontId="66" fillId="0" borderId="0" xfId="3" applyFont="1">
      <alignment vertical="center"/>
    </xf>
    <xf numFmtId="0" fontId="38" fillId="0" borderId="0" xfId="3" applyFont="1">
      <alignment vertical="center"/>
    </xf>
    <xf numFmtId="0" fontId="0" fillId="0" borderId="0" xfId="0" applyFill="1" applyBorder="1" applyAlignment="1">
      <alignment horizontal="left" vertical="center"/>
    </xf>
    <xf numFmtId="0" fontId="6" fillId="0" borderId="0" xfId="6" applyNumberFormat="1" applyFont="1" applyFill="1" applyBorder="1" applyAlignment="1">
      <alignment horizontal="left" vertical="center"/>
    </xf>
    <xf numFmtId="0" fontId="8" fillId="0" borderId="6" xfId="7" applyNumberFormat="1" applyFont="1" applyFill="1" applyBorder="1" applyAlignment="1" applyProtection="1">
      <alignment shrinkToFit="1"/>
      <protection hidden="1"/>
    </xf>
    <xf numFmtId="0" fontId="8" fillId="0" borderId="4" xfId="7" applyNumberFormat="1" applyFont="1" applyFill="1" applyBorder="1" applyAlignment="1" applyProtection="1">
      <alignment shrinkToFit="1"/>
      <protection hidden="1"/>
    </xf>
    <xf numFmtId="0" fontId="8" fillId="0" borderId="16" xfId="7" applyNumberFormat="1" applyFont="1" applyFill="1" applyBorder="1" applyAlignment="1" applyProtection="1">
      <alignment shrinkToFit="1"/>
      <protection hidden="1"/>
    </xf>
    <xf numFmtId="0" fontId="8" fillId="0" borderId="6" xfId="8" applyNumberFormat="1" applyFont="1" applyFill="1" applyBorder="1" applyProtection="1">
      <protection hidden="1"/>
    </xf>
    <xf numFmtId="0" fontId="8" fillId="0" borderId="4" xfId="8" applyNumberFormat="1" applyFont="1" applyFill="1" applyBorder="1" applyProtection="1">
      <protection hidden="1"/>
    </xf>
    <xf numFmtId="0" fontId="8" fillId="0" borderId="16" xfId="8" applyNumberFormat="1" applyFont="1" applyFill="1" applyBorder="1" applyProtection="1">
      <protection hidden="1"/>
    </xf>
    <xf numFmtId="0" fontId="8" fillId="0" borderId="6" xfId="7" applyNumberFormat="1" applyFont="1" applyFill="1" applyBorder="1" applyProtection="1">
      <protection hidden="1"/>
    </xf>
    <xf numFmtId="0" fontId="8" fillId="0" borderId="4" xfId="7" applyNumberFormat="1" applyFont="1" applyFill="1" applyBorder="1" applyProtection="1">
      <protection hidden="1"/>
    </xf>
    <xf numFmtId="0" fontId="8" fillId="0" borderId="16" xfId="7" applyNumberFormat="1" applyFont="1" applyFill="1" applyBorder="1" applyProtection="1">
      <protection hidden="1"/>
    </xf>
    <xf numFmtId="0" fontId="11" fillId="0" borderId="0" xfId="0" applyFont="1">
      <alignment vertical="center"/>
    </xf>
    <xf numFmtId="181" fontId="32" fillId="5" borderId="0" xfId="7" applyNumberFormat="1" applyFont="1" applyFill="1" applyBorder="1" applyAlignment="1" applyProtection="1">
      <alignment horizontal="right"/>
      <protection hidden="1"/>
    </xf>
    <xf numFmtId="49" fontId="14" fillId="0" borderId="31" xfId="7" applyNumberFormat="1" applyFont="1" applyBorder="1" applyAlignment="1" applyProtection="1">
      <alignment horizontal="center" vertical="center" shrinkToFit="1"/>
      <protection locked="0" hidden="1"/>
    </xf>
    <xf numFmtId="0" fontId="14" fillId="0" borderId="21" xfId="7" applyFont="1" applyBorder="1" applyAlignment="1" applyProtection="1">
      <alignment horizontal="left" vertical="center" shrinkToFit="1"/>
      <protection hidden="1"/>
    </xf>
    <xf numFmtId="0" fontId="8" fillId="0" borderId="22" xfId="7" applyFont="1" applyBorder="1" applyProtection="1">
      <protection hidden="1"/>
    </xf>
    <xf numFmtId="177" fontId="8" fillId="5" borderId="0" xfId="7" applyNumberFormat="1" applyFont="1" applyFill="1" applyBorder="1" applyProtection="1">
      <protection locked="0" hidden="1"/>
    </xf>
    <xf numFmtId="0" fontId="14" fillId="0" borderId="105" xfId="7" applyNumberFormat="1" applyFont="1" applyBorder="1" applyAlignment="1" applyProtection="1">
      <alignment horizontal="center" vertical="center" shrinkToFit="1"/>
      <protection locked="0" hidden="1"/>
    </xf>
    <xf numFmtId="49" fontId="14" fillId="0" borderId="33" xfId="7" applyNumberFormat="1" applyFont="1" applyFill="1" applyBorder="1" applyAlignment="1" applyProtection="1">
      <alignment horizontal="center" vertical="center" shrinkToFit="1"/>
      <protection locked="0" hidden="1"/>
    </xf>
    <xf numFmtId="0" fontId="14" fillId="9" borderId="53" xfId="7" applyFont="1" applyFill="1" applyBorder="1" applyAlignment="1" applyProtection="1">
      <alignment horizontal="center" shrinkToFit="1"/>
      <protection hidden="1"/>
    </xf>
    <xf numFmtId="0" fontId="50" fillId="8" borderId="20" xfId="0" applyFont="1" applyFill="1" applyBorder="1" applyAlignment="1" applyProtection="1">
      <alignment vertical="center"/>
      <protection locked="0" hidden="1"/>
    </xf>
    <xf numFmtId="49" fontId="0" fillId="3" borderId="0" xfId="0" applyNumberFormat="1" applyFill="1" applyBorder="1" applyAlignment="1">
      <alignment horizontal="left" vertical="center"/>
    </xf>
    <xf numFmtId="0" fontId="14" fillId="10" borderId="52" xfId="7" applyFont="1" applyFill="1" applyBorder="1" applyAlignment="1" applyProtection="1">
      <alignment horizontal="left" shrinkToFit="1"/>
      <protection hidden="1"/>
    </xf>
    <xf numFmtId="0" fontId="14" fillId="9" borderId="106" xfId="7" applyFont="1" applyFill="1" applyBorder="1" applyAlignment="1" applyProtection="1">
      <alignment horizontal="left" shrinkToFit="1"/>
      <protection hidden="1"/>
    </xf>
    <xf numFmtId="0" fontId="14" fillId="10" borderId="106" xfId="7" applyFont="1" applyFill="1" applyBorder="1" applyAlignment="1" applyProtection="1">
      <alignment horizontal="left" shrinkToFit="1"/>
      <protection hidden="1"/>
    </xf>
    <xf numFmtId="0" fontId="58" fillId="0" borderId="2" xfId="0" applyFont="1" applyFill="1" applyBorder="1" applyProtection="1">
      <alignment vertical="center"/>
      <protection locked="0" hidden="1"/>
    </xf>
    <xf numFmtId="0" fontId="6" fillId="3" borderId="90" xfId="6" applyFont="1" applyFill="1" applyBorder="1" applyAlignment="1">
      <alignment horizontal="center" vertical="center"/>
    </xf>
    <xf numFmtId="0" fontId="6" fillId="3" borderId="92" xfId="6" applyFont="1" applyFill="1" applyBorder="1" applyAlignment="1" applyProtection="1">
      <alignment horizontal="center" vertical="center"/>
      <protection locked="0"/>
    </xf>
    <xf numFmtId="0" fontId="6" fillId="3" borderId="92" xfId="6" applyFont="1" applyFill="1" applyBorder="1" applyAlignment="1">
      <alignment horizontal="center" vertical="center"/>
    </xf>
    <xf numFmtId="0" fontId="6" fillId="3" borderId="92" xfId="6" applyFont="1" applyFill="1" applyBorder="1" applyAlignment="1" applyProtection="1">
      <alignment horizontal="center" vertical="center"/>
    </xf>
    <xf numFmtId="0" fontId="6" fillId="3" borderId="8" xfId="6" applyFont="1" applyFill="1" applyBorder="1" applyAlignment="1" applyProtection="1">
      <alignment horizontal="center" vertical="center"/>
    </xf>
    <xf numFmtId="0" fontId="6" fillId="3" borderId="0" xfId="6" applyFont="1" applyFill="1" applyBorder="1" applyAlignment="1" applyProtection="1">
      <alignment horizontal="center" vertical="center"/>
    </xf>
    <xf numFmtId="49" fontId="65" fillId="0" borderId="50" xfId="6" applyNumberFormat="1" applyFont="1" applyFill="1" applyBorder="1" applyAlignment="1" applyProtection="1">
      <alignment horizontal="right"/>
      <protection locked="0" hidden="1"/>
    </xf>
    <xf numFmtId="49" fontId="6" fillId="0" borderId="6" xfId="6" applyNumberFormat="1" applyFont="1" applyFill="1" applyBorder="1" applyAlignment="1" applyProtection="1">
      <alignment horizontal="right"/>
      <protection locked="0" hidden="1"/>
    </xf>
    <xf numFmtId="49" fontId="6" fillId="0" borderId="6" xfId="6" applyNumberFormat="1" applyFont="1" applyFill="1" applyBorder="1" applyAlignment="1" applyProtection="1">
      <alignment horizontal="right" vertical="center"/>
      <protection hidden="1"/>
    </xf>
    <xf numFmtId="0" fontId="6" fillId="0" borderId="6" xfId="6" applyNumberFormat="1" applyFont="1" applyFill="1" applyBorder="1" applyAlignment="1" applyProtection="1">
      <alignment horizontal="right" vertical="center"/>
      <protection hidden="1"/>
    </xf>
    <xf numFmtId="49" fontId="6" fillId="0" borderId="14" xfId="6" applyNumberFormat="1" applyFont="1" applyFill="1" applyBorder="1" applyAlignment="1" applyProtection="1">
      <alignment horizontal="right" vertical="center"/>
      <protection hidden="1"/>
    </xf>
    <xf numFmtId="49" fontId="65" fillId="0" borderId="52" xfId="6" applyNumberFormat="1" applyFont="1" applyFill="1" applyBorder="1" applyAlignment="1" applyProtection="1">
      <alignment horizontal="right"/>
      <protection locked="0" hidden="1"/>
    </xf>
    <xf numFmtId="49" fontId="6" fillId="0" borderId="4" xfId="6" applyNumberFormat="1" applyFont="1" applyFill="1" applyBorder="1" applyAlignment="1" applyProtection="1">
      <alignment horizontal="right"/>
      <protection locked="0" hidden="1"/>
    </xf>
    <xf numFmtId="49" fontId="6" fillId="0" borderId="4" xfId="6" applyNumberFormat="1" applyFont="1" applyFill="1" applyBorder="1" applyAlignment="1" applyProtection="1">
      <alignment horizontal="right" vertical="center"/>
      <protection hidden="1"/>
    </xf>
    <xf numFmtId="0" fontId="6" fillId="0" borderId="4" xfId="6" applyNumberFormat="1" applyFont="1" applyFill="1" applyBorder="1" applyAlignment="1" applyProtection="1">
      <alignment horizontal="right" vertical="center"/>
      <protection hidden="1"/>
    </xf>
    <xf numFmtId="49" fontId="6" fillId="0" borderId="15" xfId="6" applyNumberFormat="1" applyFont="1" applyFill="1" applyBorder="1" applyAlignment="1" applyProtection="1">
      <alignment horizontal="right" vertical="center"/>
      <protection hidden="1"/>
    </xf>
    <xf numFmtId="49" fontId="65" fillId="0" borderId="53" xfId="6" applyNumberFormat="1" applyFont="1" applyFill="1" applyBorder="1" applyAlignment="1" applyProtection="1">
      <alignment horizontal="right"/>
      <protection locked="0" hidden="1"/>
    </xf>
    <xf numFmtId="49" fontId="6" fillId="0" borderId="16" xfId="6" applyNumberFormat="1" applyFont="1" applyFill="1" applyBorder="1" applyAlignment="1" applyProtection="1">
      <alignment horizontal="right"/>
      <protection locked="0" hidden="1"/>
    </xf>
    <xf numFmtId="49" fontId="6" fillId="0" borderId="16" xfId="6" applyNumberFormat="1" applyFont="1" applyFill="1" applyBorder="1" applyAlignment="1" applyProtection="1">
      <alignment horizontal="right" vertical="center"/>
      <protection hidden="1"/>
    </xf>
    <xf numFmtId="0" fontId="6" fillId="0" borderId="16" xfId="6" applyNumberFormat="1" applyFont="1" applyFill="1" applyBorder="1" applyAlignment="1" applyProtection="1">
      <alignment horizontal="right" vertical="center"/>
      <protection hidden="1"/>
    </xf>
    <xf numFmtId="49" fontId="6" fillId="0" borderId="17" xfId="6" applyNumberFormat="1" applyFont="1" applyFill="1" applyBorder="1" applyAlignment="1" applyProtection="1">
      <alignment horizontal="right" vertical="center"/>
      <protection hidden="1"/>
    </xf>
    <xf numFmtId="49" fontId="6" fillId="0" borderId="21" xfId="6" applyNumberFormat="1" applyFont="1" applyFill="1" applyBorder="1" applyAlignment="1" applyProtection="1">
      <alignment horizontal="right" vertical="center"/>
      <protection hidden="1"/>
    </xf>
    <xf numFmtId="49" fontId="6" fillId="0" borderId="22" xfId="6" applyNumberFormat="1" applyFont="1" applyFill="1" applyBorder="1" applyAlignment="1" applyProtection="1">
      <alignment horizontal="right" vertical="center"/>
      <protection hidden="1"/>
    </xf>
    <xf numFmtId="49" fontId="6" fillId="0" borderId="23" xfId="6" applyNumberFormat="1" applyFont="1" applyFill="1" applyBorder="1" applyAlignment="1" applyProtection="1">
      <alignment horizontal="right" vertical="center"/>
      <protection hidden="1"/>
    </xf>
    <xf numFmtId="49" fontId="6" fillId="0" borderId="107" xfId="6" applyNumberFormat="1" applyFont="1" applyFill="1" applyBorder="1" applyAlignment="1" applyProtection="1">
      <alignment horizontal="right"/>
      <protection locked="0" hidden="1"/>
    </xf>
    <xf numFmtId="49" fontId="6" fillId="0" borderId="108" xfId="6" applyNumberFormat="1" applyFont="1" applyFill="1" applyBorder="1" applyAlignment="1" applyProtection="1">
      <alignment horizontal="right"/>
      <protection locked="0" hidden="1"/>
    </xf>
    <xf numFmtId="0" fontId="6" fillId="3" borderId="109" xfId="6" applyFont="1" applyFill="1" applyBorder="1" applyAlignment="1">
      <alignment horizontal="center" vertical="center"/>
    </xf>
    <xf numFmtId="0" fontId="6" fillId="3" borderId="110" xfId="6" applyFont="1" applyFill="1" applyBorder="1" applyAlignment="1">
      <alignment horizontal="center" vertical="center"/>
    </xf>
    <xf numFmtId="49" fontId="6" fillId="0" borderId="111" xfId="6" applyNumberFormat="1" applyFont="1" applyFill="1" applyBorder="1" applyAlignment="1" applyProtection="1">
      <alignment horizontal="right" vertical="center"/>
      <protection locked="0" hidden="1"/>
    </xf>
    <xf numFmtId="49" fontId="6" fillId="0" borderId="77" xfId="6" applyNumberFormat="1" applyFont="1" applyFill="1" applyBorder="1" applyAlignment="1" applyProtection="1">
      <alignment horizontal="right" vertical="center"/>
      <protection locked="0" hidden="1"/>
    </xf>
    <xf numFmtId="49" fontId="6" fillId="0" borderId="112" xfId="6" applyNumberFormat="1" applyFont="1" applyFill="1" applyBorder="1" applyAlignment="1" applyProtection="1">
      <alignment horizontal="right" vertical="center"/>
      <protection locked="0" hidden="1"/>
    </xf>
    <xf numFmtId="0" fontId="58" fillId="0" borderId="0" xfId="0" applyFont="1" applyFill="1" applyProtection="1">
      <alignment vertical="center"/>
      <protection locked="0" hidden="1"/>
    </xf>
    <xf numFmtId="0" fontId="58" fillId="0" borderId="0" xfId="0" applyFont="1" applyFill="1" applyAlignment="1" applyProtection="1">
      <alignment horizontal="left" vertical="center"/>
      <protection locked="0" hidden="1"/>
    </xf>
    <xf numFmtId="179" fontId="32" fillId="5" borderId="0" xfId="7" applyNumberFormat="1" applyFont="1" applyFill="1" applyBorder="1" applyAlignment="1" applyProtection="1">
      <alignment horizontal="center"/>
      <protection hidden="1"/>
    </xf>
    <xf numFmtId="0" fontId="14" fillId="5" borderId="0" xfId="7" applyFont="1" applyFill="1" applyBorder="1" applyAlignment="1" applyProtection="1">
      <alignment horizontal="center"/>
      <protection hidden="1"/>
    </xf>
    <xf numFmtId="0" fontId="7" fillId="11" borderId="114" xfId="0" applyFont="1" applyFill="1" applyBorder="1" applyAlignment="1">
      <alignment horizontal="distributed" vertical="center"/>
    </xf>
    <xf numFmtId="0" fontId="50" fillId="8" borderId="20" xfId="0" applyFont="1" applyFill="1" applyBorder="1" applyAlignment="1">
      <alignment horizontal="center" vertical="center"/>
    </xf>
    <xf numFmtId="176" fontId="51" fillId="5" borderId="0" xfId="7" applyNumberFormat="1" applyFont="1" applyFill="1" applyBorder="1" applyAlignment="1" applyProtection="1">
      <alignment horizontal="center" shrinkToFit="1"/>
      <protection hidden="1"/>
    </xf>
    <xf numFmtId="49" fontId="14" fillId="0" borderId="27" xfId="8" applyNumberFormat="1" applyFont="1" applyBorder="1" applyAlignment="1" applyProtection="1">
      <alignment horizontal="center" vertical="center" shrinkToFit="1"/>
      <protection hidden="1"/>
    </xf>
    <xf numFmtId="0" fontId="8" fillId="0" borderId="115" xfId="7" applyNumberFormat="1" applyFont="1" applyFill="1" applyBorder="1" applyAlignment="1" applyProtection="1">
      <alignment horizontal="right"/>
      <protection locked="0" hidden="1"/>
    </xf>
    <xf numFmtId="0" fontId="8" fillId="0" borderId="116" xfId="7" applyNumberFormat="1" applyFont="1" applyFill="1" applyBorder="1" applyAlignment="1" applyProtection="1">
      <alignment horizontal="right"/>
      <protection locked="0" hidden="1"/>
    </xf>
    <xf numFmtId="0" fontId="8" fillId="0" borderId="117" xfId="7" applyNumberFormat="1" applyFont="1" applyFill="1" applyBorder="1" applyAlignment="1" applyProtection="1">
      <alignment horizontal="right"/>
      <protection locked="0" hidden="1"/>
    </xf>
    <xf numFmtId="0" fontId="8" fillId="0" borderId="118" xfId="7" applyNumberFormat="1" applyFont="1" applyFill="1" applyBorder="1" applyAlignment="1" applyProtection="1">
      <alignment horizontal="right"/>
      <protection locked="0" hidden="1"/>
    </xf>
    <xf numFmtId="0" fontId="8" fillId="0" borderId="102" xfId="7" applyNumberFormat="1" applyFont="1" applyFill="1" applyBorder="1" applyAlignment="1" applyProtection="1">
      <alignment horizontal="right"/>
      <protection locked="0" hidden="1"/>
    </xf>
    <xf numFmtId="0" fontId="8" fillId="0" borderId="119" xfId="7" applyNumberFormat="1" applyFont="1" applyFill="1" applyBorder="1" applyAlignment="1" applyProtection="1">
      <alignment horizontal="right"/>
      <protection locked="0" hidden="1"/>
    </xf>
    <xf numFmtId="0" fontId="8" fillId="0" borderId="103" xfId="7" applyNumberFormat="1" applyFont="1" applyFill="1" applyBorder="1" applyAlignment="1" applyProtection="1">
      <alignment horizontal="right"/>
      <protection locked="0" hidden="1"/>
    </xf>
    <xf numFmtId="0" fontId="8" fillId="0" borderId="120" xfId="7" applyNumberFormat="1" applyFont="1" applyFill="1" applyBorder="1" applyAlignment="1" applyProtection="1">
      <alignment horizontal="right"/>
      <protection locked="0" hidden="1"/>
    </xf>
    <xf numFmtId="0" fontId="8" fillId="0" borderId="104" xfId="7" applyNumberFormat="1" applyFont="1" applyFill="1" applyBorder="1" applyAlignment="1" applyProtection="1">
      <alignment horizontal="right"/>
      <protection locked="0" hidden="1"/>
    </xf>
    <xf numFmtId="49" fontId="14" fillId="0" borderId="43" xfId="7" applyNumberFormat="1" applyFont="1" applyFill="1" applyBorder="1" applyAlignment="1" applyProtection="1">
      <alignment horizontal="right"/>
      <protection locked="0" hidden="1"/>
    </xf>
    <xf numFmtId="177" fontId="14" fillId="0" borderId="24" xfId="7" applyNumberFormat="1" applyFont="1" applyFill="1" applyBorder="1" applyAlignment="1" applyProtection="1">
      <alignment shrinkToFit="1"/>
      <protection locked="0" hidden="1"/>
    </xf>
    <xf numFmtId="49" fontId="14" fillId="0" borderId="19" xfId="7" applyNumberFormat="1" applyFont="1" applyFill="1" applyBorder="1" applyAlignment="1" applyProtection="1">
      <alignment horizontal="right"/>
      <protection locked="0" hidden="1"/>
    </xf>
    <xf numFmtId="177" fontId="8" fillId="0" borderId="24" xfId="7" applyNumberFormat="1" applyFont="1" applyFill="1" applyBorder="1" applyAlignment="1" applyProtection="1">
      <alignment shrinkToFit="1"/>
      <protection locked="0" hidden="1"/>
    </xf>
    <xf numFmtId="177" fontId="8" fillId="0" borderId="18" xfId="7" applyNumberFormat="1" applyFont="1" applyFill="1" applyBorder="1" applyAlignment="1" applyProtection="1">
      <alignment shrinkToFit="1"/>
      <protection locked="0" hidden="1"/>
    </xf>
    <xf numFmtId="177" fontId="14" fillId="0" borderId="22" xfId="7" applyNumberFormat="1" applyFont="1" applyFill="1" applyBorder="1" applyAlignment="1" applyProtection="1">
      <alignment shrinkToFit="1"/>
      <protection locked="0" hidden="1"/>
    </xf>
    <xf numFmtId="177" fontId="8" fillId="0" borderId="22" xfId="7" applyNumberFormat="1" applyFont="1" applyFill="1" applyBorder="1" applyAlignment="1" applyProtection="1">
      <alignment shrinkToFit="1"/>
      <protection locked="0" hidden="1"/>
    </xf>
    <xf numFmtId="177" fontId="8" fillId="0" borderId="4" xfId="7" applyNumberFormat="1" applyFont="1" applyFill="1" applyBorder="1" applyAlignment="1" applyProtection="1">
      <alignment shrinkToFit="1"/>
      <protection locked="0" hidden="1"/>
    </xf>
    <xf numFmtId="0" fontId="14" fillId="0" borderId="0" xfId="7" applyFont="1" applyFill="1" applyAlignment="1" applyProtection="1">
      <alignment horizontal="left"/>
      <protection hidden="1"/>
    </xf>
    <xf numFmtId="0" fontId="25" fillId="0" borderId="0" xfId="7" applyFont="1" applyFill="1" applyAlignment="1" applyProtection="1">
      <protection hidden="1"/>
    </xf>
    <xf numFmtId="0" fontId="8" fillId="0" borderId="0" xfId="7" applyFont="1" applyFill="1" applyBorder="1" applyProtection="1">
      <protection hidden="1"/>
    </xf>
    <xf numFmtId="0" fontId="32" fillId="0" borderId="0" xfId="7" applyFont="1" applyFill="1" applyAlignment="1" applyProtection="1">
      <alignment horizontal="left"/>
      <protection hidden="1"/>
    </xf>
    <xf numFmtId="0" fontId="14" fillId="0" borderId="0" xfId="7" applyFont="1" applyFill="1" applyBorder="1" applyAlignment="1" applyProtection="1">
      <alignment horizontal="left"/>
      <protection hidden="1"/>
    </xf>
    <xf numFmtId="0" fontId="8" fillId="0" borderId="0" xfId="7" applyFont="1" applyFill="1" applyBorder="1" applyAlignment="1" applyProtection="1">
      <alignment horizontal="left"/>
      <protection hidden="1"/>
    </xf>
    <xf numFmtId="0" fontId="32" fillId="0" borderId="0" xfId="7" applyFont="1" applyFill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14" fillId="5" borderId="52" xfId="7" applyFont="1" applyFill="1" applyBorder="1" applyAlignment="1" applyProtection="1">
      <alignment horizontal="right" shrinkToFit="1"/>
      <protection hidden="1"/>
    </xf>
    <xf numFmtId="0" fontId="14" fillId="5" borderId="15" xfId="7" applyNumberFormat="1" applyFont="1" applyFill="1" applyBorder="1" applyAlignment="1" applyProtection="1">
      <alignment horizontal="center" shrinkToFit="1"/>
      <protection hidden="1"/>
    </xf>
    <xf numFmtId="0" fontId="14" fillId="5" borderId="23" xfId="7" applyFont="1" applyFill="1" applyBorder="1" applyAlignment="1" applyProtection="1">
      <alignment horizontal="center" shrinkToFit="1"/>
      <protection hidden="1"/>
    </xf>
    <xf numFmtId="0" fontId="14" fillId="5" borderId="17" xfId="7" applyFont="1" applyFill="1" applyBorder="1" applyAlignment="1" applyProtection="1">
      <alignment horizontal="center"/>
      <protection hidden="1"/>
    </xf>
    <xf numFmtId="0" fontId="14" fillId="5" borderId="53" xfId="7" applyFont="1" applyFill="1" applyBorder="1" applyAlignment="1" applyProtection="1">
      <alignment horizontal="center" shrinkToFit="1"/>
      <protection hidden="1"/>
    </xf>
    <xf numFmtId="0" fontId="8" fillId="5" borderId="0" xfId="0" applyFont="1" applyFill="1" applyBorder="1" applyAlignment="1" applyProtection="1">
      <protection hidden="1"/>
    </xf>
    <xf numFmtId="0" fontId="8" fillId="5" borderId="0" xfId="0" applyFont="1" applyFill="1" applyBorder="1" applyAlignment="1" applyProtection="1">
      <alignment horizontal="center"/>
      <protection hidden="1"/>
    </xf>
    <xf numFmtId="0" fontId="8" fillId="0" borderId="0" xfId="7" applyFont="1" applyAlignment="1" applyProtection="1">
      <protection hidden="1"/>
    </xf>
    <xf numFmtId="0" fontId="8" fillId="5" borderId="0" xfId="0" applyFont="1" applyFill="1" applyAlignment="1" applyProtection="1">
      <alignment horizontal="center"/>
      <protection hidden="1"/>
    </xf>
    <xf numFmtId="0" fontId="8" fillId="0" borderId="0" xfId="7" applyFont="1" applyBorder="1" applyAlignment="1" applyProtection="1">
      <protection hidden="1"/>
    </xf>
    <xf numFmtId="0" fontId="8" fillId="5" borderId="0" xfId="0" applyFont="1" applyFill="1" applyAlignment="1" applyProtection="1">
      <protection hidden="1"/>
    </xf>
    <xf numFmtId="0" fontId="14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0" borderId="0" xfId="7" applyFont="1" applyFill="1" applyBorder="1" applyAlignment="1" applyProtection="1">
      <protection hidden="1"/>
    </xf>
    <xf numFmtId="49" fontId="8" fillId="5" borderId="0" xfId="7" applyNumberFormat="1" applyFont="1" applyFill="1" applyBorder="1" applyAlignment="1" applyProtection="1">
      <protection hidden="1"/>
    </xf>
    <xf numFmtId="0" fontId="8" fillId="5" borderId="0" xfId="7" applyFont="1" applyFill="1" applyBorder="1" applyAlignment="1" applyProtection="1">
      <protection hidden="1"/>
    </xf>
    <xf numFmtId="0" fontId="8" fillId="5" borderId="0" xfId="7" applyFont="1" applyFill="1" applyAlignment="1" applyProtection="1">
      <protection hidden="1"/>
    </xf>
    <xf numFmtId="177" fontId="8" fillId="5" borderId="0" xfId="7" applyNumberFormat="1" applyFont="1" applyFill="1" applyAlignment="1" applyProtection="1">
      <protection locked="0" hidden="1"/>
    </xf>
    <xf numFmtId="0" fontId="8" fillId="5" borderId="0" xfId="7" applyNumberFormat="1" applyFont="1" applyFill="1" applyAlignment="1" applyProtection="1">
      <protection hidden="1"/>
    </xf>
    <xf numFmtId="0" fontId="8" fillId="5" borderId="0" xfId="7" applyFont="1" applyFill="1" applyAlignment="1" applyProtection="1">
      <protection locked="0" hidden="1"/>
    </xf>
    <xf numFmtId="0" fontId="32" fillId="0" borderId="0" xfId="7" applyFont="1" applyAlignment="1" applyProtection="1">
      <protection hidden="1"/>
    </xf>
    <xf numFmtId="0" fontId="32" fillId="0" borderId="0" xfId="7" applyFont="1" applyFill="1" applyAlignment="1" applyProtection="1">
      <protection hidden="1"/>
    </xf>
    <xf numFmtId="0" fontId="52" fillId="5" borderId="0" xfId="7" applyFont="1" applyFill="1" applyBorder="1" applyAlignment="1" applyProtection="1">
      <alignment horizontal="left"/>
      <protection hidden="1"/>
    </xf>
    <xf numFmtId="0" fontId="52" fillId="5" borderId="0" xfId="7" applyFont="1" applyFill="1" applyBorder="1" applyAlignment="1" applyProtection="1">
      <alignment horizontal="center"/>
      <protection hidden="1"/>
    </xf>
    <xf numFmtId="0" fontId="52" fillId="4" borderId="0" xfId="7" applyFont="1" applyFill="1" applyBorder="1" applyAlignment="1" applyProtection="1">
      <alignment horizontal="center"/>
      <protection hidden="1"/>
    </xf>
    <xf numFmtId="0" fontId="32" fillId="5" borderId="0" xfId="7" applyFont="1" applyFill="1" applyAlignment="1" applyProtection="1">
      <protection hidden="1"/>
    </xf>
    <xf numFmtId="177" fontId="32" fillId="5" borderId="0" xfId="7" applyNumberFormat="1" applyFont="1" applyFill="1" applyAlignment="1" applyProtection="1">
      <protection locked="0" hidden="1"/>
    </xf>
    <xf numFmtId="0" fontId="32" fillId="5" borderId="0" xfId="0" applyFont="1" applyFill="1" applyAlignment="1" applyProtection="1">
      <protection hidden="1"/>
    </xf>
    <xf numFmtId="0" fontId="32" fillId="5" borderId="0" xfId="7" applyNumberFormat="1" applyFont="1" applyFill="1" applyAlignment="1" applyProtection="1">
      <protection hidden="1"/>
    </xf>
    <xf numFmtId="0" fontId="32" fillId="5" borderId="0" xfId="7" applyFont="1" applyFill="1" applyAlignment="1" applyProtection="1">
      <protection locked="0" hidden="1"/>
    </xf>
    <xf numFmtId="0" fontId="32" fillId="5" borderId="0" xfId="0" applyFont="1" applyFill="1" applyAlignment="1" applyProtection="1">
      <alignment horizontal="center"/>
      <protection hidden="1"/>
    </xf>
    <xf numFmtId="0" fontId="14" fillId="0" borderId="0" xfId="7" applyFont="1" applyAlignment="1" applyProtection="1">
      <alignment horizontal="left" shrinkToFit="1"/>
      <protection hidden="1"/>
    </xf>
    <xf numFmtId="0" fontId="14" fillId="0" borderId="5" xfId="7" applyFont="1" applyBorder="1" applyAlignment="1" applyProtection="1">
      <alignment horizontal="center" shrinkToFit="1"/>
      <protection hidden="1"/>
    </xf>
    <xf numFmtId="0" fontId="14" fillId="0" borderId="31" xfId="7" applyFont="1" applyBorder="1" applyAlignment="1" applyProtection="1">
      <alignment horizontal="center" shrinkToFit="1"/>
      <protection hidden="1"/>
    </xf>
    <xf numFmtId="0" fontId="14" fillId="0" borderId="65" xfId="7" applyFont="1" applyBorder="1" applyAlignment="1" applyProtection="1">
      <alignment horizontal="center" shrinkToFit="1"/>
      <protection hidden="1"/>
    </xf>
    <xf numFmtId="0" fontId="14" fillId="0" borderId="27" xfId="0" applyFont="1" applyBorder="1" applyAlignment="1" applyProtection="1">
      <alignment horizontal="center" shrinkToFit="1"/>
      <protection hidden="1"/>
    </xf>
    <xf numFmtId="49" fontId="14" fillId="0" borderId="5" xfId="7" applyNumberFormat="1" applyFont="1" applyBorder="1" applyAlignment="1" applyProtection="1">
      <alignment horizontal="center" shrinkToFit="1"/>
      <protection hidden="1"/>
    </xf>
    <xf numFmtId="49" fontId="14" fillId="0" borderId="32" xfId="7" applyNumberFormat="1" applyFont="1" applyBorder="1" applyAlignment="1" applyProtection="1">
      <alignment horizontal="center" shrinkToFit="1"/>
      <protection hidden="1"/>
    </xf>
    <xf numFmtId="49" fontId="14" fillId="0" borderId="27" xfId="7" applyNumberFormat="1" applyFont="1" applyBorder="1" applyAlignment="1" applyProtection="1">
      <alignment horizontal="center" shrinkToFit="1"/>
      <protection hidden="1"/>
    </xf>
    <xf numFmtId="49" fontId="14" fillId="0" borderId="64" xfId="7" applyNumberFormat="1" applyFont="1" applyFill="1" applyBorder="1" applyAlignment="1" applyProtection="1">
      <alignment horizontal="center" shrinkToFit="1"/>
      <protection hidden="1"/>
    </xf>
    <xf numFmtId="0" fontId="14" fillId="9" borderId="57" xfId="7" applyFont="1" applyFill="1" applyBorder="1" applyAlignment="1" applyProtection="1">
      <alignment horizontal="center" shrinkToFit="1"/>
      <protection hidden="1"/>
    </xf>
    <xf numFmtId="49" fontId="14" fillId="0" borderId="57" xfId="7" applyNumberFormat="1" applyFont="1" applyFill="1" applyBorder="1" applyAlignment="1" applyProtection="1">
      <alignment horizontal="center" shrinkToFit="1"/>
      <protection hidden="1"/>
    </xf>
    <xf numFmtId="49" fontId="14" fillId="0" borderId="31" xfId="7" applyNumberFormat="1" applyFont="1" applyFill="1" applyBorder="1" applyAlignment="1" applyProtection="1">
      <alignment horizontal="center" shrinkToFit="1"/>
      <protection locked="0" hidden="1"/>
    </xf>
    <xf numFmtId="0" fontId="14" fillId="0" borderId="5" xfId="7" applyFont="1" applyFill="1" applyBorder="1" applyAlignment="1" applyProtection="1">
      <alignment horizontal="left" shrinkToFit="1"/>
      <protection hidden="1"/>
    </xf>
    <xf numFmtId="49" fontId="14" fillId="0" borderId="33" xfId="7" applyNumberFormat="1" applyFont="1" applyFill="1" applyBorder="1" applyAlignment="1" applyProtection="1">
      <alignment horizontal="center" shrinkToFit="1"/>
      <protection locked="0" hidden="1"/>
    </xf>
    <xf numFmtId="49" fontId="14" fillId="0" borderId="29" xfId="7" applyNumberFormat="1" applyFont="1" applyFill="1" applyBorder="1" applyAlignment="1" applyProtection="1">
      <alignment horizontal="center" shrinkToFit="1"/>
      <protection locked="0" hidden="1"/>
    </xf>
    <xf numFmtId="0" fontId="14" fillId="0" borderId="29" xfId="7" applyFont="1" applyFill="1" applyBorder="1" applyAlignment="1" applyProtection="1">
      <alignment horizontal="left" shrinkToFit="1"/>
      <protection hidden="1"/>
    </xf>
    <xf numFmtId="177" fontId="14" fillId="0" borderId="29" xfId="7" applyNumberFormat="1" applyFont="1" applyFill="1" applyBorder="1" applyAlignment="1" applyProtection="1">
      <alignment horizontal="left" shrinkToFit="1"/>
      <protection locked="0" hidden="1"/>
    </xf>
    <xf numFmtId="177" fontId="14" fillId="0" borderId="34" xfId="7" applyNumberFormat="1" applyFont="1" applyFill="1" applyBorder="1" applyAlignment="1" applyProtection="1">
      <alignment horizontal="left" shrinkToFit="1"/>
      <protection locked="0" hidden="1"/>
    </xf>
    <xf numFmtId="0" fontId="14" fillId="0" borderId="0" xfId="7" applyFont="1" applyAlignment="1" applyProtection="1">
      <alignment horizontal="center" shrinkToFit="1"/>
      <protection hidden="1"/>
    </xf>
    <xf numFmtId="0" fontId="0" fillId="0" borderId="9" xfId="0" applyNumberFormat="1" applyBorder="1" applyAlignment="1"/>
    <xf numFmtId="0" fontId="14" fillId="5" borderId="0" xfId="7" applyFont="1" applyFill="1" applyAlignment="1" applyProtection="1">
      <alignment horizontal="center" shrinkToFit="1"/>
      <protection hidden="1"/>
    </xf>
    <xf numFmtId="177" fontId="8" fillId="0" borderId="0" xfId="7" applyNumberFormat="1" applyFont="1" applyAlignment="1" applyProtection="1">
      <protection hidden="1"/>
    </xf>
    <xf numFmtId="0" fontId="8" fillId="0" borderId="6" xfId="7" applyFont="1" applyFill="1" applyBorder="1" applyAlignment="1" applyProtection="1">
      <protection hidden="1"/>
    </xf>
    <xf numFmtId="0" fontId="8" fillId="0" borderId="21" xfId="7" applyFont="1" applyFill="1" applyBorder="1" applyAlignment="1" applyProtection="1">
      <protection hidden="1"/>
    </xf>
    <xf numFmtId="0" fontId="8" fillId="0" borderId="50" xfId="7" applyFont="1" applyFill="1" applyBorder="1" applyAlignment="1" applyProtection="1">
      <protection hidden="1"/>
    </xf>
    <xf numFmtId="0" fontId="14" fillId="0" borderId="42" xfId="7" applyFont="1" applyBorder="1" applyAlignment="1" applyProtection="1">
      <protection hidden="1"/>
    </xf>
    <xf numFmtId="0" fontId="14" fillId="0" borderId="18" xfId="7" applyFont="1" applyFill="1" applyBorder="1" applyAlignment="1" applyProtection="1">
      <protection hidden="1"/>
    </xf>
    <xf numFmtId="0" fontId="8" fillId="0" borderId="18" xfId="7" applyFont="1" applyFill="1" applyBorder="1" applyAlignment="1" applyProtection="1">
      <protection hidden="1"/>
    </xf>
    <xf numFmtId="177" fontId="10" fillId="0" borderId="18" xfId="7" applyNumberFormat="1" applyFont="1" applyFill="1" applyBorder="1" applyAlignment="1" applyProtection="1">
      <protection locked="0" hidden="1"/>
    </xf>
    <xf numFmtId="177" fontId="10" fillId="0" borderId="19" xfId="7" applyNumberFormat="1" applyFont="1" applyFill="1" applyBorder="1" applyAlignment="1" applyProtection="1">
      <protection locked="0" hidden="1"/>
    </xf>
    <xf numFmtId="0" fontId="0" fillId="5" borderId="0" xfId="0" applyNumberFormat="1" applyFill="1" applyBorder="1" applyAlignment="1"/>
    <xf numFmtId="0" fontId="8" fillId="0" borderId="24" xfId="7" applyFont="1" applyFill="1" applyBorder="1" applyAlignment="1" applyProtection="1">
      <protection hidden="1"/>
    </xf>
    <xf numFmtId="0" fontId="8" fillId="0" borderId="52" xfId="7" applyFont="1" applyFill="1" applyBorder="1" applyAlignment="1" applyProtection="1">
      <protection hidden="1"/>
    </xf>
    <xf numFmtId="0" fontId="14" fillId="0" borderId="46" xfId="7" applyFont="1" applyBorder="1" applyAlignment="1" applyProtection="1">
      <protection hidden="1"/>
    </xf>
    <xf numFmtId="0" fontId="14" fillId="0" borderId="4" xfId="7" applyFont="1" applyFill="1" applyBorder="1" applyAlignment="1" applyProtection="1">
      <protection hidden="1"/>
    </xf>
    <xf numFmtId="0" fontId="8" fillId="0" borderId="4" xfId="7" applyFont="1" applyFill="1" applyBorder="1" applyAlignment="1" applyProtection="1">
      <protection hidden="1"/>
    </xf>
    <xf numFmtId="49" fontId="0" fillId="0" borderId="9" xfId="0" applyNumberFormat="1" applyBorder="1" applyAlignment="1"/>
    <xf numFmtId="0" fontId="14" fillId="5" borderId="15" xfId="7" applyFont="1" applyFill="1" applyBorder="1" applyAlignment="1" applyProtection="1">
      <alignment horizontal="center" shrinkToFit="1"/>
      <protection hidden="1"/>
    </xf>
    <xf numFmtId="0" fontId="8" fillId="5" borderId="82" xfId="0" applyFont="1" applyFill="1" applyBorder="1" applyAlignment="1" applyProtection="1">
      <alignment horizontal="right" shrinkToFit="1"/>
      <protection hidden="1"/>
    </xf>
    <xf numFmtId="0" fontId="8" fillId="5" borderId="25" xfId="0" applyFont="1" applyFill="1" applyBorder="1" applyAlignment="1" applyProtection="1">
      <alignment shrinkToFit="1"/>
      <protection hidden="1"/>
    </xf>
    <xf numFmtId="0" fontId="8" fillId="5" borderId="25" xfId="0" applyFont="1" applyFill="1" applyBorder="1" applyAlignment="1" applyProtection="1">
      <alignment horizontal="right" shrinkToFit="1"/>
      <protection hidden="1"/>
    </xf>
    <xf numFmtId="0" fontId="8" fillId="5" borderId="83" xfId="0" applyFont="1" applyFill="1" applyBorder="1" applyAlignment="1" applyProtection="1">
      <alignment shrinkToFit="1"/>
      <protection hidden="1"/>
    </xf>
    <xf numFmtId="0" fontId="8" fillId="5" borderId="52" xfId="11" applyFont="1" applyFill="1" applyBorder="1" applyAlignment="1" applyProtection="1">
      <alignment horizontal="center" shrinkToFit="1"/>
      <protection hidden="1"/>
    </xf>
    <xf numFmtId="0" fontId="8" fillId="5" borderId="15" xfId="11" applyFont="1" applyFill="1" applyBorder="1" applyAlignment="1" applyProtection="1">
      <alignment horizontal="center"/>
      <protection hidden="1"/>
    </xf>
    <xf numFmtId="0" fontId="0" fillId="0" borderId="0" xfId="0" applyNumberFormat="1" applyBorder="1" applyAlignment="1"/>
    <xf numFmtId="0" fontId="8" fillId="5" borderId="87" xfId="11" applyFont="1" applyFill="1" applyBorder="1" applyAlignment="1" applyProtection="1">
      <alignment horizontal="center" shrinkToFit="1"/>
      <protection hidden="1"/>
    </xf>
    <xf numFmtId="0" fontId="8" fillId="5" borderId="123" xfId="11" applyFont="1" applyFill="1" applyBorder="1" applyAlignment="1" applyProtection="1">
      <alignment horizontal="center"/>
      <protection hidden="1"/>
    </xf>
    <xf numFmtId="49" fontId="8" fillId="0" borderId="107" xfId="11" applyNumberFormat="1" applyFont="1" applyFill="1" applyBorder="1" applyAlignment="1" applyProtection="1">
      <alignment horizontal="right"/>
      <protection locked="0" hidden="1"/>
    </xf>
    <xf numFmtId="0" fontId="8" fillId="5" borderId="53" xfId="11" applyFont="1" applyFill="1" applyBorder="1" applyAlignment="1" applyProtection="1">
      <alignment horizontal="center" shrinkToFit="1"/>
      <protection hidden="1"/>
    </xf>
    <xf numFmtId="49" fontId="8" fillId="0" borderId="108" xfId="11" applyNumberFormat="1" applyFont="1" applyFill="1" applyBorder="1" applyAlignment="1" applyProtection="1">
      <alignment horizontal="right"/>
      <protection locked="0" hidden="1"/>
    </xf>
    <xf numFmtId="0" fontId="8" fillId="5" borderId="17" xfId="1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8" fillId="0" borderId="0" xfId="7" applyNumberFormat="1" applyFont="1" applyAlignment="1" applyProtection="1">
      <protection hidden="1"/>
    </xf>
    <xf numFmtId="0" fontId="8" fillId="5" borderId="61" xfId="0" applyFont="1" applyFill="1" applyBorder="1" applyAlignment="1" applyProtection="1">
      <alignment horizontal="right" shrinkToFit="1"/>
      <protection hidden="1"/>
    </xf>
    <xf numFmtId="0" fontId="8" fillId="5" borderId="2" xfId="0" applyFont="1" applyFill="1" applyBorder="1" applyAlignment="1" applyProtection="1">
      <alignment shrinkToFit="1"/>
      <protection hidden="1"/>
    </xf>
    <xf numFmtId="0" fontId="8" fillId="5" borderId="2" xfId="0" applyFont="1" applyFill="1" applyBorder="1" applyAlignment="1" applyProtection="1">
      <alignment horizontal="right" shrinkToFit="1"/>
      <protection hidden="1"/>
    </xf>
    <xf numFmtId="0" fontId="8" fillId="5" borderId="3" xfId="0" applyFont="1" applyFill="1" applyBorder="1" applyAlignment="1" applyProtection="1">
      <alignment shrinkToFit="1"/>
      <protection hidden="1"/>
    </xf>
    <xf numFmtId="0" fontId="8" fillId="5" borderId="0" xfId="0" applyFont="1" applyFill="1" applyBorder="1" applyAlignment="1" applyProtection="1">
      <alignment horizontal="right" shrinkToFit="1"/>
      <protection hidden="1"/>
    </xf>
    <xf numFmtId="0" fontId="8" fillId="5" borderId="0" xfId="0" applyFont="1" applyFill="1" applyBorder="1" applyAlignment="1" applyProtection="1">
      <alignment shrinkToFit="1"/>
      <protection hidden="1"/>
    </xf>
    <xf numFmtId="0" fontId="8" fillId="0" borderId="70" xfId="7" applyFont="1" applyFill="1" applyBorder="1" applyAlignment="1" applyProtection="1">
      <protection hidden="1"/>
    </xf>
    <xf numFmtId="0" fontId="8" fillId="0" borderId="48" xfId="7" applyFont="1" applyFill="1" applyBorder="1" applyAlignment="1" applyProtection="1">
      <protection hidden="1"/>
    </xf>
    <xf numFmtId="0" fontId="8" fillId="0" borderId="53" xfId="7" applyFont="1" applyFill="1" applyBorder="1" applyAlignment="1" applyProtection="1">
      <protection hidden="1"/>
    </xf>
    <xf numFmtId="0" fontId="14" fillId="0" borderId="49" xfId="7" applyFont="1" applyBorder="1" applyAlignment="1" applyProtection="1">
      <protection hidden="1"/>
    </xf>
    <xf numFmtId="49" fontId="8" fillId="5" borderId="0" xfId="7" applyNumberFormat="1" applyFont="1" applyFill="1" applyAlignment="1" applyProtection="1">
      <protection hidden="1"/>
    </xf>
    <xf numFmtId="0" fontId="14" fillId="5" borderId="0" xfId="7" applyFont="1" applyFill="1" applyAlignment="1" applyProtection="1">
      <protection hidden="1"/>
    </xf>
    <xf numFmtId="177" fontId="10" fillId="5" borderId="0" xfId="7" applyNumberFormat="1" applyFont="1" applyFill="1" applyAlignment="1" applyProtection="1">
      <protection locked="0" hidden="1"/>
    </xf>
    <xf numFmtId="49" fontId="8" fillId="0" borderId="0" xfId="7" applyNumberFormat="1" applyFont="1" applyAlignment="1" applyProtection="1">
      <protection hidden="1"/>
    </xf>
    <xf numFmtId="0" fontId="14" fillId="0" borderId="0" xfId="7" applyFont="1" applyAlignment="1" applyProtection="1">
      <protection hidden="1"/>
    </xf>
    <xf numFmtId="177" fontId="10" fillId="0" borderId="0" xfId="7" applyNumberFormat="1" applyFont="1" applyAlignment="1" applyProtection="1">
      <protection locked="0" hidden="1"/>
    </xf>
    <xf numFmtId="0" fontId="8" fillId="0" borderId="0" xfId="8" applyFont="1" applyAlignment="1" applyProtection="1">
      <protection hidden="1"/>
    </xf>
    <xf numFmtId="0" fontId="8" fillId="5" borderId="0" xfId="8" applyFont="1" applyFill="1" applyAlignment="1" applyProtection="1">
      <protection hidden="1"/>
    </xf>
    <xf numFmtId="0" fontId="8" fillId="5" borderId="0" xfId="8" applyFont="1" applyFill="1" applyBorder="1" applyAlignment="1" applyProtection="1">
      <protection hidden="1"/>
    </xf>
    <xf numFmtId="0" fontId="14" fillId="0" borderId="0" xfId="8" applyFont="1" applyAlignment="1" applyProtection="1">
      <alignment horizontal="center"/>
      <protection hidden="1"/>
    </xf>
    <xf numFmtId="0" fontId="14" fillId="0" borderId="5" xfId="8" applyFont="1" applyBorder="1" applyAlignment="1" applyProtection="1">
      <alignment horizontal="center" shrinkToFit="1"/>
      <protection hidden="1"/>
    </xf>
    <xf numFmtId="0" fontId="14" fillId="0" borderId="65" xfId="8" applyFont="1" applyBorder="1" applyAlignment="1" applyProtection="1">
      <alignment horizontal="center" shrinkToFit="1"/>
      <protection hidden="1"/>
    </xf>
    <xf numFmtId="0" fontId="15" fillId="0" borderId="5" xfId="0" applyFont="1" applyBorder="1" applyAlignment="1">
      <alignment horizontal="center" shrinkToFit="1"/>
    </xf>
    <xf numFmtId="49" fontId="14" fillId="0" borderId="5" xfId="8" applyNumberFormat="1" applyFont="1" applyBorder="1" applyAlignment="1" applyProtection="1">
      <alignment horizontal="center" shrinkToFit="1"/>
      <protection hidden="1"/>
    </xf>
    <xf numFmtId="49" fontId="14" fillId="0" borderId="40" xfId="8" applyNumberFormat="1" applyFont="1" applyFill="1" applyBorder="1" applyAlignment="1" applyProtection="1">
      <alignment horizontal="center" shrinkToFit="1"/>
      <protection hidden="1"/>
    </xf>
    <xf numFmtId="49" fontId="14" fillId="0" borderId="32" xfId="8" applyNumberFormat="1" applyFont="1" applyBorder="1" applyAlignment="1" applyProtection="1">
      <alignment horizontal="center" shrinkToFit="1"/>
      <protection hidden="1"/>
    </xf>
    <xf numFmtId="49" fontId="14" fillId="0" borderId="27" xfId="8" applyNumberFormat="1" applyFont="1" applyBorder="1" applyAlignment="1" applyProtection="1">
      <alignment horizontal="center" shrinkToFit="1"/>
      <protection hidden="1"/>
    </xf>
    <xf numFmtId="49" fontId="14" fillId="0" borderId="33" xfId="8" applyNumberFormat="1" applyFont="1" applyBorder="1" applyAlignment="1" applyProtection="1">
      <alignment horizontal="center" shrinkToFit="1"/>
      <protection hidden="1"/>
    </xf>
    <xf numFmtId="49" fontId="14" fillId="0" borderId="68" xfId="8" applyNumberFormat="1" applyFont="1" applyFill="1" applyBorder="1" applyAlignment="1" applyProtection="1">
      <alignment horizontal="center" shrinkToFit="1"/>
      <protection hidden="1"/>
    </xf>
    <xf numFmtId="0" fontId="14" fillId="0" borderId="68" xfId="8" applyFont="1" applyBorder="1" applyAlignment="1" applyProtection="1">
      <alignment horizontal="center" shrinkToFit="1"/>
      <protection hidden="1"/>
    </xf>
    <xf numFmtId="49" fontId="14" fillId="0" borderId="124" xfId="8" applyNumberFormat="1" applyFont="1" applyBorder="1" applyAlignment="1" applyProtection="1">
      <alignment horizontal="center" shrinkToFit="1"/>
      <protection hidden="1"/>
    </xf>
    <xf numFmtId="49" fontId="14" fillId="2" borderId="125" xfId="8" applyNumberFormat="1" applyFont="1" applyFill="1" applyBorder="1" applyAlignment="1" applyProtection="1">
      <alignment horizontal="center" shrinkToFit="1"/>
      <protection hidden="1"/>
    </xf>
    <xf numFmtId="0" fontId="14" fillId="2" borderId="73" xfId="8" applyFont="1" applyFill="1" applyBorder="1" applyAlignment="1" applyProtection="1">
      <alignment horizontal="center" shrinkToFit="1"/>
      <protection hidden="1"/>
    </xf>
    <xf numFmtId="49" fontId="14" fillId="2" borderId="73" xfId="8" applyNumberFormat="1" applyFont="1" applyFill="1" applyBorder="1" applyAlignment="1" applyProtection="1">
      <alignment horizontal="center" shrinkToFit="1"/>
      <protection hidden="1"/>
    </xf>
    <xf numFmtId="49" fontId="14" fillId="2" borderId="68" xfId="8" applyNumberFormat="1" applyFont="1" applyFill="1" applyBorder="1" applyAlignment="1" applyProtection="1">
      <alignment horizontal="center" shrinkToFit="1"/>
      <protection hidden="1"/>
    </xf>
    <xf numFmtId="0" fontId="14" fillId="2" borderId="68" xfId="8" applyFont="1" applyFill="1" applyBorder="1" applyAlignment="1" applyProtection="1">
      <alignment horizontal="center" shrinkToFit="1"/>
      <protection hidden="1"/>
    </xf>
    <xf numFmtId="0" fontId="14" fillId="0" borderId="0" xfId="0" applyFont="1" applyAlignment="1" applyProtection="1">
      <alignment horizontal="center"/>
      <protection hidden="1"/>
    </xf>
    <xf numFmtId="0" fontId="0" fillId="0" borderId="0" xfId="0" applyNumberFormat="1" applyBorder="1" applyAlignment="1">
      <alignment horizontal="left"/>
    </xf>
    <xf numFmtId="0" fontId="8" fillId="0" borderId="0" xfId="8" applyFont="1" applyAlignment="1"/>
    <xf numFmtId="0" fontId="14" fillId="5" borderId="0" xfId="8" applyFont="1" applyFill="1" applyAlignment="1" applyProtection="1">
      <alignment horizontal="center"/>
      <protection hidden="1"/>
    </xf>
    <xf numFmtId="0" fontId="8" fillId="0" borderId="6" xfId="8" applyFont="1" applyFill="1" applyBorder="1" applyAlignment="1" applyProtection="1">
      <protection hidden="1"/>
    </xf>
    <xf numFmtId="0" fontId="8" fillId="0" borderId="50" xfId="8" applyFont="1" applyFill="1" applyBorder="1" applyAlignment="1" applyProtection="1">
      <protection hidden="1"/>
    </xf>
    <xf numFmtId="0" fontId="8" fillId="0" borderId="4" xfId="8" applyFont="1" applyFill="1" applyBorder="1" applyAlignment="1" applyProtection="1">
      <protection hidden="1"/>
    </xf>
    <xf numFmtId="0" fontId="8" fillId="0" borderId="52" xfId="8" applyFont="1" applyFill="1" applyBorder="1" applyAlignment="1" applyProtection="1">
      <protection hidden="1"/>
    </xf>
    <xf numFmtId="0" fontId="15" fillId="0" borderId="36" xfId="0" applyNumberFormat="1" applyFont="1" applyBorder="1" applyAlignment="1">
      <alignment horizontal="left" shrinkToFit="1"/>
    </xf>
    <xf numFmtId="0" fontId="15" fillId="0" borderId="58" xfId="0" applyNumberFormat="1" applyFont="1" applyBorder="1" applyAlignment="1">
      <alignment horizontal="left" shrinkToFit="1"/>
    </xf>
    <xf numFmtId="0" fontId="8" fillId="0" borderId="0" xfId="8" applyFont="1" applyBorder="1" applyAlignment="1" applyProtection="1">
      <protection hidden="1"/>
    </xf>
    <xf numFmtId="49" fontId="15" fillId="0" borderId="58" xfId="0" applyNumberFormat="1" applyFont="1" applyBorder="1" applyAlignment="1">
      <alignment horizontal="left" shrinkToFit="1"/>
    </xf>
    <xf numFmtId="49" fontId="0" fillId="0" borderId="0" xfId="0" applyNumberFormat="1" applyBorder="1" applyAlignment="1">
      <alignment horizontal="left"/>
    </xf>
    <xf numFmtId="49" fontId="15" fillId="0" borderId="59" xfId="0" applyNumberFormat="1" applyFont="1" applyBorder="1" applyAlignment="1">
      <alignment horizontal="left" shrinkToFit="1"/>
    </xf>
    <xf numFmtId="49" fontId="15" fillId="0" borderId="61" xfId="0" applyNumberFormat="1" applyFont="1" applyBorder="1" applyAlignment="1">
      <alignment horizontal="center" shrinkToFit="1"/>
    </xf>
    <xf numFmtId="0" fontId="15" fillId="0" borderId="62" xfId="0" applyNumberFormat="1" applyFont="1" applyBorder="1" applyAlignment="1">
      <alignment horizontal="left" shrinkToFit="1"/>
    </xf>
    <xf numFmtId="0" fontId="8" fillId="0" borderId="0" xfId="8" applyFont="1" applyFill="1" applyAlignment="1" applyProtection="1">
      <protection hidden="1"/>
    </xf>
    <xf numFmtId="49" fontId="15" fillId="0" borderId="61" xfId="0" applyNumberFormat="1" applyFont="1" applyBorder="1" applyAlignment="1">
      <alignment horizontal="center"/>
    </xf>
    <xf numFmtId="49" fontId="0" fillId="5" borderId="0" xfId="0" applyNumberFormat="1" applyFill="1" applyBorder="1" applyAlignment="1">
      <alignment horizontal="left"/>
    </xf>
    <xf numFmtId="0" fontId="8" fillId="0" borderId="16" xfId="8" applyFont="1" applyFill="1" applyBorder="1" applyAlignment="1" applyProtection="1">
      <protection hidden="1"/>
    </xf>
    <xf numFmtId="0" fontId="8" fillId="0" borderId="53" xfId="8" applyFont="1" applyFill="1" applyBorder="1" applyAlignment="1" applyProtection="1">
      <protection hidden="1"/>
    </xf>
    <xf numFmtId="49" fontId="8" fillId="5" borderId="0" xfId="8" applyNumberFormat="1" applyFont="1" applyFill="1" applyAlignment="1" applyProtection="1">
      <protection hidden="1"/>
    </xf>
    <xf numFmtId="0" fontId="8" fillId="5" borderId="0" xfId="8" applyFont="1" applyFill="1" applyAlignment="1"/>
    <xf numFmtId="49" fontId="8" fillId="0" borderId="0" xfId="8" applyNumberFormat="1" applyFont="1" applyAlignment="1" applyProtection="1">
      <protection hidden="1"/>
    </xf>
    <xf numFmtId="0" fontId="14" fillId="0" borderId="31" xfId="8" applyFont="1" applyBorder="1" applyAlignment="1" applyProtection="1">
      <alignment horizontal="center" vertical="center"/>
      <protection hidden="1"/>
    </xf>
    <xf numFmtId="0" fontId="8" fillId="0" borderId="21" xfId="8" applyFont="1" applyFill="1" applyBorder="1" applyProtection="1">
      <protection hidden="1"/>
    </xf>
    <xf numFmtId="0" fontId="8" fillId="0" borderId="22" xfId="8" applyFont="1" applyFill="1" applyBorder="1" applyProtection="1">
      <protection hidden="1"/>
    </xf>
    <xf numFmtId="0" fontId="8" fillId="0" borderId="23" xfId="8" applyFont="1" applyFill="1" applyBorder="1" applyProtection="1">
      <protection hidden="1"/>
    </xf>
    <xf numFmtId="0" fontId="25" fillId="0" borderId="0" xfId="7" applyFont="1" applyFill="1" applyBorder="1" applyAlignment="1" applyProtection="1">
      <protection hidden="1"/>
    </xf>
    <xf numFmtId="0" fontId="8" fillId="0" borderId="0" xfId="8" applyFont="1" applyFill="1" applyBorder="1" applyProtection="1">
      <protection hidden="1"/>
    </xf>
    <xf numFmtId="0" fontId="32" fillId="0" borderId="0" xfId="8" applyFont="1" applyFill="1" applyBorder="1" applyAlignment="1" applyProtection="1">
      <alignment horizontal="left"/>
      <protection hidden="1"/>
    </xf>
    <xf numFmtId="0" fontId="43" fillId="0" borderId="0" xfId="7" applyFont="1" applyFill="1" applyBorder="1" applyAlignment="1" applyProtection="1">
      <alignment vertical="top"/>
      <protection hidden="1"/>
    </xf>
    <xf numFmtId="0" fontId="32" fillId="0" borderId="0" xfId="8" applyFont="1" applyFill="1" applyBorder="1" applyAlignment="1" applyProtection="1">
      <alignment horizontal="center" vertical="center"/>
      <protection hidden="1"/>
    </xf>
    <xf numFmtId="0" fontId="39" fillId="5" borderId="0" xfId="8" applyFont="1" applyFill="1" applyBorder="1" applyAlignment="1" applyProtection="1">
      <alignment horizontal="center"/>
      <protection hidden="1"/>
    </xf>
    <xf numFmtId="0" fontId="43" fillId="5" borderId="0" xfId="7" applyFont="1" applyFill="1" applyBorder="1" applyAlignment="1" applyProtection="1">
      <alignment horizontal="center" vertical="top"/>
      <protection hidden="1"/>
    </xf>
    <xf numFmtId="0" fontId="56" fillId="5" borderId="0" xfId="7" applyFont="1" applyFill="1" applyBorder="1" applyAlignment="1" applyProtection="1">
      <alignment horizontal="left" vertical="center"/>
      <protection hidden="1"/>
    </xf>
    <xf numFmtId="0" fontId="8" fillId="5" borderId="52" xfId="0" applyFont="1" applyFill="1" applyBorder="1" applyAlignment="1" applyProtection="1">
      <alignment horizontal="right" shrinkToFit="1"/>
      <protection hidden="1"/>
    </xf>
    <xf numFmtId="0" fontId="8" fillId="5" borderId="15" xfId="0" applyFont="1" applyFill="1" applyBorder="1" applyAlignment="1" applyProtection="1">
      <alignment shrinkToFit="1"/>
      <protection hidden="1"/>
    </xf>
    <xf numFmtId="0" fontId="8" fillId="5" borderId="53" xfId="0" applyFont="1" applyFill="1" applyBorder="1" applyAlignment="1" applyProtection="1">
      <alignment horizontal="right" shrinkToFit="1"/>
      <protection hidden="1"/>
    </xf>
    <xf numFmtId="0" fontId="8" fillId="5" borderId="17" xfId="0" applyFont="1" applyFill="1" applyBorder="1" applyAlignment="1" applyProtection="1">
      <alignment shrinkToFit="1"/>
      <protection hidden="1"/>
    </xf>
    <xf numFmtId="0" fontId="8" fillId="5" borderId="106" xfId="0" applyFont="1" applyFill="1" applyBorder="1" applyAlignment="1" applyProtection="1">
      <alignment horizontal="right" shrinkToFit="1"/>
      <protection hidden="1"/>
    </xf>
    <xf numFmtId="0" fontId="8" fillId="5" borderId="19" xfId="0" applyFont="1" applyFill="1" applyBorder="1" applyAlignment="1" applyProtection="1">
      <alignment shrinkToFit="1"/>
      <protection hidden="1"/>
    </xf>
    <xf numFmtId="0" fontId="8" fillId="5" borderId="126" xfId="0" applyFont="1" applyFill="1" applyBorder="1" applyAlignment="1" applyProtection="1">
      <alignment horizontal="right" shrinkToFit="1"/>
      <protection hidden="1"/>
    </xf>
    <xf numFmtId="0" fontId="8" fillId="5" borderId="127" xfId="0" applyFont="1" applyFill="1" applyBorder="1" applyAlignment="1" applyProtection="1">
      <alignment shrinkToFit="1"/>
      <protection hidden="1"/>
    </xf>
    <xf numFmtId="0" fontId="14" fillId="0" borderId="21" xfId="7" applyFont="1" applyFill="1" applyBorder="1" applyAlignment="1" applyProtection="1">
      <alignment horizontal="center"/>
      <protection hidden="1"/>
    </xf>
    <xf numFmtId="0" fontId="14" fillId="0" borderId="22" xfId="7" applyFont="1" applyFill="1" applyBorder="1" applyAlignment="1" applyProtection="1">
      <alignment horizontal="center"/>
      <protection hidden="1"/>
    </xf>
    <xf numFmtId="0" fontId="14" fillId="0" borderId="23" xfId="7" applyFont="1" applyFill="1" applyBorder="1" applyAlignment="1" applyProtection="1">
      <alignment horizontal="center"/>
      <protection hidden="1"/>
    </xf>
    <xf numFmtId="49" fontId="14" fillId="0" borderId="34" xfId="8" applyNumberFormat="1" applyFont="1" applyFill="1" applyBorder="1" applyAlignment="1" applyProtection="1">
      <alignment horizontal="center" vertical="center" shrinkToFit="1"/>
      <protection hidden="1"/>
    </xf>
    <xf numFmtId="49" fontId="8" fillId="0" borderId="111" xfId="8" applyNumberFormat="1" applyFont="1" applyFill="1" applyBorder="1" applyAlignment="1" applyProtection="1">
      <alignment shrinkToFit="1"/>
      <protection locked="0" hidden="1"/>
    </xf>
    <xf numFmtId="49" fontId="8" fillId="0" borderId="77" xfId="8" applyNumberFormat="1" applyFont="1" applyFill="1" applyBorder="1" applyAlignment="1" applyProtection="1">
      <alignment shrinkToFit="1"/>
      <protection locked="0" hidden="1"/>
    </xf>
    <xf numFmtId="49" fontId="8" fillId="0" borderId="112" xfId="8" applyNumberFormat="1" applyFont="1" applyFill="1" applyBorder="1" applyAlignment="1" applyProtection="1">
      <alignment shrinkToFit="1"/>
      <protection locked="0" hidden="1"/>
    </xf>
    <xf numFmtId="49" fontId="8" fillId="0" borderId="4" xfId="7" applyNumberFormat="1" applyFont="1" applyFill="1" applyBorder="1" applyProtection="1">
      <protection locked="0" hidden="1"/>
    </xf>
    <xf numFmtId="49" fontId="8" fillId="0" borderId="15" xfId="7" applyNumberFormat="1" applyFont="1" applyFill="1" applyBorder="1" applyProtection="1">
      <protection locked="0" hidden="1"/>
    </xf>
    <xf numFmtId="0" fontId="8" fillId="0" borderId="0" xfId="7" applyFont="1" applyFill="1" applyProtection="1">
      <protection hidden="1"/>
    </xf>
    <xf numFmtId="0" fontId="14" fillId="0" borderId="0" xfId="7" applyFont="1" applyFill="1" applyAlignment="1" applyProtection="1">
      <alignment horizontal="center"/>
      <protection hidden="1"/>
    </xf>
    <xf numFmtId="49" fontId="14" fillId="0" borderId="0" xfId="7" applyNumberFormat="1" applyFont="1" applyFill="1" applyAlignment="1" applyProtection="1">
      <alignment horizontal="right"/>
      <protection locked="0" hidden="1"/>
    </xf>
    <xf numFmtId="0" fontId="14" fillId="0" borderId="0" xfId="7" applyNumberFormat="1" applyFont="1" applyFill="1" applyAlignment="1" applyProtection="1">
      <alignment horizontal="right"/>
      <protection locked="0" hidden="1"/>
    </xf>
    <xf numFmtId="0" fontId="8" fillId="0" borderId="113" xfId="7" applyFont="1" applyFill="1" applyBorder="1" applyProtection="1">
      <protection hidden="1"/>
    </xf>
    <xf numFmtId="0" fontId="8" fillId="0" borderId="116" xfId="7" applyFont="1" applyFill="1" applyBorder="1" applyProtection="1">
      <protection hidden="1"/>
    </xf>
    <xf numFmtId="0" fontId="8" fillId="0" borderId="117" xfId="7" applyFont="1" applyFill="1" applyBorder="1" applyProtection="1">
      <protection hidden="1"/>
    </xf>
    <xf numFmtId="0" fontId="14" fillId="0" borderId="68" xfId="7" applyFont="1" applyBorder="1" applyAlignment="1" applyProtection="1">
      <alignment horizontal="center" vertical="center" shrinkToFit="1"/>
      <protection hidden="1"/>
    </xf>
    <xf numFmtId="0" fontId="14" fillId="0" borderId="6" xfId="7" applyFont="1" applyFill="1" applyBorder="1" applyAlignment="1" applyProtection="1">
      <alignment horizontal="left" vertical="center" shrinkToFit="1"/>
      <protection locked="0" hidden="1"/>
    </xf>
    <xf numFmtId="0" fontId="14" fillId="0" borderId="6" xfId="7" applyFont="1" applyFill="1" applyBorder="1" applyAlignment="1" applyProtection="1">
      <alignment horizontal="left" vertical="center" shrinkToFit="1"/>
      <protection hidden="1"/>
    </xf>
    <xf numFmtId="0" fontId="14" fillId="0" borderId="14" xfId="7" applyFont="1" applyFill="1" applyBorder="1" applyAlignment="1" applyProtection="1">
      <alignment horizontal="left" vertical="center" shrinkToFit="1"/>
      <protection locked="0" hidden="1"/>
    </xf>
    <xf numFmtId="177" fontId="8" fillId="0" borderId="4" xfId="7" applyNumberFormat="1" applyFont="1" applyFill="1" applyBorder="1" applyProtection="1">
      <protection locked="0" hidden="1"/>
    </xf>
    <xf numFmtId="49" fontId="14" fillId="5" borderId="0" xfId="7" applyNumberFormat="1" applyFont="1" applyFill="1" applyBorder="1" applyAlignment="1" applyProtection="1">
      <alignment shrinkToFit="1"/>
      <protection locked="0" hidden="1"/>
    </xf>
    <xf numFmtId="49" fontId="14" fillId="5" borderId="0" xfId="7" applyNumberFormat="1" applyFont="1" applyFill="1" applyBorder="1" applyAlignment="1" applyProtection="1">
      <alignment horizontal="right"/>
      <protection locked="0" hidden="1"/>
    </xf>
    <xf numFmtId="0" fontId="14" fillId="5" borderId="0" xfId="7" applyNumberFormat="1" applyFont="1" applyFill="1" applyBorder="1" applyAlignment="1" applyProtection="1">
      <alignment horizontal="right"/>
      <protection locked="0" hidden="1"/>
    </xf>
    <xf numFmtId="0" fontId="8" fillId="5" borderId="129" xfId="7" applyFont="1" applyFill="1" applyBorder="1" applyProtection="1">
      <protection hidden="1"/>
    </xf>
    <xf numFmtId="49" fontId="8" fillId="5" borderId="129" xfId="7" applyNumberFormat="1" applyFont="1" applyFill="1" applyBorder="1" applyProtection="1">
      <protection locked="0" hidden="1"/>
    </xf>
    <xf numFmtId="177" fontId="8" fillId="5" borderId="129" xfId="7" applyNumberFormat="1" applyFont="1" applyFill="1" applyBorder="1" applyProtection="1">
      <protection locked="0" hidden="1"/>
    </xf>
    <xf numFmtId="0" fontId="8" fillId="0" borderId="0" xfId="7" applyNumberFormat="1" applyFont="1" applyBorder="1" applyProtection="1">
      <protection hidden="1"/>
    </xf>
    <xf numFmtId="49" fontId="8" fillId="5" borderId="0" xfId="7" applyNumberFormat="1" applyFont="1" applyFill="1" applyBorder="1" applyProtection="1">
      <protection locked="0" hidden="1"/>
    </xf>
    <xf numFmtId="0" fontId="8" fillId="5" borderId="0" xfId="7" applyFont="1" applyFill="1" applyBorder="1" applyProtection="1">
      <protection locked="0" hidden="1"/>
    </xf>
    <xf numFmtId="0" fontId="8" fillId="0" borderId="122" xfId="7" applyNumberFormat="1" applyFont="1" applyFill="1" applyBorder="1" applyAlignment="1" applyProtection="1">
      <alignment horizontal="right" shrinkToFit="1"/>
      <protection locked="0" hidden="1"/>
    </xf>
    <xf numFmtId="0" fontId="8" fillId="0" borderId="42" xfId="7" applyNumberFormat="1" applyFont="1" applyFill="1" applyBorder="1" applyAlignment="1" applyProtection="1">
      <alignment horizontal="right" shrinkToFit="1"/>
      <protection locked="0" hidden="1"/>
    </xf>
    <xf numFmtId="0" fontId="8" fillId="0" borderId="75" xfId="7" applyNumberFormat="1" applyFont="1" applyFill="1" applyBorder="1" applyAlignment="1" applyProtection="1">
      <alignment horizontal="right" shrinkToFit="1"/>
      <protection locked="0" hidden="1"/>
    </xf>
    <xf numFmtId="0" fontId="8" fillId="0" borderId="46" xfId="7" applyNumberFormat="1" applyFont="1" applyFill="1" applyBorder="1" applyAlignment="1" applyProtection="1">
      <alignment horizontal="right" shrinkToFit="1"/>
      <protection locked="0" hidden="1"/>
    </xf>
    <xf numFmtId="0" fontId="8" fillId="0" borderId="76" xfId="7" applyNumberFormat="1" applyFont="1" applyFill="1" applyBorder="1" applyAlignment="1" applyProtection="1">
      <alignment horizontal="right" shrinkToFit="1"/>
      <protection locked="0" hidden="1"/>
    </xf>
    <xf numFmtId="0" fontId="8" fillId="0" borderId="49" xfId="7" applyNumberFormat="1" applyFont="1" applyFill="1" applyBorder="1" applyAlignment="1" applyProtection="1">
      <alignment horizontal="right" shrinkToFit="1"/>
      <protection locked="0" hidden="1"/>
    </xf>
    <xf numFmtId="176" fontId="38" fillId="5" borderId="68" xfId="7" applyNumberFormat="1" applyFont="1" applyFill="1" applyBorder="1" applyAlignment="1" applyProtection="1">
      <alignment horizontal="center" shrinkToFit="1"/>
      <protection hidden="1"/>
    </xf>
    <xf numFmtId="0" fontId="0" fillId="0" borderId="0" xfId="0" applyBorder="1" applyProtection="1">
      <alignment vertical="center"/>
      <protection hidden="1"/>
    </xf>
    <xf numFmtId="0" fontId="14" fillId="5" borderId="0" xfId="7" applyFont="1" applyFill="1" applyBorder="1" applyProtection="1">
      <protection hidden="1"/>
    </xf>
    <xf numFmtId="0" fontId="14" fillId="5" borderId="0" xfId="7" applyFont="1" applyFill="1" applyBorder="1" applyAlignment="1" applyProtection="1">
      <alignment horizontal="right"/>
      <protection hidden="1"/>
    </xf>
    <xf numFmtId="0" fontId="8" fillId="5" borderId="0" xfId="7" applyFont="1" applyFill="1" applyBorder="1" applyAlignment="1" applyProtection="1">
      <alignment horizontal="right" shrinkToFit="1"/>
      <protection hidden="1"/>
    </xf>
    <xf numFmtId="0" fontId="8" fillId="5" borderId="0" xfId="7" applyNumberFormat="1" applyFont="1" applyFill="1" applyBorder="1" applyProtection="1">
      <protection hidden="1"/>
    </xf>
    <xf numFmtId="0" fontId="0" fillId="5" borderId="0" xfId="0" applyFill="1" applyBorder="1" applyProtection="1">
      <alignment vertical="center"/>
      <protection hidden="1"/>
    </xf>
    <xf numFmtId="0" fontId="14" fillId="10" borderId="87" xfId="7" applyFont="1" applyFill="1" applyBorder="1" applyAlignment="1" applyProtection="1">
      <alignment horizontal="center" shrinkToFit="1"/>
      <protection hidden="1"/>
    </xf>
    <xf numFmtId="0" fontId="14" fillId="5" borderId="106" xfId="7" applyFont="1" applyFill="1" applyBorder="1" applyAlignment="1" applyProtection="1">
      <alignment horizontal="right"/>
      <protection hidden="1"/>
    </xf>
    <xf numFmtId="49" fontId="14" fillId="5" borderId="19" xfId="7" applyNumberFormat="1" applyFont="1" applyFill="1" applyBorder="1" applyAlignment="1" applyProtection="1">
      <alignment horizontal="right" shrinkToFit="1"/>
      <protection hidden="1"/>
    </xf>
    <xf numFmtId="0" fontId="14" fillId="5" borderId="52" xfId="7" applyFont="1" applyFill="1" applyBorder="1" applyAlignment="1" applyProtection="1">
      <alignment horizontal="right"/>
      <protection hidden="1"/>
    </xf>
    <xf numFmtId="49" fontId="14" fillId="5" borderId="15" xfId="7" applyNumberFormat="1" applyFont="1" applyFill="1" applyBorder="1" applyAlignment="1" applyProtection="1">
      <alignment horizontal="right" shrinkToFit="1"/>
      <protection hidden="1"/>
    </xf>
    <xf numFmtId="0" fontId="14" fillId="5" borderId="130" xfId="7" applyFont="1" applyFill="1" applyBorder="1" applyAlignment="1" applyProtection="1">
      <alignment horizontal="center"/>
      <protection hidden="1"/>
    </xf>
    <xf numFmtId="0" fontId="14" fillId="5" borderId="87" xfId="7" applyFont="1" applyFill="1" applyBorder="1" applyAlignment="1" applyProtection="1">
      <alignment horizontal="right" shrinkToFit="1"/>
      <protection hidden="1"/>
    </xf>
    <xf numFmtId="49" fontId="14" fillId="5" borderId="123" xfId="7" applyNumberFormat="1" applyFont="1" applyFill="1" applyBorder="1" applyAlignment="1" applyProtection="1">
      <alignment horizontal="right" shrinkToFit="1"/>
      <protection hidden="1"/>
    </xf>
    <xf numFmtId="0" fontId="14" fillId="5" borderId="53" xfId="7" applyFont="1" applyFill="1" applyBorder="1" applyAlignment="1" applyProtection="1">
      <alignment horizontal="right"/>
      <protection hidden="1"/>
    </xf>
    <xf numFmtId="0" fontId="14" fillId="5" borderId="87" xfId="7" applyFont="1" applyFill="1" applyBorder="1" applyAlignment="1" applyProtection="1">
      <alignment horizontal="right"/>
      <protection hidden="1"/>
    </xf>
    <xf numFmtId="0" fontId="14" fillId="5" borderId="15" xfId="7" applyFont="1" applyFill="1" applyBorder="1" applyAlignment="1" applyProtection="1">
      <alignment horizontal="right" shrinkToFit="1"/>
      <protection hidden="1"/>
    </xf>
    <xf numFmtId="0" fontId="14" fillId="5" borderId="123" xfId="7" applyFont="1" applyFill="1" applyBorder="1" applyAlignment="1" applyProtection="1">
      <alignment horizontal="right" shrinkToFit="1"/>
      <protection hidden="1"/>
    </xf>
    <xf numFmtId="0" fontId="14" fillId="5" borderId="17" xfId="7" applyFont="1" applyFill="1" applyBorder="1" applyAlignment="1" applyProtection="1">
      <alignment horizontal="right" shrinkToFit="1"/>
      <protection hidden="1"/>
    </xf>
    <xf numFmtId="177" fontId="14" fillId="5" borderId="0" xfId="7" applyNumberFormat="1" applyFont="1" applyFill="1" applyBorder="1" applyProtection="1">
      <protection hidden="1"/>
    </xf>
    <xf numFmtId="49" fontId="36" fillId="0" borderId="29" xfId="0" applyNumberFormat="1" applyFont="1" applyFill="1" applyBorder="1" applyAlignment="1" applyProtection="1">
      <alignment horizontal="left" vertical="center"/>
      <protection locked="0" hidden="1"/>
    </xf>
    <xf numFmtId="0" fontId="7" fillId="5" borderId="68" xfId="6" applyFont="1" applyFill="1" applyBorder="1" applyAlignment="1" applyProtection="1">
      <alignment horizontal="center" vertical="center" shrinkToFit="1"/>
      <protection locked="0" hidden="1"/>
    </xf>
    <xf numFmtId="0" fontId="42" fillId="5" borderId="29" xfId="6" applyFont="1" applyFill="1" applyBorder="1" applyAlignment="1">
      <alignment horizontal="left" vertical="center"/>
    </xf>
    <xf numFmtId="0" fontId="6" fillId="5" borderId="0" xfId="6" applyFont="1" applyFill="1" applyBorder="1" applyAlignment="1">
      <alignment vertical="center"/>
    </xf>
    <xf numFmtId="0" fontId="6" fillId="5" borderId="0" xfId="6" applyFont="1" applyFill="1" applyBorder="1" applyAlignment="1" applyProtection="1">
      <alignment vertical="center"/>
      <protection hidden="1"/>
    </xf>
    <xf numFmtId="0" fontId="0" fillId="5" borderId="0" xfId="0" applyFill="1" applyAlignment="1">
      <alignment vertical="center"/>
    </xf>
    <xf numFmtId="0" fontId="6" fillId="5" borderId="0" xfId="6" applyFont="1" applyFill="1" applyBorder="1" applyAlignment="1" applyProtection="1">
      <alignment vertical="center"/>
      <protection locked="0"/>
    </xf>
    <xf numFmtId="0" fontId="67" fillId="5" borderId="68" xfId="6" applyFont="1" applyFill="1" applyBorder="1" applyAlignment="1">
      <alignment horizontal="left" vertical="center"/>
    </xf>
    <xf numFmtId="0" fontId="6" fillId="11" borderId="50" xfId="6" applyFont="1" applyFill="1" applyBorder="1" applyAlignment="1">
      <alignment horizontal="center" vertical="center"/>
    </xf>
    <xf numFmtId="180" fontId="38" fillId="5" borderId="0" xfId="7" applyNumberFormat="1" applyFont="1" applyFill="1" applyBorder="1" applyAlignment="1" applyProtection="1">
      <alignment shrinkToFit="1"/>
      <protection hidden="1"/>
    </xf>
    <xf numFmtId="177" fontId="14" fillId="0" borderId="19" xfId="7" applyNumberFormat="1" applyFont="1" applyFill="1" applyBorder="1" applyAlignment="1" applyProtection="1">
      <alignment horizontal="center"/>
      <protection hidden="1"/>
    </xf>
    <xf numFmtId="177" fontId="14" fillId="0" borderId="15" xfId="7" applyNumberFormat="1" applyFont="1" applyFill="1" applyBorder="1" applyAlignment="1" applyProtection="1">
      <alignment horizontal="center"/>
      <protection hidden="1"/>
    </xf>
    <xf numFmtId="177" fontId="14" fillId="0" borderId="123" xfId="7" applyNumberFormat="1" applyFont="1" applyFill="1" applyBorder="1" applyAlignment="1" applyProtection="1">
      <alignment horizontal="center"/>
      <protection hidden="1"/>
    </xf>
    <xf numFmtId="177" fontId="14" fillId="0" borderId="17" xfId="7" applyNumberFormat="1" applyFont="1" applyFill="1" applyBorder="1" applyAlignment="1" applyProtection="1">
      <alignment horizontal="center"/>
      <protection hidden="1"/>
    </xf>
    <xf numFmtId="0" fontId="66" fillId="2" borderId="0" xfId="3" applyFont="1" applyFill="1">
      <alignment vertical="center"/>
    </xf>
    <xf numFmtId="0" fontId="38" fillId="2" borderId="0" xfId="3" applyFont="1" applyFill="1">
      <alignment vertical="center"/>
    </xf>
    <xf numFmtId="0" fontId="44" fillId="2" borderId="0" xfId="3" applyFont="1" applyFill="1">
      <alignment vertical="center"/>
    </xf>
    <xf numFmtId="0" fontId="44" fillId="2" borderId="0" xfId="3" applyFill="1">
      <alignment vertical="center"/>
    </xf>
    <xf numFmtId="0" fontId="8" fillId="5" borderId="0" xfId="7" applyFont="1" applyFill="1" applyAlignment="1" applyProtection="1">
      <alignment vertical="center" wrapText="1"/>
      <protection hidden="1"/>
    </xf>
    <xf numFmtId="0" fontId="8" fillId="5" borderId="68" xfId="7" applyFont="1" applyFill="1" applyBorder="1" applyAlignment="1" applyProtection="1">
      <alignment vertical="center" wrapText="1"/>
      <protection hidden="1"/>
    </xf>
    <xf numFmtId="0" fontId="6" fillId="0" borderId="0" xfId="6" applyNumberFormat="1" applyFont="1" applyFill="1" applyBorder="1" applyAlignment="1">
      <alignment horizontal="center" vertical="center"/>
    </xf>
    <xf numFmtId="0" fontId="8" fillId="0" borderId="6" xfId="0" applyFont="1" applyBorder="1" applyAlignment="1" applyProtection="1">
      <alignment horizontal="center"/>
      <protection hidden="1"/>
    </xf>
    <xf numFmtId="0" fontId="8" fillId="0" borderId="6" xfId="0" applyFont="1" applyBorder="1" applyAlignment="1" applyProtection="1">
      <alignment horizontal="right"/>
      <protection hidden="1"/>
    </xf>
    <xf numFmtId="0" fontId="8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right"/>
      <protection hidden="1"/>
    </xf>
    <xf numFmtId="0" fontId="8" fillId="0" borderId="16" xfId="0" applyFont="1" applyBorder="1" applyAlignment="1" applyProtection="1">
      <alignment horizontal="center"/>
      <protection hidden="1"/>
    </xf>
    <xf numFmtId="0" fontId="8" fillId="0" borderId="16" xfId="0" applyFont="1" applyBorder="1" applyAlignment="1" applyProtection="1">
      <alignment horizontal="right"/>
      <protection hidden="1"/>
    </xf>
    <xf numFmtId="0" fontId="8" fillId="0" borderId="6" xfId="0" applyFont="1" applyFill="1" applyBorder="1" applyAlignment="1" applyProtection="1">
      <alignment horizontal="right"/>
      <protection hidden="1"/>
    </xf>
    <xf numFmtId="0" fontId="8" fillId="0" borderId="4" xfId="0" applyFont="1" applyFill="1" applyBorder="1" applyAlignment="1" applyProtection="1">
      <alignment horizontal="right"/>
      <protection hidden="1"/>
    </xf>
    <xf numFmtId="0" fontId="8" fillId="0" borderId="16" xfId="0" applyFont="1" applyFill="1" applyBorder="1" applyAlignment="1" applyProtection="1">
      <alignment horizontal="right"/>
      <protection hidden="1"/>
    </xf>
    <xf numFmtId="0" fontId="8" fillId="0" borderId="6" xfId="0" applyNumberFormat="1" applyFont="1" applyFill="1" applyBorder="1" applyAlignment="1" applyProtection="1">
      <alignment horizontal="right" vertical="center"/>
      <protection hidden="1"/>
    </xf>
    <xf numFmtId="0" fontId="8" fillId="0" borderId="6" xfId="0" applyFont="1" applyFill="1" applyBorder="1" applyAlignment="1" applyProtection="1">
      <alignment horizontal="right" vertical="center"/>
      <protection hidden="1"/>
    </xf>
    <xf numFmtId="0" fontId="8" fillId="0" borderId="4" xfId="0" applyNumberFormat="1" applyFont="1" applyFill="1" applyBorder="1" applyAlignment="1" applyProtection="1">
      <alignment horizontal="right" vertical="center"/>
      <protection hidden="1"/>
    </xf>
    <xf numFmtId="0" fontId="8" fillId="0" borderId="4" xfId="0" applyFont="1" applyFill="1" applyBorder="1" applyAlignment="1" applyProtection="1">
      <alignment horizontal="right" vertical="center"/>
      <protection hidden="1"/>
    </xf>
    <xf numFmtId="0" fontId="8" fillId="0" borderId="16" xfId="0" applyNumberFormat="1" applyFont="1" applyFill="1" applyBorder="1" applyAlignment="1" applyProtection="1">
      <alignment horizontal="right" vertical="center"/>
      <protection hidden="1"/>
    </xf>
    <xf numFmtId="0" fontId="8" fillId="0" borderId="16" xfId="0" applyFont="1" applyFill="1" applyBorder="1" applyAlignment="1" applyProtection="1">
      <alignment horizontal="right" vertical="center"/>
      <protection hidden="1"/>
    </xf>
    <xf numFmtId="0" fontId="6" fillId="11" borderId="114" xfId="0" applyFont="1" applyFill="1" applyBorder="1" applyAlignment="1" applyProtection="1">
      <alignment horizontal="center" vertical="center" shrinkToFit="1"/>
      <protection locked="0" hidden="1"/>
    </xf>
    <xf numFmtId="0" fontId="6" fillId="11" borderId="133" xfId="0" applyFont="1" applyFill="1" applyBorder="1" applyAlignment="1" applyProtection="1">
      <alignment vertical="center" shrinkToFit="1"/>
      <protection locked="0" hidden="1"/>
    </xf>
    <xf numFmtId="0" fontId="6" fillId="0" borderId="0" xfId="6" applyFont="1" applyFill="1" applyBorder="1" applyAlignment="1">
      <alignment horizontal="left" vertical="center"/>
    </xf>
    <xf numFmtId="0" fontId="8" fillId="4" borderId="131" xfId="7" applyFont="1" applyFill="1" applyBorder="1" applyAlignment="1" applyProtection="1">
      <alignment horizontal="center"/>
      <protection hidden="1"/>
    </xf>
    <xf numFmtId="0" fontId="8" fillId="4" borderId="132" xfId="7" applyFont="1" applyFill="1" applyBorder="1" applyAlignment="1" applyProtection="1">
      <alignment horizontal="center"/>
      <protection locked="0" hidden="1"/>
    </xf>
    <xf numFmtId="0" fontId="8" fillId="4" borderId="134" xfId="7" applyFont="1" applyFill="1" applyBorder="1" applyAlignment="1" applyProtection="1">
      <alignment horizontal="center"/>
      <protection hidden="1"/>
    </xf>
    <xf numFmtId="0" fontId="8" fillId="4" borderId="128" xfId="7" applyFont="1" applyFill="1" applyBorder="1" applyAlignment="1" applyProtection="1">
      <alignment horizontal="center"/>
      <protection locked="0" hidden="1"/>
    </xf>
    <xf numFmtId="0" fontId="8" fillId="0" borderId="0" xfId="0" applyNumberFormat="1" applyFont="1" applyBorder="1" applyAlignment="1">
      <alignment horizontal="left"/>
    </xf>
    <xf numFmtId="49" fontId="8" fillId="0" borderId="0" xfId="0" applyNumberFormat="1" applyFont="1" applyBorder="1" applyAlignment="1">
      <alignment horizontal="left"/>
    </xf>
    <xf numFmtId="177" fontId="14" fillId="8" borderId="4" xfId="2" applyNumberFormat="1" applyFont="1" applyFill="1" applyBorder="1" applyAlignment="1" applyProtection="1">
      <alignment horizontal="right" vertical="center"/>
      <protection locked="0" hidden="1"/>
    </xf>
    <xf numFmtId="0" fontId="14" fillId="8" borderId="4" xfId="2" applyFont="1" applyFill="1" applyBorder="1" applyAlignment="1" applyProtection="1">
      <alignment horizontal="left" vertical="center"/>
      <protection locked="0" hidden="1"/>
    </xf>
    <xf numFmtId="0" fontId="14" fillId="8" borderId="4" xfId="2" applyFont="1" applyFill="1" applyBorder="1" applyAlignment="1" applyProtection="1">
      <alignment horizontal="left" vertical="center" shrinkToFit="1"/>
      <protection locked="0" hidden="1"/>
    </xf>
    <xf numFmtId="1" fontId="14" fillId="8" borderId="4" xfId="2" applyNumberFormat="1" applyFont="1" applyFill="1" applyBorder="1" applyAlignment="1" applyProtection="1">
      <alignment horizontal="center" vertical="center"/>
      <protection locked="0" hidden="1"/>
    </xf>
    <xf numFmtId="178" fontId="14" fillId="8" borderId="4" xfId="2" applyNumberFormat="1" applyFont="1" applyFill="1" applyBorder="1" applyAlignment="1" applyProtection="1">
      <alignment horizontal="center" vertical="center"/>
      <protection locked="0" hidden="1"/>
    </xf>
    <xf numFmtId="0" fontId="14" fillId="8" borderId="18" xfId="2" applyFont="1" applyFill="1" applyBorder="1" applyAlignment="1" applyProtection="1">
      <alignment horizontal="left" vertical="center" shrinkToFit="1"/>
      <protection locked="0" hidden="1"/>
    </xf>
    <xf numFmtId="1" fontId="14" fillId="8" borderId="18" xfId="2" applyNumberFormat="1" applyFont="1" applyFill="1" applyBorder="1" applyAlignment="1" applyProtection="1">
      <alignment horizontal="center" vertical="center"/>
      <protection locked="0" hidden="1"/>
    </xf>
    <xf numFmtId="178" fontId="14" fillId="8" borderId="18" xfId="2" applyNumberFormat="1" applyFont="1" applyFill="1" applyBorder="1" applyAlignment="1" applyProtection="1">
      <alignment horizontal="center" vertical="center"/>
      <protection locked="0" hidden="1"/>
    </xf>
    <xf numFmtId="0" fontId="14" fillId="8" borderId="4" xfId="2" applyFont="1" applyFill="1" applyBorder="1" applyAlignment="1" applyProtection="1">
      <alignment vertical="center" shrinkToFit="1"/>
      <protection locked="0" hidden="1"/>
    </xf>
    <xf numFmtId="0" fontId="14" fillId="8" borderId="4" xfId="2" applyFont="1" applyFill="1" applyBorder="1" applyAlignment="1" applyProtection="1">
      <alignment horizontal="center" vertical="center"/>
      <protection locked="0" hidden="1"/>
    </xf>
    <xf numFmtId="0" fontId="14" fillId="8" borderId="4" xfId="2" applyFont="1" applyFill="1" applyBorder="1" applyProtection="1">
      <alignment vertical="center"/>
      <protection locked="0" hidden="1"/>
    </xf>
    <xf numFmtId="0" fontId="14" fillId="12" borderId="4" xfId="2" applyFont="1" applyFill="1" applyBorder="1" applyAlignment="1" applyProtection="1">
      <alignment horizontal="center" vertical="center"/>
      <protection locked="0" hidden="1"/>
    </xf>
    <xf numFmtId="177" fontId="14" fillId="12" borderId="4" xfId="2" applyNumberFormat="1" applyFont="1" applyFill="1" applyBorder="1" applyAlignment="1" applyProtection="1">
      <alignment horizontal="right" vertical="center"/>
      <protection locked="0" hidden="1"/>
    </xf>
    <xf numFmtId="0" fontId="14" fillId="12" borderId="4" xfId="2" applyFont="1" applyFill="1" applyBorder="1" applyAlignment="1" applyProtection="1">
      <alignment horizontal="left" vertical="center"/>
      <protection locked="0" hidden="1"/>
    </xf>
    <xf numFmtId="0" fontId="14" fillId="12" borderId="4" xfId="2" applyFont="1" applyFill="1" applyBorder="1" applyAlignment="1" applyProtection="1">
      <alignment horizontal="left" vertical="center" shrinkToFit="1"/>
      <protection locked="0" hidden="1"/>
    </xf>
    <xf numFmtId="1" fontId="14" fillId="12" borderId="4" xfId="2" applyNumberFormat="1" applyFont="1" applyFill="1" applyBorder="1" applyAlignment="1" applyProtection="1">
      <alignment horizontal="center" vertical="center"/>
      <protection locked="0" hidden="1"/>
    </xf>
    <xf numFmtId="178" fontId="14" fillId="12" borderId="4" xfId="2" applyNumberFormat="1" applyFont="1" applyFill="1" applyBorder="1" applyAlignment="1" applyProtection="1">
      <alignment horizontal="center" vertical="center"/>
      <protection locked="0" hidden="1"/>
    </xf>
    <xf numFmtId="49" fontId="8" fillId="0" borderId="135" xfId="11" applyNumberFormat="1" applyFont="1" applyFill="1" applyBorder="1" applyAlignment="1" applyProtection="1">
      <alignment horizontal="right"/>
      <protection locked="0" hidden="1"/>
    </xf>
    <xf numFmtId="0" fontId="69" fillId="0" borderId="136" xfId="0" quotePrefix="1" applyFont="1" applyFill="1" applyBorder="1" applyAlignment="1" applyProtection="1">
      <alignment horizontal="centerContinuous" vertical="center" shrinkToFit="1"/>
      <protection hidden="1"/>
    </xf>
    <xf numFmtId="0" fontId="70" fillId="0" borderId="137" xfId="0" applyFont="1" applyBorder="1" applyAlignment="1" applyProtection="1">
      <alignment horizontal="distributed" vertical="center" justifyLastLine="1"/>
      <protection hidden="1"/>
    </xf>
    <xf numFmtId="0" fontId="72" fillId="0" borderId="136" xfId="0" applyFont="1" applyBorder="1" applyAlignment="1" applyProtection="1">
      <alignment horizontal="center" vertical="center" wrapText="1"/>
      <protection hidden="1"/>
    </xf>
    <xf numFmtId="0" fontId="72" fillId="0" borderId="136" xfId="0" applyFont="1" applyBorder="1" applyAlignment="1" applyProtection="1">
      <alignment vertical="center" wrapText="1"/>
      <protection hidden="1"/>
    </xf>
    <xf numFmtId="0" fontId="6" fillId="0" borderId="0" xfId="6" applyFont="1" applyFill="1" applyBorder="1" applyAlignment="1">
      <alignment horizontal="right" vertical="center"/>
    </xf>
    <xf numFmtId="0" fontId="15" fillId="0" borderId="32" xfId="0" applyFont="1" applyBorder="1" applyAlignment="1">
      <alignment horizontal="center" shrinkToFit="1"/>
    </xf>
    <xf numFmtId="0" fontId="15" fillId="0" borderId="0" xfId="0" applyNumberFormat="1" applyFont="1" applyBorder="1" applyAlignment="1">
      <alignment horizontal="left"/>
    </xf>
    <xf numFmtId="0" fontId="14" fillId="0" borderId="0" xfId="8" applyFont="1" applyAlignment="1"/>
    <xf numFmtId="0" fontId="15" fillId="0" borderId="0" xfId="0" applyNumberFormat="1" applyFont="1" applyBorder="1" applyAlignment="1"/>
    <xf numFmtId="0" fontId="14" fillId="0" borderId="0" xfId="8" applyFont="1" applyAlignment="1" applyProtection="1">
      <protection hidden="1"/>
    </xf>
    <xf numFmtId="0" fontId="14" fillId="0" borderId="0" xfId="0" applyNumberFormat="1" applyFont="1" applyBorder="1" applyAlignment="1">
      <alignment horizontal="left"/>
    </xf>
    <xf numFmtId="1" fontId="8" fillId="0" borderId="6" xfId="8" applyNumberFormat="1" applyFont="1" applyFill="1" applyBorder="1" applyAlignment="1" applyProtection="1">
      <alignment horizontal="center"/>
      <protection hidden="1"/>
    </xf>
    <xf numFmtId="1" fontId="8" fillId="0" borderId="4" xfId="8" applyNumberFormat="1" applyFont="1" applyFill="1" applyBorder="1" applyAlignment="1" applyProtection="1">
      <alignment horizontal="center"/>
      <protection hidden="1"/>
    </xf>
    <xf numFmtId="1" fontId="8" fillId="0" borderId="16" xfId="8" applyNumberFormat="1" applyFont="1" applyFill="1" applyBorder="1" applyAlignment="1" applyProtection="1">
      <alignment horizontal="center"/>
      <protection hidden="1"/>
    </xf>
    <xf numFmtId="0" fontId="6" fillId="5" borderId="0" xfId="6" applyNumberFormat="1" applyFont="1" applyFill="1" applyBorder="1" applyAlignment="1">
      <alignment horizontal="right" vertical="center"/>
    </xf>
    <xf numFmtId="0" fontId="53" fillId="0" borderId="115" xfId="0" applyNumberFormat="1" applyFont="1" applyFill="1" applyBorder="1" applyAlignment="1" applyProtection="1">
      <alignment horizontal="center" vertical="center"/>
      <protection locked="0" hidden="1"/>
    </xf>
    <xf numFmtId="0" fontId="53" fillId="0" borderId="116" xfId="0" applyNumberFormat="1" applyFont="1" applyFill="1" applyBorder="1" applyAlignment="1" applyProtection="1">
      <alignment horizontal="center" vertical="center"/>
      <protection locked="0" hidden="1"/>
    </xf>
    <xf numFmtId="0" fontId="53" fillId="0" borderId="117" xfId="0" applyNumberFormat="1" applyFont="1" applyFill="1" applyBorder="1" applyAlignment="1" applyProtection="1">
      <alignment horizontal="center" vertical="center"/>
      <protection locked="0" hidden="1"/>
    </xf>
    <xf numFmtId="0" fontId="69" fillId="0" borderId="139" xfId="0" applyFont="1" applyFill="1" applyBorder="1" applyAlignment="1" applyProtection="1">
      <alignment horizontal="distributed" vertical="center" justifyLastLine="1"/>
      <protection hidden="1"/>
    </xf>
    <xf numFmtId="0" fontId="71" fillId="0" borderId="139" xfId="0" applyFont="1" applyBorder="1" applyAlignment="1" applyProtection="1">
      <alignment horizontal="distributed" justifyLastLine="1"/>
      <protection hidden="1"/>
    </xf>
    <xf numFmtId="0" fontId="14" fillId="11" borderId="75" xfId="2" applyFont="1" applyFill="1" applyBorder="1" applyAlignment="1" applyProtection="1">
      <alignment horizontal="center" vertical="center"/>
      <protection locked="0" hidden="1"/>
    </xf>
    <xf numFmtId="0" fontId="14" fillId="11" borderId="76" xfId="2" applyFont="1" applyFill="1" applyBorder="1" applyAlignment="1" applyProtection="1">
      <alignment horizontal="center" vertical="center"/>
      <protection locked="0" hidden="1"/>
    </xf>
    <xf numFmtId="0" fontId="14" fillId="8" borderId="140" xfId="2" applyFont="1" applyFill="1" applyBorder="1" applyAlignment="1" applyProtection="1">
      <alignment horizontal="center" vertical="center"/>
      <protection locked="0" hidden="1"/>
    </xf>
    <xf numFmtId="0" fontId="14" fillId="8" borderId="141" xfId="2" applyFont="1" applyFill="1" applyBorder="1" applyAlignment="1" applyProtection="1">
      <alignment horizontal="center" vertical="center"/>
      <protection locked="0" hidden="1"/>
    </xf>
    <xf numFmtId="0" fontId="14" fillId="8" borderId="142" xfId="2" applyFont="1" applyFill="1" applyBorder="1" applyAlignment="1" applyProtection="1">
      <alignment horizontal="center" vertical="center"/>
      <protection locked="0" hidden="1"/>
    </xf>
    <xf numFmtId="0" fontId="14" fillId="8" borderId="142" xfId="2" applyFont="1" applyFill="1" applyBorder="1" applyProtection="1">
      <alignment vertical="center"/>
      <protection locked="0" hidden="1"/>
    </xf>
    <xf numFmtId="177" fontId="14" fillId="8" borderId="142" xfId="2" applyNumberFormat="1" applyFont="1" applyFill="1" applyBorder="1" applyAlignment="1" applyProtection="1">
      <alignment horizontal="right" vertical="center"/>
      <protection locked="0" hidden="1"/>
    </xf>
    <xf numFmtId="0" fontId="14" fillId="8" borderId="142" xfId="2" applyFont="1" applyFill="1" applyBorder="1" applyAlignment="1" applyProtection="1">
      <alignment horizontal="left" vertical="center"/>
      <protection locked="0" hidden="1"/>
    </xf>
    <xf numFmtId="0" fontId="14" fillId="12" borderId="142" xfId="2" applyFont="1" applyFill="1" applyBorder="1" applyAlignment="1" applyProtection="1">
      <alignment horizontal="left" vertical="center"/>
      <protection locked="0" hidden="1"/>
    </xf>
    <xf numFmtId="0" fontId="14" fillId="8" borderId="142" xfId="2" applyFont="1" applyFill="1" applyBorder="1" applyAlignment="1" applyProtection="1">
      <alignment vertical="center" shrinkToFit="1"/>
      <protection locked="0" hidden="1"/>
    </xf>
    <xf numFmtId="178" fontId="14" fillId="8" borderId="142" xfId="2" applyNumberFormat="1" applyFont="1" applyFill="1" applyBorder="1" applyAlignment="1" applyProtection="1">
      <alignment horizontal="center" vertical="center"/>
      <protection locked="0" hidden="1"/>
    </xf>
    <xf numFmtId="1" fontId="14" fillId="8" borderId="142" xfId="2" applyNumberFormat="1" applyFont="1" applyFill="1" applyBorder="1" applyAlignment="1" applyProtection="1">
      <alignment horizontal="center" vertical="center"/>
      <protection locked="0" hidden="1"/>
    </xf>
    <xf numFmtId="0" fontId="58" fillId="0" borderId="89" xfId="0" applyFont="1" applyFill="1" applyBorder="1" applyAlignment="1" applyProtection="1">
      <alignment vertical="center" shrinkToFit="1"/>
      <protection locked="0" hidden="1"/>
    </xf>
    <xf numFmtId="0" fontId="58" fillId="0" borderId="2" xfId="0" applyFont="1" applyFill="1" applyBorder="1" applyAlignment="1" applyProtection="1">
      <alignment vertical="center" shrinkToFit="1"/>
      <protection locked="0" hidden="1"/>
    </xf>
    <xf numFmtId="0" fontId="58" fillId="0" borderId="3" xfId="0" applyFont="1" applyFill="1" applyBorder="1" applyAlignment="1" applyProtection="1">
      <alignment horizontal="center" vertical="center"/>
      <protection locked="0" hidden="1"/>
    </xf>
    <xf numFmtId="0" fontId="73" fillId="5" borderId="0" xfId="0" applyFont="1" applyFill="1">
      <alignment vertical="center"/>
    </xf>
    <xf numFmtId="49" fontId="67" fillId="5" borderId="29" xfId="6" applyNumberFormat="1" applyFont="1" applyFill="1" applyBorder="1" applyAlignment="1" applyProtection="1">
      <alignment horizontal="left" vertical="center" shrinkToFit="1"/>
      <protection locked="0" hidden="1"/>
    </xf>
    <xf numFmtId="49" fontId="70" fillId="0" borderId="143" xfId="0" applyNumberFormat="1" applyFont="1" applyBorder="1" applyAlignment="1" applyProtection="1">
      <alignment horizontal="centerContinuous" vertical="center" shrinkToFit="1"/>
      <protection hidden="1"/>
    </xf>
    <xf numFmtId="49" fontId="70" fillId="0" borderId="143" xfId="0" applyNumberFormat="1" applyFont="1" applyBorder="1" applyAlignment="1" applyProtection="1">
      <alignment horizontal="distributed" vertical="center" justifyLastLine="1"/>
      <protection hidden="1"/>
    </xf>
    <xf numFmtId="49" fontId="70" fillId="0" borderId="144" xfId="0" applyNumberFormat="1" applyFont="1" applyBorder="1" applyAlignment="1" applyProtection="1">
      <alignment horizontal="distributed" vertical="center" justifyLastLine="1"/>
      <protection hidden="1"/>
    </xf>
    <xf numFmtId="49" fontId="7" fillId="0" borderId="0" xfId="0" applyNumberFormat="1" applyFont="1" applyFill="1" applyAlignment="1">
      <alignment horizontal="distributed" vertical="center"/>
    </xf>
    <xf numFmtId="0" fontId="68" fillId="5" borderId="0" xfId="6" applyFont="1" applyFill="1" applyBorder="1" applyAlignment="1">
      <alignment vertical="center" shrinkToFit="1"/>
    </xf>
    <xf numFmtId="49" fontId="67" fillId="0" borderId="146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0" borderId="84" xfId="0" applyBorder="1" applyAlignment="1">
      <alignment horizontal="left" vertical="center"/>
    </xf>
    <xf numFmtId="0" fontId="0" fillId="0" borderId="85" xfId="0" applyBorder="1">
      <alignment vertical="center"/>
    </xf>
    <xf numFmtId="0" fontId="8" fillId="5" borderId="0" xfId="7" applyFont="1" applyFill="1" applyProtection="1">
      <protection hidden="1"/>
    </xf>
    <xf numFmtId="0" fontId="8" fillId="5" borderId="0" xfId="7" applyNumberFormat="1" applyFont="1" applyFill="1" applyProtection="1">
      <protection hidden="1"/>
    </xf>
    <xf numFmtId="49" fontId="8" fillId="0" borderId="0" xfId="7" applyNumberFormat="1" applyFont="1" applyFill="1" applyProtection="1">
      <protection hidden="1"/>
    </xf>
    <xf numFmtId="0" fontId="8" fillId="0" borderId="0" xfId="0" applyFont="1" applyFill="1" applyProtection="1">
      <alignment vertical="center"/>
      <protection hidden="1"/>
    </xf>
    <xf numFmtId="0" fontId="8" fillId="0" borderId="0" xfId="7" applyFont="1" applyFill="1" applyProtection="1">
      <protection locked="0" hidden="1"/>
    </xf>
    <xf numFmtId="0" fontId="8" fillId="0" borderId="0" xfId="7" applyNumberFormat="1" applyFont="1" applyFill="1" applyProtection="1">
      <protection hidden="1"/>
    </xf>
    <xf numFmtId="0" fontId="62" fillId="5" borderId="0" xfId="0" applyFont="1" applyFill="1" applyProtection="1">
      <alignment vertical="center"/>
      <protection hidden="1"/>
    </xf>
    <xf numFmtId="0" fontId="58" fillId="5" borderId="0" xfId="0" applyFont="1" applyFill="1">
      <alignment vertical="center"/>
    </xf>
    <xf numFmtId="0" fontId="0" fillId="5" borderId="0" xfId="0" applyFill="1" applyBorder="1" applyAlignment="1" applyProtection="1">
      <alignment vertical="center" shrinkToFit="1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horizontal="center" vertical="center"/>
      <protection locked="0" hidden="1"/>
    </xf>
    <xf numFmtId="0" fontId="0" fillId="5" borderId="146" xfId="0" applyFill="1" applyBorder="1" applyAlignment="1" applyProtection="1">
      <alignment horizontal="center" vertical="center"/>
      <protection hidden="1"/>
    </xf>
    <xf numFmtId="0" fontId="0" fillId="0" borderId="146" xfId="0" applyFill="1" applyBorder="1" applyProtection="1">
      <alignment vertical="center"/>
      <protection locked="0" hidden="1"/>
    </xf>
    <xf numFmtId="49" fontId="10" fillId="0" borderId="6" xfId="8" applyNumberFormat="1" applyFont="1" applyFill="1" applyBorder="1" applyAlignment="1" applyProtection="1">
      <protection hidden="1"/>
    </xf>
    <xf numFmtId="49" fontId="10" fillId="0" borderId="4" xfId="8" applyNumberFormat="1" applyFont="1" applyFill="1" applyBorder="1" applyAlignment="1" applyProtection="1">
      <protection hidden="1"/>
    </xf>
    <xf numFmtId="49" fontId="10" fillId="0" borderId="16" xfId="8" applyNumberFormat="1" applyFont="1" applyFill="1" applyBorder="1" applyAlignment="1" applyProtection="1">
      <protection hidden="1"/>
    </xf>
    <xf numFmtId="49" fontId="8" fillId="0" borderId="6" xfId="7" applyNumberFormat="1" applyFont="1" applyFill="1" applyBorder="1" applyAlignment="1" applyProtection="1">
      <alignment shrinkToFit="1"/>
      <protection hidden="1"/>
    </xf>
    <xf numFmtId="49" fontId="8" fillId="0" borderId="18" xfId="7" applyNumberFormat="1" applyFont="1" applyFill="1" applyBorder="1" applyAlignment="1" applyProtection="1">
      <alignment shrinkToFit="1"/>
      <protection hidden="1"/>
    </xf>
    <xf numFmtId="49" fontId="14" fillId="4" borderId="0" xfId="0" applyNumberFormat="1" applyFont="1" applyFill="1" applyBorder="1" applyAlignment="1" applyProtection="1">
      <alignment vertical="center"/>
      <protection locked="0" hidden="1"/>
    </xf>
    <xf numFmtId="0" fontId="52" fillId="0" borderId="0" xfId="12" applyNumberFormat="1" applyFont="1" applyFill="1" applyAlignment="1" applyProtection="1">
      <alignment horizontal="left" vertical="center"/>
      <protection locked="0" hidden="1"/>
    </xf>
    <xf numFmtId="49" fontId="23" fillId="0" borderId="0" xfId="4" applyNumberFormat="1" applyFont="1" applyFill="1" applyAlignment="1" applyProtection="1">
      <alignment horizontal="left" vertical="center"/>
      <protection locked="0"/>
    </xf>
    <xf numFmtId="0" fontId="8" fillId="0" borderId="0" xfId="4" applyFill="1" applyBorder="1" applyProtection="1">
      <alignment vertical="center"/>
      <protection locked="0"/>
    </xf>
    <xf numFmtId="0" fontId="0" fillId="5" borderId="0" xfId="0" applyFill="1">
      <alignment vertical="center"/>
    </xf>
    <xf numFmtId="0" fontId="74" fillId="5" borderId="0" xfId="0" applyFont="1" applyFill="1">
      <alignment vertical="center"/>
    </xf>
    <xf numFmtId="0" fontId="14" fillId="0" borderId="18" xfId="7" applyFont="1" applyFill="1" applyBorder="1" applyAlignment="1" applyProtection="1">
      <alignment horizontal="center"/>
      <protection hidden="1"/>
    </xf>
    <xf numFmtId="0" fontId="8" fillId="0" borderId="37" xfId="7" applyNumberFormat="1" applyFont="1" applyFill="1" applyBorder="1" applyAlignment="1" applyProtection="1">
      <alignment horizontal="left" shrinkToFit="1"/>
      <protection locked="0" hidden="1"/>
    </xf>
    <xf numFmtId="0" fontId="8" fillId="0" borderId="45" xfId="7" applyNumberFormat="1" applyFont="1" applyFill="1" applyBorder="1" applyAlignment="1" applyProtection="1">
      <alignment horizontal="left" shrinkToFit="1"/>
      <protection locked="0" hidden="1"/>
    </xf>
    <xf numFmtId="0" fontId="8" fillId="0" borderId="39" xfId="7" applyNumberFormat="1" applyFont="1" applyFill="1" applyBorder="1" applyAlignment="1" applyProtection="1">
      <alignment horizontal="left" shrinkToFit="1"/>
      <protection locked="0" hidden="1"/>
    </xf>
    <xf numFmtId="177" fontId="8" fillId="0" borderId="45" xfId="7" applyNumberFormat="1" applyFont="1" applyFill="1" applyBorder="1" applyAlignment="1" applyProtection="1">
      <alignment horizontal="left" shrinkToFit="1"/>
      <protection locked="0" hidden="1"/>
    </xf>
    <xf numFmtId="177" fontId="8" fillId="0" borderId="39" xfId="7" applyNumberFormat="1" applyFont="1" applyFill="1" applyBorder="1" applyAlignment="1" applyProtection="1">
      <alignment horizontal="left" shrinkToFit="1"/>
      <protection locked="0" hidden="1"/>
    </xf>
    <xf numFmtId="177" fontId="8" fillId="0" borderId="37" xfId="7" applyNumberFormat="1" applyFont="1" applyFill="1" applyBorder="1" applyAlignment="1" applyProtection="1">
      <alignment horizontal="left" shrinkToFit="1"/>
      <protection locked="0" hidden="1"/>
    </xf>
    <xf numFmtId="0" fontId="75" fillId="5" borderId="0" xfId="0" applyFont="1" applyFill="1">
      <alignment vertical="center"/>
    </xf>
    <xf numFmtId="0" fontId="8" fillId="5" borderId="0" xfId="12" applyNumberFormat="1" applyFont="1" applyFill="1" applyProtection="1">
      <protection hidden="1"/>
    </xf>
    <xf numFmtId="0" fontId="14" fillId="5" borderId="0" xfId="12" applyNumberFormat="1" applyFont="1" applyFill="1" applyAlignment="1" applyProtection="1">
      <alignment horizontal="center" vertical="center" shrinkToFit="1"/>
      <protection hidden="1"/>
    </xf>
    <xf numFmtId="0" fontId="4" fillId="0" borderId="0" xfId="0" applyFont="1">
      <alignment vertical="center"/>
    </xf>
    <xf numFmtId="0" fontId="6" fillId="3" borderId="156" xfId="6" applyFont="1" applyFill="1" applyBorder="1" applyAlignment="1">
      <alignment horizontal="center" vertical="center"/>
    </xf>
    <xf numFmtId="0" fontId="14" fillId="12" borderId="4" xfId="2" applyNumberFormat="1" applyFont="1" applyFill="1" applyBorder="1" applyAlignment="1" applyProtection="1">
      <alignment horizontal="center" vertical="center"/>
      <protection locked="0" hidden="1"/>
    </xf>
    <xf numFmtId="0" fontId="14" fillId="12" borderId="145" xfId="2" applyNumberFormat="1" applyFont="1" applyFill="1" applyBorder="1" applyAlignment="1" applyProtection="1">
      <alignment horizontal="center" vertical="center"/>
      <protection locked="0" hidden="1"/>
    </xf>
    <xf numFmtId="0" fontId="14" fillId="12" borderId="16" xfId="2" applyNumberFormat="1" applyFont="1" applyFill="1" applyBorder="1" applyAlignment="1" applyProtection="1">
      <alignment horizontal="center" vertical="center"/>
      <protection locked="0" hidden="1"/>
    </xf>
    <xf numFmtId="0" fontId="14" fillId="12" borderId="157" xfId="2" applyNumberFormat="1" applyFont="1" applyFill="1" applyBorder="1" applyAlignment="1" applyProtection="1">
      <alignment horizontal="center" vertical="center"/>
      <protection locked="0" hidden="1"/>
    </xf>
    <xf numFmtId="0" fontId="14" fillId="8" borderId="52" xfId="2" applyFont="1" applyFill="1" applyBorder="1" applyAlignment="1" applyProtection="1">
      <alignment horizontal="center" vertical="center"/>
      <protection locked="0" hidden="1"/>
    </xf>
    <xf numFmtId="0" fontId="14" fillId="12" borderId="15" xfId="2" applyNumberFormat="1" applyFont="1" applyFill="1" applyBorder="1" applyAlignment="1" applyProtection="1">
      <alignment horizontal="center" vertical="center"/>
      <protection locked="0" hidden="1"/>
    </xf>
    <xf numFmtId="0" fontId="14" fillId="8" borderId="53" xfId="2" applyFont="1" applyFill="1" applyBorder="1" applyAlignment="1" applyProtection="1">
      <alignment horizontal="center" vertical="center"/>
      <protection locked="0" hidden="1"/>
    </xf>
    <xf numFmtId="0" fontId="14" fillId="8" borderId="16" xfId="2" applyFont="1" applyFill="1" applyBorder="1" applyAlignment="1" applyProtection="1">
      <alignment horizontal="center" vertical="center"/>
      <protection locked="0" hidden="1"/>
    </xf>
    <xf numFmtId="0" fontId="14" fillId="8" borderId="16" xfId="2" applyFont="1" applyFill="1" applyBorder="1" applyProtection="1">
      <alignment vertical="center"/>
      <protection locked="0" hidden="1"/>
    </xf>
    <xf numFmtId="177" fontId="14" fillId="8" borderId="16" xfId="2" applyNumberFormat="1" applyFont="1" applyFill="1" applyBorder="1" applyAlignment="1" applyProtection="1">
      <alignment horizontal="right" vertical="center"/>
      <protection locked="0" hidden="1"/>
    </xf>
    <xf numFmtId="0" fontId="14" fillId="8" borderId="16" xfId="2" applyFont="1" applyFill="1" applyBorder="1" applyAlignment="1" applyProtection="1">
      <alignment horizontal="left" vertical="center"/>
      <protection locked="0" hidden="1"/>
    </xf>
    <xf numFmtId="0" fontId="14" fillId="8" borderId="16" xfId="2" applyFont="1" applyFill="1" applyBorder="1" applyAlignment="1" applyProtection="1">
      <alignment vertical="center" shrinkToFit="1"/>
      <protection locked="0" hidden="1"/>
    </xf>
    <xf numFmtId="178" fontId="14" fillId="8" borderId="16" xfId="2" applyNumberFormat="1" applyFont="1" applyFill="1" applyBorder="1" applyAlignment="1" applyProtection="1">
      <alignment horizontal="center" vertical="center"/>
      <protection locked="0" hidden="1"/>
    </xf>
    <xf numFmtId="1" fontId="14" fillId="8" borderId="16" xfId="2" applyNumberFormat="1" applyFont="1" applyFill="1" applyBorder="1" applyAlignment="1" applyProtection="1">
      <alignment horizontal="center" vertical="center"/>
      <protection locked="0" hidden="1"/>
    </xf>
    <xf numFmtId="0" fontId="14" fillId="12" borderId="17" xfId="2" applyNumberFormat="1" applyFont="1" applyFill="1" applyBorder="1" applyAlignment="1" applyProtection="1">
      <alignment horizontal="center" vertical="center"/>
      <protection locked="0" hidden="1"/>
    </xf>
    <xf numFmtId="0" fontId="52" fillId="5" borderId="0" xfId="7" applyFont="1" applyFill="1" applyBorder="1" applyAlignment="1" applyProtection="1">
      <alignment horizontal="left"/>
      <protection hidden="1"/>
    </xf>
    <xf numFmtId="0" fontId="53" fillId="0" borderId="158" xfId="0" applyNumberFormat="1" applyFont="1" applyFill="1" applyBorder="1" applyAlignment="1" applyProtection="1">
      <alignment horizontal="center" vertical="center"/>
      <protection locked="0" hidden="1"/>
    </xf>
    <xf numFmtId="0" fontId="53" fillId="0" borderId="159" xfId="0" applyNumberFormat="1" applyFont="1" applyFill="1" applyBorder="1" applyAlignment="1" applyProtection="1">
      <alignment horizontal="center" vertical="center"/>
      <protection locked="0" hidden="1"/>
    </xf>
    <xf numFmtId="0" fontId="6" fillId="11" borderId="160" xfId="6" applyFont="1" applyFill="1" applyBorder="1" applyAlignment="1" applyProtection="1">
      <alignment horizontal="center" vertical="center" shrinkToFit="1"/>
      <protection locked="0" hidden="1"/>
    </xf>
    <xf numFmtId="0" fontId="6" fillId="8" borderId="155" xfId="6" applyFont="1" applyFill="1" applyBorder="1" applyAlignment="1" applyProtection="1">
      <alignment horizontal="center" vertical="center"/>
      <protection locked="0" hidden="1"/>
    </xf>
    <xf numFmtId="0" fontId="7" fillId="8" borderId="44" xfId="0" applyFont="1" applyFill="1" applyBorder="1" applyAlignment="1" applyProtection="1">
      <alignment horizontal="center" vertical="center"/>
      <protection hidden="1"/>
    </xf>
    <xf numFmtId="0" fontId="7" fillId="8" borderId="107" xfId="0" applyFont="1" applyFill="1" applyBorder="1" applyAlignment="1" applyProtection="1">
      <alignment horizontal="center" vertical="center"/>
      <protection hidden="1"/>
    </xf>
    <xf numFmtId="0" fontId="7" fillId="8" borderId="108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Border="1" applyAlignment="1">
      <alignment horizontal="center" vertical="center"/>
    </xf>
    <xf numFmtId="0" fontId="8" fillId="15" borderId="0" xfId="7" applyFont="1" applyFill="1" applyAlignment="1" applyProtection="1">
      <protection hidden="1"/>
    </xf>
    <xf numFmtId="0" fontId="32" fillId="15" borderId="0" xfId="7" applyFont="1" applyFill="1" applyAlignment="1" applyProtection="1">
      <protection hidden="1"/>
    </xf>
    <xf numFmtId="0" fontId="14" fillId="15" borderId="0" xfId="7" applyFont="1" applyFill="1" applyAlignment="1" applyProtection="1">
      <alignment horizontal="center" shrinkToFit="1"/>
      <protection hidden="1"/>
    </xf>
    <xf numFmtId="0" fontId="8" fillId="15" borderId="0" xfId="7" applyFont="1" applyFill="1" applyBorder="1" applyAlignment="1" applyProtection="1">
      <protection hidden="1"/>
    </xf>
    <xf numFmtId="176" fontId="76" fillId="5" borderId="0" xfId="7" applyNumberFormat="1" applyFont="1" applyFill="1" applyBorder="1" applyAlignment="1" applyProtection="1">
      <alignment horizontal="left"/>
      <protection hidden="1"/>
    </xf>
    <xf numFmtId="0" fontId="77" fillId="15" borderId="161" xfId="0" applyFont="1" applyFill="1" applyBorder="1">
      <alignment vertical="center"/>
    </xf>
    <xf numFmtId="0" fontId="77" fillId="15" borderId="162" xfId="0" applyFont="1" applyFill="1" applyBorder="1">
      <alignment vertical="center"/>
    </xf>
    <xf numFmtId="0" fontId="77" fillId="15" borderId="89" xfId="0" applyFont="1" applyFill="1" applyBorder="1">
      <alignment vertical="center"/>
    </xf>
    <xf numFmtId="0" fontId="77" fillId="15" borderId="0" xfId="0" applyFont="1" applyFill="1">
      <alignment vertical="center"/>
    </xf>
    <xf numFmtId="0" fontId="0" fillId="15" borderId="0" xfId="0" applyFill="1" applyBorder="1" applyAlignment="1" applyProtection="1">
      <alignment horizontal="center" vertical="center"/>
      <protection hidden="1"/>
    </xf>
    <xf numFmtId="0" fontId="9" fillId="15" borderId="0" xfId="0" applyFont="1" applyFill="1" applyBorder="1" applyAlignment="1" applyProtection="1">
      <alignment horizontal="center" vertical="center"/>
      <protection locked="0" hidden="1"/>
    </xf>
    <xf numFmtId="0" fontId="0" fillId="15" borderId="0" xfId="0" applyFill="1">
      <alignment vertical="center"/>
    </xf>
    <xf numFmtId="0" fontId="0" fillId="15" borderId="0" xfId="0" applyFill="1" applyBorder="1" applyProtection="1">
      <alignment vertical="center"/>
      <protection hidden="1"/>
    </xf>
    <xf numFmtId="0" fontId="0" fillId="15" borderId="0" xfId="0" applyFill="1" applyBorder="1" applyAlignment="1" applyProtection="1">
      <alignment vertical="center" shrinkToFit="1"/>
      <protection hidden="1"/>
    </xf>
    <xf numFmtId="0" fontId="8" fillId="12" borderId="4" xfId="0" applyFont="1" applyFill="1" applyBorder="1" applyAlignment="1" applyProtection="1">
      <alignment horizontal="left" vertical="center"/>
      <protection locked="0"/>
    </xf>
    <xf numFmtId="0" fontId="8" fillId="12" borderId="16" xfId="0" applyFont="1" applyFill="1" applyBorder="1" applyAlignment="1" applyProtection="1">
      <alignment horizontal="left" vertical="center"/>
      <protection locked="0"/>
    </xf>
    <xf numFmtId="0" fontId="6" fillId="11" borderId="87" xfId="6" applyFont="1" applyFill="1" applyBorder="1" applyAlignment="1">
      <alignment horizontal="center" vertical="center"/>
    </xf>
    <xf numFmtId="0" fontId="14" fillId="11" borderId="79" xfId="2" applyFont="1" applyFill="1" applyBorder="1" applyAlignment="1" applyProtection="1">
      <alignment horizontal="center" vertical="center"/>
      <protection locked="0" hidden="1"/>
    </xf>
    <xf numFmtId="0" fontId="14" fillId="8" borderId="163" xfId="2" applyFont="1" applyFill="1" applyBorder="1" applyAlignment="1" applyProtection="1">
      <alignment horizontal="center" vertical="center"/>
      <protection locked="0" hidden="1"/>
    </xf>
    <xf numFmtId="0" fontId="14" fillId="8" borderId="18" xfId="2" applyFont="1" applyFill="1" applyBorder="1" applyAlignment="1" applyProtection="1">
      <alignment horizontal="center" vertical="center"/>
      <protection locked="0" hidden="1"/>
    </xf>
    <xf numFmtId="0" fontId="14" fillId="8" borderId="18" xfId="2" applyFont="1" applyFill="1" applyBorder="1" applyProtection="1">
      <alignment vertical="center"/>
      <protection locked="0" hidden="1"/>
    </xf>
    <xf numFmtId="177" fontId="14" fillId="8" borderId="18" xfId="2" applyNumberFormat="1" applyFont="1" applyFill="1" applyBorder="1" applyAlignment="1" applyProtection="1">
      <alignment horizontal="right" vertical="center"/>
      <protection locked="0" hidden="1"/>
    </xf>
    <xf numFmtId="0" fontId="14" fillId="8" borderId="18" xfId="2" applyFont="1" applyFill="1" applyBorder="1" applyAlignment="1" applyProtection="1">
      <alignment horizontal="left" vertical="center"/>
      <protection locked="0" hidden="1"/>
    </xf>
    <xf numFmtId="0" fontId="14" fillId="12" borderId="18" xfId="2" applyFont="1" applyFill="1" applyBorder="1" applyAlignment="1" applyProtection="1">
      <alignment horizontal="left" vertical="center"/>
      <protection locked="0" hidden="1"/>
    </xf>
    <xf numFmtId="0" fontId="14" fillId="12" borderId="18" xfId="2" applyNumberFormat="1" applyFont="1" applyFill="1" applyBorder="1" applyAlignment="1" applyProtection="1">
      <alignment horizontal="center" vertical="center"/>
      <protection locked="0" hidden="1"/>
    </xf>
    <xf numFmtId="0" fontId="14" fillId="12" borderId="164" xfId="2" applyNumberFormat="1" applyFont="1" applyFill="1" applyBorder="1" applyAlignment="1" applyProtection="1">
      <alignment horizontal="center" vertical="center"/>
      <protection locked="0" hidden="1"/>
    </xf>
    <xf numFmtId="0" fontId="14" fillId="11" borderId="50" xfId="2" applyFont="1" applyFill="1" applyBorder="1" applyAlignment="1" applyProtection="1">
      <alignment horizontal="center" vertical="center"/>
      <protection locked="0" hidden="1"/>
    </xf>
    <xf numFmtId="0" fontId="14" fillId="8" borderId="6" xfId="2" applyFont="1" applyFill="1" applyBorder="1" applyAlignment="1" applyProtection="1">
      <alignment horizontal="center" vertical="center"/>
      <protection locked="0" hidden="1"/>
    </xf>
    <xf numFmtId="0" fontId="14" fillId="12" borderId="6" xfId="2" applyFont="1" applyFill="1" applyBorder="1" applyAlignment="1" applyProtection="1">
      <alignment horizontal="center" vertical="center"/>
      <protection locked="0" hidden="1"/>
    </xf>
    <xf numFmtId="177" fontId="14" fillId="12" borderId="6" xfId="2" applyNumberFormat="1" applyFont="1" applyFill="1" applyBorder="1" applyAlignment="1" applyProtection="1">
      <alignment horizontal="right" vertical="center"/>
      <protection locked="0" hidden="1"/>
    </xf>
    <xf numFmtId="0" fontId="14" fillId="12" borderId="6" xfId="2" applyFont="1" applyFill="1" applyBorder="1" applyAlignment="1" applyProtection="1">
      <alignment horizontal="left" vertical="center"/>
      <protection locked="0" hidden="1"/>
    </xf>
    <xf numFmtId="0" fontId="14" fillId="12" borderId="6" xfId="2" applyFont="1" applyFill="1" applyBorder="1" applyAlignment="1" applyProtection="1">
      <alignment horizontal="left" vertical="center" shrinkToFit="1"/>
      <protection locked="0" hidden="1"/>
    </xf>
    <xf numFmtId="1" fontId="14" fillId="12" borderId="6" xfId="2" applyNumberFormat="1" applyFont="1" applyFill="1" applyBorder="1" applyAlignment="1" applyProtection="1">
      <alignment horizontal="center" vertical="center"/>
      <protection locked="0" hidden="1"/>
    </xf>
    <xf numFmtId="178" fontId="14" fillId="12" borderId="6" xfId="2" applyNumberFormat="1" applyFont="1" applyFill="1" applyBorder="1" applyAlignment="1" applyProtection="1">
      <alignment horizontal="center" vertical="center"/>
      <protection locked="0" hidden="1"/>
    </xf>
    <xf numFmtId="0" fontId="14" fillId="12" borderId="6" xfId="2" applyNumberFormat="1" applyFont="1" applyFill="1" applyBorder="1" applyAlignment="1" applyProtection="1">
      <alignment horizontal="center" vertical="center"/>
      <protection locked="0" hidden="1"/>
    </xf>
    <xf numFmtId="0" fontId="14" fillId="12" borderId="14" xfId="2" applyNumberFormat="1" applyFont="1" applyFill="1" applyBorder="1" applyAlignment="1" applyProtection="1">
      <alignment horizontal="center" vertical="center"/>
      <protection locked="0" hidden="1"/>
    </xf>
    <xf numFmtId="0" fontId="14" fillId="11" borderId="52" xfId="2" applyFont="1" applyFill="1" applyBorder="1" applyAlignment="1" applyProtection="1">
      <alignment horizontal="center" vertical="center"/>
      <protection locked="0" hidden="1"/>
    </xf>
    <xf numFmtId="0" fontId="14" fillId="11" borderId="53" xfId="2" applyFont="1" applyFill="1" applyBorder="1" applyAlignment="1" applyProtection="1">
      <alignment horizontal="center" vertical="center"/>
      <protection locked="0" hidden="1"/>
    </xf>
    <xf numFmtId="0" fontId="14" fillId="12" borderId="16" xfId="2" applyFont="1" applyFill="1" applyBorder="1" applyAlignment="1" applyProtection="1">
      <alignment horizontal="left" vertical="center"/>
      <protection locked="0" hidden="1"/>
    </xf>
    <xf numFmtId="0" fontId="14" fillId="8" borderId="16" xfId="2" applyFont="1" applyFill="1" applyBorder="1" applyAlignment="1" applyProtection="1">
      <alignment horizontal="left" vertical="center" shrinkToFit="1"/>
      <protection locked="0" hidden="1"/>
    </xf>
    <xf numFmtId="0" fontId="14" fillId="12" borderId="16" xfId="2" applyFont="1" applyFill="1" applyBorder="1" applyAlignment="1" applyProtection="1">
      <alignment horizontal="center" vertical="center"/>
      <protection locked="0" hidden="1"/>
    </xf>
    <xf numFmtId="49" fontId="65" fillId="0" borderId="106" xfId="6" applyNumberFormat="1" applyFont="1" applyFill="1" applyBorder="1" applyAlignment="1" applyProtection="1">
      <alignment horizontal="right"/>
      <protection locked="0" hidden="1"/>
    </xf>
    <xf numFmtId="49" fontId="6" fillId="0" borderId="18" xfId="6" applyNumberFormat="1" applyFont="1" applyFill="1" applyBorder="1" applyAlignment="1" applyProtection="1">
      <alignment horizontal="right"/>
      <protection locked="0" hidden="1"/>
    </xf>
    <xf numFmtId="49" fontId="6" fillId="0" borderId="44" xfId="6" applyNumberFormat="1" applyFont="1" applyFill="1" applyBorder="1" applyAlignment="1" applyProtection="1">
      <alignment horizontal="right"/>
      <protection locked="0" hidden="1"/>
    </xf>
    <xf numFmtId="0" fontId="6" fillId="3" borderId="154" xfId="6" applyFont="1" applyFill="1" applyBorder="1" applyAlignment="1">
      <alignment horizontal="center" vertical="center"/>
    </xf>
    <xf numFmtId="0" fontId="6" fillId="3" borderId="91" xfId="6" applyFont="1" applyFill="1" applyBorder="1" applyAlignment="1">
      <alignment horizontal="center" vertical="center" shrinkToFit="1"/>
    </xf>
    <xf numFmtId="49" fontId="6" fillId="0" borderId="14" xfId="6" applyNumberFormat="1" applyFont="1" applyFill="1" applyBorder="1" applyAlignment="1" applyProtection="1">
      <alignment horizontal="right"/>
      <protection locked="0" hidden="1"/>
    </xf>
    <xf numFmtId="49" fontId="6" fillId="0" borderId="15" xfId="6" applyNumberFormat="1" applyFont="1" applyFill="1" applyBorder="1" applyAlignment="1" applyProtection="1">
      <alignment horizontal="right"/>
      <protection locked="0" hidden="1"/>
    </xf>
    <xf numFmtId="49" fontId="6" fillId="0" borderId="17" xfId="6" applyNumberFormat="1" applyFont="1" applyFill="1" applyBorder="1" applyAlignment="1" applyProtection="1">
      <alignment horizontal="right"/>
      <protection locked="0" hidden="1"/>
    </xf>
    <xf numFmtId="0" fontId="14" fillId="8" borderId="106" xfId="2" applyFont="1" applyFill="1" applyBorder="1" applyAlignment="1" applyProtection="1">
      <alignment horizontal="center" vertical="center"/>
      <protection locked="0" hidden="1"/>
    </xf>
    <xf numFmtId="0" fontId="8" fillId="12" borderId="18" xfId="0" applyFont="1" applyFill="1" applyBorder="1" applyAlignment="1" applyProtection="1">
      <alignment horizontal="left" vertical="center"/>
      <protection locked="0"/>
    </xf>
    <xf numFmtId="0" fontId="14" fillId="12" borderId="19" xfId="2" applyNumberFormat="1" applyFont="1" applyFill="1" applyBorder="1" applyAlignment="1" applyProtection="1">
      <alignment horizontal="center" vertical="center"/>
      <protection locked="0" hidden="1"/>
    </xf>
    <xf numFmtId="0" fontId="69" fillId="0" borderId="6" xfId="0" applyFont="1" applyFill="1" applyBorder="1" applyAlignment="1" applyProtection="1">
      <alignment horizontal="distributed" vertical="center" justifyLastLine="1"/>
      <protection hidden="1"/>
    </xf>
    <xf numFmtId="0" fontId="71" fillId="0" borderId="6" xfId="0" applyFont="1" applyBorder="1" applyAlignment="1" applyProtection="1">
      <alignment horizontal="distributed" justifyLastLine="1"/>
      <protection hidden="1"/>
    </xf>
    <xf numFmtId="0" fontId="69" fillId="0" borderId="88" xfId="0" quotePrefix="1" applyFont="1" applyFill="1" applyBorder="1" applyAlignment="1" applyProtection="1">
      <alignment horizontal="centerContinuous" vertical="center" shrinkToFit="1"/>
      <protection hidden="1"/>
    </xf>
    <xf numFmtId="0" fontId="70" fillId="0" borderId="88" xfId="0" applyFont="1" applyBorder="1" applyAlignment="1" applyProtection="1">
      <alignment horizontal="distributed" vertical="center" justifyLastLine="1"/>
      <protection hidden="1"/>
    </xf>
    <xf numFmtId="0" fontId="72" fillId="0" borderId="88" xfId="0" applyFont="1" applyBorder="1" applyAlignment="1" applyProtection="1">
      <alignment horizontal="center" vertical="center" wrapText="1"/>
      <protection hidden="1"/>
    </xf>
    <xf numFmtId="0" fontId="72" fillId="0" borderId="88" xfId="0" applyFont="1" applyBorder="1" applyAlignment="1" applyProtection="1">
      <alignment vertical="center" wrapText="1"/>
      <protection hidden="1"/>
    </xf>
    <xf numFmtId="49" fontId="70" fillId="0" borderId="88" xfId="0" applyNumberFormat="1" applyFont="1" applyBorder="1" applyAlignment="1" applyProtection="1">
      <alignment horizontal="centerContinuous" vertical="center" shrinkToFit="1"/>
      <protection hidden="1"/>
    </xf>
    <xf numFmtId="49" fontId="70" fillId="0" borderId="88" xfId="0" applyNumberFormat="1" applyFont="1" applyBorder="1" applyAlignment="1" applyProtection="1">
      <alignment horizontal="distributed" vertical="center" justifyLastLine="1"/>
      <protection hidden="1"/>
    </xf>
    <xf numFmtId="49" fontId="70" fillId="0" borderId="123" xfId="0" applyNumberFormat="1" applyFont="1" applyBorder="1" applyAlignment="1" applyProtection="1">
      <alignment horizontal="distributed" vertical="center" justifyLastLine="1"/>
      <protection hidden="1"/>
    </xf>
    <xf numFmtId="0" fontId="25" fillId="5" borderId="0" xfId="7" applyFont="1" applyFill="1" applyBorder="1" applyAlignment="1" applyProtection="1">
      <alignment shrinkToFit="1"/>
      <protection hidden="1"/>
    </xf>
    <xf numFmtId="0" fontId="32" fillId="5" borderId="0" xfId="7" applyFont="1" applyFill="1" applyAlignment="1" applyProtection="1">
      <alignment horizontal="right"/>
      <protection hidden="1"/>
    </xf>
    <xf numFmtId="0" fontId="32" fillId="0" borderId="146" xfId="7" applyFont="1" applyFill="1" applyBorder="1" applyAlignment="1" applyProtection="1">
      <alignment horizontal="center"/>
      <protection locked="0" hidden="1"/>
    </xf>
    <xf numFmtId="0" fontId="38" fillId="5" borderId="0" xfId="8" applyFont="1" applyFill="1" applyAlignment="1" applyProtection="1">
      <alignment horizontal="right"/>
      <protection hidden="1"/>
    </xf>
    <xf numFmtId="49" fontId="38" fillId="5" borderId="0" xfId="8" applyNumberFormat="1" applyFont="1" applyFill="1" applyAlignment="1" applyProtection="1">
      <alignment shrinkToFit="1"/>
      <protection hidden="1"/>
    </xf>
    <xf numFmtId="0" fontId="38" fillId="0" borderId="146" xfId="8" applyNumberFormat="1" applyFont="1" applyFill="1" applyBorder="1" applyAlignment="1" applyProtection="1">
      <alignment horizontal="center" shrinkToFit="1"/>
      <protection locked="0" hidden="1"/>
    </xf>
    <xf numFmtId="176" fontId="19" fillId="5" borderId="0" xfId="7" applyNumberFormat="1" applyFont="1" applyFill="1" applyBorder="1" applyAlignment="1" applyProtection="1">
      <alignment horizontal="right"/>
      <protection hidden="1"/>
    </xf>
    <xf numFmtId="0" fontId="38" fillId="5" borderId="0" xfId="7" applyFont="1" applyFill="1" applyAlignment="1" applyProtection="1">
      <alignment wrapText="1"/>
      <protection hidden="1"/>
    </xf>
    <xf numFmtId="0" fontId="38" fillId="0" borderId="146" xfId="7" applyFont="1" applyFill="1" applyBorder="1" applyAlignment="1" applyProtection="1">
      <alignment horizontal="center" wrapText="1"/>
      <protection locked="0" hidden="1"/>
    </xf>
    <xf numFmtId="0" fontId="67" fillId="5" borderId="0" xfId="0" applyFont="1" applyFill="1" applyAlignment="1">
      <alignment horizontal="right" vertical="center"/>
    </xf>
    <xf numFmtId="0" fontId="67" fillId="5" borderId="0" xfId="0" applyFont="1" applyFill="1">
      <alignment vertical="center"/>
    </xf>
    <xf numFmtId="0" fontId="67" fillId="0" borderId="146" xfId="0" applyFont="1" applyFill="1" applyBorder="1" applyAlignment="1" applyProtection="1">
      <alignment horizontal="center" vertical="center"/>
      <protection locked="0"/>
    </xf>
    <xf numFmtId="49" fontId="37" fillId="5" borderId="0" xfId="8" applyNumberFormat="1" applyFont="1" applyFill="1" applyBorder="1" applyAlignment="1" applyProtection="1">
      <alignment horizontal="right" vertical="center" shrinkToFit="1"/>
      <protection hidden="1"/>
    </xf>
    <xf numFmtId="0" fontId="32" fillId="5" borderId="0" xfId="7" applyFont="1" applyFill="1" applyBorder="1" applyAlignment="1" applyProtection="1">
      <alignment horizontal="right" vertical="center"/>
      <protection hidden="1"/>
    </xf>
    <xf numFmtId="0" fontId="32" fillId="5" borderId="0" xfId="7" applyFont="1" applyFill="1" applyBorder="1" applyAlignment="1" applyProtection="1">
      <alignment horizontal="left" vertical="center"/>
      <protection hidden="1"/>
    </xf>
    <xf numFmtId="176" fontId="37" fillId="5" borderId="0" xfId="8" applyNumberFormat="1" applyFont="1" applyFill="1" applyBorder="1" applyAlignment="1" applyProtection="1">
      <alignment horizontal="left" vertical="center" shrinkToFit="1"/>
      <protection hidden="1"/>
    </xf>
    <xf numFmtId="0" fontId="38" fillId="0" borderId="146" xfId="7" applyNumberFormat="1" applyFont="1" applyFill="1" applyBorder="1" applyAlignment="1" applyProtection="1">
      <alignment horizontal="center" vertical="center"/>
      <protection locked="0" hidden="1"/>
    </xf>
    <xf numFmtId="0" fontId="35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35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2" fillId="5" borderId="121" xfId="0" applyFont="1" applyFill="1" applyBorder="1" applyAlignment="1" applyProtection="1">
      <alignment horizontal="center" vertical="center"/>
      <protection locked="0" hidden="1"/>
    </xf>
    <xf numFmtId="0" fontId="42" fillId="5" borderId="29" xfId="0" applyFont="1" applyFill="1" applyBorder="1" applyAlignment="1" applyProtection="1">
      <alignment horizontal="center" vertical="center"/>
      <protection locked="0" hidden="1"/>
    </xf>
    <xf numFmtId="0" fontId="42" fillId="5" borderId="34" xfId="0" applyFont="1" applyFill="1" applyBorder="1" applyAlignment="1" applyProtection="1">
      <alignment horizontal="center" vertical="center"/>
      <protection locked="0" hidden="1"/>
    </xf>
    <xf numFmtId="0" fontId="68" fillId="0" borderId="121" xfId="6" applyFont="1" applyFill="1" applyBorder="1" applyAlignment="1" applyProtection="1">
      <alignment vertical="center"/>
      <protection locked="0" hidden="1"/>
    </xf>
    <xf numFmtId="0" fontId="68" fillId="0" borderId="34" xfId="6" applyFont="1" applyFill="1" applyBorder="1" applyAlignment="1" applyProtection="1">
      <alignment vertical="center"/>
      <protection locked="0" hidden="1"/>
    </xf>
    <xf numFmtId="49" fontId="67" fillId="0" borderId="121" xfId="6" applyNumberFormat="1" applyFont="1" applyFill="1" applyBorder="1" applyAlignment="1" applyProtection="1">
      <alignment horizontal="left" vertical="center"/>
      <protection locked="0" hidden="1"/>
    </xf>
    <xf numFmtId="49" fontId="67" fillId="0" borderId="29" xfId="6" applyNumberFormat="1" applyFont="1" applyFill="1" applyBorder="1" applyAlignment="1" applyProtection="1">
      <alignment horizontal="left" vertical="center"/>
      <protection locked="0" hidden="1"/>
    </xf>
    <xf numFmtId="49" fontId="67" fillId="0" borderId="34" xfId="6" applyNumberFormat="1" applyFont="1" applyFill="1" applyBorder="1" applyAlignment="1" applyProtection="1">
      <alignment horizontal="left" vertical="center"/>
      <protection locked="0" hidden="1"/>
    </xf>
    <xf numFmtId="0" fontId="70" fillId="14" borderId="139" xfId="0" applyFont="1" applyFill="1" applyBorder="1" applyAlignment="1" applyProtection="1">
      <alignment horizontal="center" vertical="center" justifyLastLine="1"/>
      <protection hidden="1"/>
    </xf>
    <xf numFmtId="0" fontId="70" fillId="14" borderId="136" xfId="0" applyFont="1" applyFill="1" applyBorder="1" applyAlignment="1" applyProtection="1">
      <alignment horizontal="center" vertical="center" justifyLastLine="1"/>
      <protection hidden="1"/>
    </xf>
    <xf numFmtId="0" fontId="70" fillId="0" borderId="149" xfId="0" applyFont="1" applyBorder="1" applyAlignment="1" applyProtection="1">
      <alignment horizontal="distributed" vertical="center" justifyLastLine="1"/>
      <protection hidden="1"/>
    </xf>
    <xf numFmtId="0" fontId="70" fillId="0" borderId="150" xfId="0" applyFont="1" applyBorder="1" applyAlignment="1" applyProtection="1">
      <alignment horizontal="distributed" vertical="center" justifyLastLine="1"/>
      <protection hidden="1"/>
    </xf>
    <xf numFmtId="0" fontId="70" fillId="0" borderId="139" xfId="0" applyFont="1" applyFill="1" applyBorder="1" applyAlignment="1" applyProtection="1">
      <alignment horizontal="center" vertical="center" wrapText="1"/>
      <protection hidden="1"/>
    </xf>
    <xf numFmtId="0" fontId="70" fillId="0" borderId="136" xfId="0" applyFont="1" applyFill="1" applyBorder="1" applyAlignment="1" applyProtection="1">
      <alignment horizontal="center" vertical="center" wrapText="1"/>
      <protection hidden="1"/>
    </xf>
    <xf numFmtId="0" fontId="71" fillId="0" borderId="139" xfId="0" applyFont="1" applyBorder="1" applyAlignment="1" applyProtection="1">
      <alignment vertical="center" textRotation="255"/>
      <protection hidden="1"/>
    </xf>
    <xf numFmtId="0" fontId="71" fillId="0" borderId="136" xfId="0" applyFont="1" applyBorder="1" applyAlignment="1" applyProtection="1">
      <alignment vertical="center" textRotation="255"/>
      <protection hidden="1"/>
    </xf>
    <xf numFmtId="0" fontId="71" fillId="0" borderId="139" xfId="0" applyFont="1" applyBorder="1" applyAlignment="1" applyProtection="1">
      <alignment horizontal="center" vertical="center" textRotation="255"/>
      <protection hidden="1"/>
    </xf>
    <xf numFmtId="0" fontId="71" fillId="0" borderId="136" xfId="0" applyFont="1" applyBorder="1" applyAlignment="1" applyProtection="1">
      <alignment horizontal="center" vertical="center" textRotation="255"/>
      <protection hidden="1"/>
    </xf>
    <xf numFmtId="49" fontId="71" fillId="0" borderId="147" xfId="0" applyNumberFormat="1" applyFont="1" applyBorder="1" applyAlignment="1" applyProtection="1">
      <alignment horizontal="distributed" vertical="center" justifyLastLine="1"/>
      <protection hidden="1"/>
    </xf>
    <xf numFmtId="49" fontId="71" fillId="0" borderId="148" xfId="0" applyNumberFormat="1" applyFont="1" applyBorder="1" applyAlignment="1" applyProtection="1">
      <alignment horizontal="distributed" vertical="center" justifyLastLine="1"/>
      <protection hidden="1"/>
    </xf>
    <xf numFmtId="0" fontId="67" fillId="0" borderId="29" xfId="6" applyNumberFormat="1" applyFont="1" applyFill="1" applyBorder="1" applyAlignment="1" applyProtection="1">
      <alignment horizontal="left" vertical="center"/>
      <protection locked="0" hidden="1"/>
    </xf>
    <xf numFmtId="0" fontId="67" fillId="0" borderId="34" xfId="6" applyNumberFormat="1" applyFont="1" applyFill="1" applyBorder="1" applyAlignment="1" applyProtection="1">
      <alignment horizontal="left" vertical="center"/>
      <protection locked="0" hidden="1"/>
    </xf>
    <xf numFmtId="0" fontId="70" fillId="14" borderId="6" xfId="0" applyFont="1" applyFill="1" applyBorder="1" applyAlignment="1" applyProtection="1">
      <alignment horizontal="center" vertical="center" justifyLastLine="1"/>
      <protection hidden="1"/>
    </xf>
    <xf numFmtId="0" fontId="70" fillId="14" borderId="88" xfId="0" applyFont="1" applyFill="1" applyBorder="1" applyAlignment="1" applyProtection="1">
      <alignment horizontal="center" vertical="center" justifyLastLine="1"/>
      <protection hidden="1"/>
    </xf>
    <xf numFmtId="0" fontId="70" fillId="0" borderId="6" xfId="0" applyFont="1" applyBorder="1" applyAlignment="1" applyProtection="1">
      <alignment horizontal="distributed" vertical="center" justifyLastLine="1"/>
      <protection hidden="1"/>
    </xf>
    <xf numFmtId="0" fontId="70" fillId="0" borderId="6" xfId="0" applyFont="1" applyFill="1" applyBorder="1" applyAlignment="1" applyProtection="1">
      <alignment horizontal="center" vertical="center" wrapText="1"/>
      <protection hidden="1"/>
    </xf>
    <xf numFmtId="0" fontId="70" fillId="0" borderId="88" xfId="0" applyFont="1" applyFill="1" applyBorder="1" applyAlignment="1" applyProtection="1">
      <alignment horizontal="center" vertical="center" wrapText="1"/>
      <protection hidden="1"/>
    </xf>
    <xf numFmtId="0" fontId="71" fillId="0" borderId="6" xfId="0" applyFont="1" applyBorder="1" applyAlignment="1" applyProtection="1">
      <alignment vertical="center" textRotation="255"/>
      <protection hidden="1"/>
    </xf>
    <xf numFmtId="0" fontId="71" fillId="0" borderId="88" xfId="0" applyFont="1" applyBorder="1" applyAlignment="1" applyProtection="1">
      <alignment vertical="center" textRotation="255"/>
      <protection hidden="1"/>
    </xf>
    <xf numFmtId="0" fontId="71" fillId="0" borderId="6" xfId="0" applyFont="1" applyBorder="1" applyAlignment="1" applyProtection="1">
      <alignment horizontal="center" vertical="center" textRotation="255"/>
      <protection hidden="1"/>
    </xf>
    <xf numFmtId="0" fontId="71" fillId="0" borderId="88" xfId="0" applyFont="1" applyBorder="1" applyAlignment="1" applyProtection="1">
      <alignment horizontal="center" vertical="center" textRotation="255"/>
      <protection hidden="1"/>
    </xf>
    <xf numFmtId="49" fontId="71" fillId="0" borderId="6" xfId="0" applyNumberFormat="1" applyFont="1" applyBorder="1" applyAlignment="1" applyProtection="1">
      <alignment horizontal="distributed" vertical="center" justifyLastLine="1"/>
      <protection hidden="1"/>
    </xf>
    <xf numFmtId="49" fontId="71" fillId="0" borderId="14" xfId="0" applyNumberFormat="1" applyFont="1" applyBorder="1" applyAlignment="1" applyProtection="1">
      <alignment horizontal="distributed" vertical="center" justifyLastLine="1"/>
      <protection hidden="1"/>
    </xf>
    <xf numFmtId="0" fontId="54" fillId="5" borderId="0" xfId="7" applyFont="1" applyFill="1" applyBorder="1" applyAlignment="1" applyProtection="1">
      <alignment horizontal="left"/>
      <protection hidden="1"/>
    </xf>
    <xf numFmtId="0" fontId="14" fillId="13" borderId="26" xfId="8" applyFont="1" applyFill="1" applyBorder="1" applyAlignment="1" applyProtection="1">
      <alignment horizontal="center"/>
      <protection hidden="1"/>
    </xf>
    <xf numFmtId="0" fontId="14" fillId="13" borderId="57" xfId="8" applyFont="1" applyFill="1" applyBorder="1" applyAlignment="1" applyProtection="1">
      <alignment horizontal="center"/>
      <protection hidden="1"/>
    </xf>
    <xf numFmtId="0" fontId="14" fillId="9" borderId="26" xfId="8" applyFont="1" applyFill="1" applyBorder="1" applyAlignment="1" applyProtection="1">
      <alignment horizontal="center"/>
      <protection hidden="1"/>
    </xf>
    <xf numFmtId="0" fontId="14" fillId="9" borderId="57" xfId="8" applyFont="1" applyFill="1" applyBorder="1" applyAlignment="1" applyProtection="1">
      <alignment horizontal="center"/>
      <protection hidden="1"/>
    </xf>
    <xf numFmtId="0" fontId="14" fillId="0" borderId="26" xfId="8" applyFont="1" applyBorder="1" applyAlignment="1" applyProtection="1">
      <alignment horizontal="center" shrinkToFit="1"/>
      <protection hidden="1"/>
    </xf>
    <xf numFmtId="0" fontId="14" fillId="0" borderId="57" xfId="8" applyFont="1" applyBorder="1" applyAlignment="1" applyProtection="1">
      <alignment horizontal="center" shrinkToFit="1"/>
      <protection hidden="1"/>
    </xf>
    <xf numFmtId="176" fontId="37" fillId="5" borderId="0" xfId="8" applyNumberFormat="1" applyFont="1" applyFill="1" applyBorder="1" applyAlignment="1" applyProtection="1">
      <alignment horizontal="left" shrinkToFit="1"/>
      <protection hidden="1"/>
    </xf>
    <xf numFmtId="0" fontId="8" fillId="5" borderId="0" xfId="8" applyFont="1" applyFill="1" applyBorder="1" applyAlignment="1" applyProtection="1">
      <alignment horizontal="center"/>
      <protection hidden="1"/>
    </xf>
    <xf numFmtId="0" fontId="8" fillId="5" borderId="0" xfId="7" applyFont="1" applyFill="1" applyBorder="1" applyAlignment="1" applyProtection="1">
      <alignment horizontal="center"/>
      <protection hidden="1"/>
    </xf>
    <xf numFmtId="0" fontId="14" fillId="10" borderId="82" xfId="7" applyFont="1" applyFill="1" applyBorder="1" applyAlignment="1" applyProtection="1">
      <alignment horizontal="center"/>
      <protection hidden="1"/>
    </xf>
    <xf numFmtId="0" fontId="14" fillId="10" borderId="25" xfId="7" applyFont="1" applyFill="1" applyBorder="1" applyAlignment="1" applyProtection="1">
      <alignment horizontal="center"/>
      <protection hidden="1"/>
    </xf>
    <xf numFmtId="0" fontId="14" fillId="9" borderId="25" xfId="7" applyFont="1" applyFill="1" applyBorder="1" applyAlignment="1" applyProtection="1">
      <alignment horizontal="center"/>
      <protection hidden="1"/>
    </xf>
    <xf numFmtId="0" fontId="14" fillId="9" borderId="83" xfId="7" applyFont="1" applyFill="1" applyBorder="1" applyAlignment="1" applyProtection="1">
      <alignment horizontal="center"/>
      <protection hidden="1"/>
    </xf>
    <xf numFmtId="0" fontId="8" fillId="5" borderId="82" xfId="7" applyFont="1" applyFill="1" applyBorder="1" applyAlignment="1" applyProtection="1">
      <alignment horizontal="center"/>
      <protection hidden="1"/>
    </xf>
    <xf numFmtId="0" fontId="8" fillId="5" borderId="25" xfId="7" applyFont="1" applyFill="1" applyBorder="1" applyAlignment="1" applyProtection="1">
      <alignment horizontal="center"/>
      <protection hidden="1"/>
    </xf>
    <xf numFmtId="0" fontId="8" fillId="5" borderId="83" xfId="7" applyFont="1" applyFill="1" applyBorder="1" applyAlignment="1" applyProtection="1">
      <alignment horizontal="center"/>
      <protection hidden="1"/>
    </xf>
    <xf numFmtId="0" fontId="14" fillId="5" borderId="0" xfId="7" applyFont="1" applyFill="1" applyBorder="1" applyAlignment="1" applyProtection="1">
      <alignment horizontal="center"/>
      <protection hidden="1"/>
    </xf>
    <xf numFmtId="0" fontId="14" fillId="10" borderId="80" xfId="7" applyFont="1" applyFill="1" applyBorder="1" applyAlignment="1" applyProtection="1">
      <alignment horizontal="center"/>
      <protection hidden="1"/>
    </xf>
    <xf numFmtId="0" fontId="14" fillId="10" borderId="81" xfId="7" applyFont="1" applyFill="1" applyBorder="1" applyAlignment="1" applyProtection="1">
      <alignment horizontal="center"/>
      <protection hidden="1"/>
    </xf>
    <xf numFmtId="0" fontId="14" fillId="9" borderId="81" xfId="7" applyFont="1" applyFill="1" applyBorder="1" applyAlignment="1" applyProtection="1">
      <alignment horizontal="center"/>
      <protection hidden="1"/>
    </xf>
    <xf numFmtId="0" fontId="14" fillId="9" borderId="1" xfId="7" applyFont="1" applyFill="1" applyBorder="1" applyAlignment="1" applyProtection="1">
      <alignment horizontal="center"/>
      <protection hidden="1"/>
    </xf>
    <xf numFmtId="176" fontId="32" fillId="5" borderId="0" xfId="7" applyNumberFormat="1" applyFont="1" applyFill="1" applyBorder="1" applyAlignment="1" applyProtection="1">
      <alignment horizontal="center"/>
      <protection hidden="1"/>
    </xf>
    <xf numFmtId="0" fontId="19" fillId="5" borderId="0" xfId="7" applyFont="1" applyFill="1" applyBorder="1" applyAlignment="1" applyProtection="1">
      <alignment horizontal="center"/>
      <protection hidden="1"/>
    </xf>
    <xf numFmtId="0" fontId="8" fillId="5" borderId="0" xfId="7" applyFont="1" applyFill="1" applyBorder="1" applyAlignment="1" applyProtection="1">
      <alignment horizontal="center" shrinkToFit="1"/>
      <protection hidden="1"/>
    </xf>
    <xf numFmtId="0" fontId="14" fillId="5" borderId="122" xfId="7" applyFont="1" applyFill="1" applyBorder="1" applyAlignment="1" applyProtection="1">
      <alignment horizontal="center"/>
      <protection hidden="1"/>
    </xf>
    <xf numFmtId="0" fontId="14" fillId="5" borderId="42" xfId="7" applyFont="1" applyFill="1" applyBorder="1" applyAlignment="1" applyProtection="1">
      <alignment horizontal="center"/>
      <protection hidden="1"/>
    </xf>
    <xf numFmtId="0" fontId="14" fillId="10" borderId="75" xfId="7" applyFont="1" applyFill="1" applyBorder="1" applyAlignment="1" applyProtection="1">
      <alignment horizontal="center"/>
      <protection hidden="1"/>
    </xf>
    <xf numFmtId="0" fontId="14" fillId="10" borderId="46" xfId="7" applyFont="1" applyFill="1" applyBorder="1" applyAlignment="1" applyProtection="1">
      <alignment horizontal="center"/>
      <protection hidden="1"/>
    </xf>
    <xf numFmtId="0" fontId="32" fillId="0" borderId="50" xfId="7" applyFont="1" applyBorder="1" applyAlignment="1" applyProtection="1">
      <alignment horizontal="center"/>
      <protection hidden="1"/>
    </xf>
    <xf numFmtId="0" fontId="32" fillId="0" borderId="6" xfId="7" applyFont="1" applyBorder="1" applyAlignment="1" applyProtection="1">
      <alignment horizontal="center"/>
      <protection hidden="1"/>
    </xf>
    <xf numFmtId="0" fontId="32" fillId="0" borderId="14" xfId="7" applyFont="1" applyBorder="1" applyAlignment="1" applyProtection="1">
      <alignment horizontal="center"/>
      <protection hidden="1"/>
    </xf>
    <xf numFmtId="0" fontId="8" fillId="5" borderId="52" xfId="11" applyFont="1" applyFill="1" applyBorder="1" applyAlignment="1" applyProtection="1">
      <alignment horizontal="center" shrinkToFit="1"/>
      <protection hidden="1"/>
    </xf>
    <xf numFmtId="0" fontId="8" fillId="5" borderId="4" xfId="11" applyFont="1" applyFill="1" applyBorder="1" applyAlignment="1" applyProtection="1">
      <alignment horizontal="center" shrinkToFit="1"/>
      <protection hidden="1"/>
    </xf>
    <xf numFmtId="0" fontId="32" fillId="10" borderId="75" xfId="11" applyFont="1" applyFill="1" applyBorder="1" applyAlignment="1" applyProtection="1">
      <alignment horizontal="center" shrinkToFit="1"/>
      <protection hidden="1"/>
    </xf>
    <xf numFmtId="0" fontId="32" fillId="10" borderId="116" xfId="11" applyFont="1" applyFill="1" applyBorder="1" applyAlignment="1" applyProtection="1">
      <alignment horizontal="center" shrinkToFit="1"/>
      <protection hidden="1"/>
    </xf>
    <xf numFmtId="0" fontId="32" fillId="10" borderId="46" xfId="11" applyFont="1" applyFill="1" applyBorder="1" applyAlignment="1" applyProtection="1">
      <alignment horizontal="center" shrinkToFit="1"/>
      <protection hidden="1"/>
    </xf>
    <xf numFmtId="0" fontId="32" fillId="9" borderId="151" xfId="11" applyFont="1" applyFill="1" applyBorder="1" applyAlignment="1" applyProtection="1">
      <alignment horizontal="center" shrinkToFit="1"/>
      <protection hidden="1"/>
    </xf>
    <xf numFmtId="0" fontId="32" fillId="9" borderId="152" xfId="11" applyFont="1" applyFill="1" applyBorder="1" applyAlignment="1" applyProtection="1">
      <alignment horizontal="center" shrinkToFit="1"/>
      <protection hidden="1"/>
    </xf>
    <xf numFmtId="0" fontId="32" fillId="9" borderId="153" xfId="11" applyFont="1" applyFill="1" applyBorder="1" applyAlignment="1" applyProtection="1">
      <alignment horizontal="center" shrinkToFit="1"/>
      <protection hidden="1"/>
    </xf>
    <xf numFmtId="0" fontId="14" fillId="9" borderId="122" xfId="7" applyFont="1" applyFill="1" applyBorder="1" applyAlignment="1" applyProtection="1">
      <alignment horizontal="center" shrinkToFit="1"/>
      <protection hidden="1"/>
    </xf>
    <xf numFmtId="0" fontId="14" fillId="9" borderId="42" xfId="7" applyFont="1" applyFill="1" applyBorder="1" applyAlignment="1" applyProtection="1">
      <alignment horizontal="center" shrinkToFit="1"/>
      <protection hidden="1"/>
    </xf>
    <xf numFmtId="176" fontId="37" fillId="5" borderId="0" xfId="8" applyNumberFormat="1" applyFont="1" applyFill="1" applyBorder="1" applyAlignment="1" applyProtection="1">
      <alignment horizontal="center" shrinkToFit="1"/>
      <protection hidden="1"/>
    </xf>
    <xf numFmtId="0" fontId="8" fillId="0" borderId="26" xfId="8" applyFont="1" applyBorder="1" applyAlignment="1" applyProtection="1">
      <alignment horizontal="center"/>
      <protection hidden="1"/>
    </xf>
    <xf numFmtId="0" fontId="8" fillId="0" borderId="57" xfId="8" applyFont="1" applyBorder="1" applyAlignment="1" applyProtection="1">
      <alignment horizontal="center"/>
      <protection hidden="1"/>
    </xf>
    <xf numFmtId="0" fontId="14" fillId="10" borderId="50" xfId="7" applyFont="1" applyFill="1" applyBorder="1" applyAlignment="1" applyProtection="1">
      <alignment horizontal="center"/>
      <protection hidden="1"/>
    </xf>
    <xf numFmtId="0" fontId="14" fillId="10" borderId="14" xfId="7" applyFont="1" applyFill="1" applyBorder="1" applyAlignment="1" applyProtection="1">
      <alignment horizontal="center"/>
      <protection hidden="1"/>
    </xf>
    <xf numFmtId="0" fontId="14" fillId="9" borderId="80" xfId="7" applyFont="1" applyFill="1" applyBorder="1" applyAlignment="1" applyProtection="1">
      <alignment horizontal="center"/>
      <protection hidden="1"/>
    </xf>
    <xf numFmtId="0" fontId="14" fillId="9" borderId="65" xfId="7" applyFont="1" applyFill="1" applyBorder="1" applyAlignment="1" applyProtection="1">
      <alignment horizontal="center" shrinkToFit="1"/>
      <protection hidden="1"/>
    </xf>
    <xf numFmtId="0" fontId="14" fillId="9" borderId="33" xfId="7" applyFont="1" applyFill="1" applyBorder="1" applyAlignment="1" applyProtection="1">
      <alignment horizontal="center" shrinkToFit="1"/>
      <protection hidden="1"/>
    </xf>
    <xf numFmtId="0" fontId="14" fillId="9" borderId="65" xfId="7" applyFont="1" applyFill="1" applyBorder="1" applyAlignment="1" applyProtection="1">
      <alignment horizontal="center"/>
      <protection hidden="1"/>
    </xf>
    <xf numFmtId="0" fontId="14" fillId="9" borderId="33" xfId="7" applyFont="1" applyFill="1" applyBorder="1" applyAlignment="1" applyProtection="1">
      <alignment horizontal="center"/>
      <protection hidden="1"/>
    </xf>
    <xf numFmtId="0" fontId="52" fillId="5" borderId="0" xfId="7" applyFont="1" applyFill="1" applyBorder="1" applyAlignment="1" applyProtection="1">
      <alignment horizontal="left" vertical="center"/>
      <protection hidden="1"/>
    </xf>
    <xf numFmtId="0" fontId="14" fillId="10" borderId="65" xfId="7" applyFont="1" applyFill="1" applyBorder="1" applyAlignment="1" applyProtection="1">
      <alignment horizontal="center"/>
      <protection hidden="1"/>
    </xf>
    <xf numFmtId="0" fontId="14" fillId="10" borderId="33" xfId="7" applyFont="1" applyFill="1" applyBorder="1" applyAlignment="1" applyProtection="1">
      <alignment horizontal="center"/>
      <protection hidden="1"/>
    </xf>
    <xf numFmtId="0" fontId="8" fillId="0" borderId="26" xfId="7" applyFont="1" applyBorder="1" applyAlignment="1" applyProtection="1">
      <alignment horizontal="center"/>
      <protection hidden="1"/>
    </xf>
    <xf numFmtId="0" fontId="8" fillId="0" borderId="57" xfId="7" applyFont="1" applyBorder="1" applyAlignment="1" applyProtection="1">
      <alignment horizontal="center"/>
      <protection hidden="1"/>
    </xf>
    <xf numFmtId="0" fontId="8" fillId="2" borderId="26" xfId="7" applyFont="1" applyFill="1" applyBorder="1" applyAlignment="1" applyProtection="1">
      <alignment horizontal="center"/>
      <protection hidden="1"/>
    </xf>
    <xf numFmtId="0" fontId="8" fillId="2" borderId="57" xfId="7" applyFont="1" applyFill="1" applyBorder="1" applyAlignment="1" applyProtection="1">
      <alignment horizontal="center"/>
      <protection hidden="1"/>
    </xf>
    <xf numFmtId="0" fontId="14" fillId="5" borderId="87" xfId="7" applyFont="1" applyFill="1" applyBorder="1" applyAlignment="1" applyProtection="1">
      <alignment horizontal="right" vertical="center" shrinkToFit="1"/>
      <protection hidden="1"/>
    </xf>
    <xf numFmtId="0" fontId="14" fillId="5" borderId="106" xfId="7" applyFont="1" applyFill="1" applyBorder="1" applyAlignment="1" applyProtection="1">
      <alignment horizontal="right" vertical="center" shrinkToFit="1"/>
      <protection hidden="1"/>
    </xf>
    <xf numFmtId="0" fontId="59" fillId="0" borderId="0" xfId="0" applyFont="1" applyFill="1" applyAlignment="1" applyProtection="1">
      <alignment horizontal="center" vertical="center"/>
      <protection locked="0"/>
    </xf>
    <xf numFmtId="0" fontId="60" fillId="5" borderId="0" xfId="9" applyFont="1" applyFill="1" applyBorder="1" applyAlignment="1" applyProtection="1">
      <alignment horizontal="center" vertical="center"/>
      <protection hidden="1"/>
    </xf>
    <xf numFmtId="0" fontId="59" fillId="5" borderId="0" xfId="9" applyFont="1" applyFill="1" applyBorder="1" applyAlignment="1" applyProtection="1">
      <alignment horizontal="center" vertical="center"/>
      <protection hidden="1"/>
    </xf>
    <xf numFmtId="49" fontId="59" fillId="5" borderId="0" xfId="9" applyNumberFormat="1" applyFont="1" applyFill="1" applyBorder="1" applyAlignment="1" applyProtection="1">
      <alignment horizontal="center" vertical="center"/>
      <protection hidden="1"/>
    </xf>
    <xf numFmtId="14" fontId="59" fillId="0" borderId="0" xfId="0" applyNumberFormat="1" applyFont="1" applyFill="1" applyAlignment="1" applyProtection="1">
      <alignment horizontal="left" vertical="center"/>
      <protection locked="0" hidden="1"/>
    </xf>
    <xf numFmtId="0" fontId="52" fillId="5" borderId="0" xfId="9" applyFont="1" applyFill="1" applyBorder="1" applyAlignment="1" applyProtection="1">
      <alignment horizontal="center" vertical="center"/>
      <protection hidden="1"/>
    </xf>
    <xf numFmtId="0" fontId="23" fillId="5" borderId="0" xfId="9" applyFont="1" applyFill="1" applyBorder="1" applyAlignment="1" applyProtection="1">
      <alignment horizontal="center" vertical="center"/>
      <protection hidden="1"/>
    </xf>
    <xf numFmtId="49" fontId="23" fillId="5" borderId="0" xfId="9" applyNumberFormat="1" applyFont="1" applyFill="1" applyBorder="1" applyAlignment="1" applyProtection="1">
      <alignment horizontal="center" vertical="center"/>
      <protection hidden="1"/>
    </xf>
    <xf numFmtId="0" fontId="8" fillId="0" borderId="26" xfId="7" applyNumberFormat="1" applyFont="1" applyBorder="1" applyAlignment="1" applyProtection="1">
      <alignment horizontal="center"/>
      <protection locked="0" hidden="1"/>
    </xf>
    <xf numFmtId="0" fontId="8" fillId="0" borderId="57" xfId="7" applyNumberFormat="1" applyFont="1" applyBorder="1" applyAlignment="1" applyProtection="1">
      <alignment horizontal="center"/>
      <protection locked="0" hidden="1"/>
    </xf>
    <xf numFmtId="0" fontId="52" fillId="5" borderId="0" xfId="12" applyNumberFormat="1" applyFont="1" applyFill="1" applyAlignment="1" applyProtection="1">
      <alignment horizontal="left" vertical="center" shrinkToFit="1"/>
      <protection hidden="1"/>
    </xf>
    <xf numFmtId="0" fontId="25" fillId="5" borderId="0" xfId="7" applyFont="1" applyFill="1" applyBorder="1" applyAlignment="1" applyProtection="1">
      <protection hidden="1"/>
    </xf>
    <xf numFmtId="0" fontId="9" fillId="0" borderId="0" xfId="0" applyFont="1" applyAlignment="1">
      <alignment vertical="top" textRotation="255"/>
    </xf>
    <xf numFmtId="0" fontId="52" fillId="5" borderId="0" xfId="4" applyFont="1" applyFill="1" applyAlignment="1" applyProtection="1">
      <alignment horizontal="center" vertical="center"/>
      <protection locked="0"/>
    </xf>
    <xf numFmtId="0" fontId="26" fillId="5" borderId="0" xfId="4" applyFont="1" applyFill="1" applyAlignment="1">
      <alignment horizontal="center" vertical="center"/>
    </xf>
    <xf numFmtId="0" fontId="26" fillId="5" borderId="0" xfId="4" applyFont="1" applyFill="1">
      <alignment vertical="center"/>
    </xf>
    <xf numFmtId="0" fontId="70" fillId="5" borderId="138" xfId="0" applyFont="1" applyFill="1" applyBorder="1" applyAlignment="1" applyProtection="1">
      <alignment horizontal="center" vertical="center"/>
      <protection hidden="1"/>
    </xf>
    <xf numFmtId="0" fontId="14" fillId="12" borderId="6" xfId="2" applyFont="1" applyFill="1" applyBorder="1" applyProtection="1">
      <alignment vertical="center"/>
      <protection locked="0" hidden="1"/>
    </xf>
    <xf numFmtId="0" fontId="14" fillId="12" borderId="4" xfId="2" applyFont="1" applyFill="1" applyBorder="1" applyProtection="1">
      <alignment vertical="center"/>
      <protection locked="0" hidden="1"/>
    </xf>
    <xf numFmtId="0" fontId="14" fillId="12" borderId="16" xfId="2" applyFont="1" applyFill="1" applyBorder="1" applyProtection="1">
      <alignment vertical="center"/>
      <protection locked="0" hidden="1"/>
    </xf>
    <xf numFmtId="0" fontId="70" fillId="5" borderId="88" xfId="0" applyFont="1" applyFill="1" applyBorder="1" applyAlignment="1" applyProtection="1">
      <alignment horizontal="center" vertical="center"/>
      <protection hidden="1"/>
    </xf>
    <xf numFmtId="182" fontId="14" fillId="12" borderId="6" xfId="0" applyNumberFormat="1" applyFont="1" applyFill="1" applyBorder="1" applyAlignment="1" applyProtection="1">
      <alignment horizontal="center" vertical="center"/>
      <protection locked="0" hidden="1"/>
    </xf>
    <xf numFmtId="0" fontId="8" fillId="12" borderId="6" xfId="0" applyFont="1" applyFill="1" applyBorder="1" applyProtection="1">
      <alignment vertical="center"/>
      <protection locked="0" hidden="1"/>
    </xf>
    <xf numFmtId="177" fontId="8" fillId="12" borderId="6" xfId="0" applyNumberFormat="1" applyFont="1" applyFill="1" applyBorder="1" applyAlignment="1" applyProtection="1">
      <alignment horizontal="right" vertical="center"/>
      <protection locked="0" hidden="1"/>
    </xf>
    <xf numFmtId="0" fontId="14" fillId="12" borderId="6" xfId="0" applyFont="1" applyFill="1" applyBorder="1" applyAlignment="1" applyProtection="1">
      <alignment horizontal="left" vertical="center"/>
      <protection locked="0" hidden="1"/>
    </xf>
    <xf numFmtId="0" fontId="8" fillId="12" borderId="6" xfId="0" applyFont="1" applyFill="1" applyBorder="1" applyAlignment="1" applyProtection="1">
      <alignment horizontal="left" vertical="center"/>
      <protection locked="0" hidden="1"/>
    </xf>
    <xf numFmtId="0" fontId="8" fillId="12" borderId="6" xfId="0" applyFont="1" applyFill="1" applyBorder="1" applyAlignment="1" applyProtection="1">
      <alignment horizontal="left" vertical="center" shrinkToFit="1"/>
      <protection locked="0" hidden="1"/>
    </xf>
    <xf numFmtId="1" fontId="8" fillId="12" borderId="6" xfId="0" applyNumberFormat="1" applyFont="1" applyFill="1" applyBorder="1" applyAlignment="1" applyProtection="1">
      <alignment horizontal="center" vertical="center"/>
      <protection locked="0" hidden="1"/>
    </xf>
    <xf numFmtId="49" fontId="8" fillId="12" borderId="6" xfId="0" applyNumberFormat="1" applyFont="1" applyFill="1" applyBorder="1" applyAlignment="1" applyProtection="1">
      <alignment horizontal="center" vertical="center"/>
      <protection locked="0" hidden="1"/>
    </xf>
    <xf numFmtId="0" fontId="8" fillId="12" borderId="6" xfId="0" applyNumberFormat="1" applyFont="1" applyFill="1" applyBorder="1" applyAlignment="1" applyProtection="1">
      <alignment horizontal="center" vertical="center"/>
      <protection locked="0" hidden="1"/>
    </xf>
    <xf numFmtId="0" fontId="8" fillId="12" borderId="14" xfId="0" applyNumberFormat="1" applyFont="1" applyFill="1" applyBorder="1" applyAlignment="1" applyProtection="1">
      <alignment horizontal="center" vertical="center"/>
      <protection locked="0" hidden="1"/>
    </xf>
    <xf numFmtId="182" fontId="14" fillId="12" borderId="4" xfId="0" applyNumberFormat="1" applyFont="1" applyFill="1" applyBorder="1" applyAlignment="1" applyProtection="1">
      <alignment horizontal="center" vertical="center"/>
      <protection locked="0" hidden="1"/>
    </xf>
    <xf numFmtId="0" fontId="8" fillId="12" borderId="4" xfId="0" applyFont="1" applyFill="1" applyBorder="1" applyProtection="1">
      <alignment vertical="center"/>
      <protection locked="0" hidden="1"/>
    </xf>
    <xf numFmtId="177" fontId="8" fillId="12" borderId="4" xfId="0" applyNumberFormat="1" applyFont="1" applyFill="1" applyBorder="1" applyAlignment="1" applyProtection="1">
      <alignment horizontal="right" vertical="center"/>
      <protection locked="0" hidden="1"/>
    </xf>
    <xf numFmtId="0" fontId="14" fillId="12" borderId="4" xfId="0" applyFont="1" applyFill="1" applyBorder="1" applyAlignment="1" applyProtection="1">
      <alignment horizontal="left" vertical="center"/>
      <protection locked="0" hidden="1"/>
    </xf>
    <xf numFmtId="0" fontId="8" fillId="12" borderId="4" xfId="0" applyFont="1" applyFill="1" applyBorder="1" applyAlignment="1" applyProtection="1">
      <alignment horizontal="left" vertical="center"/>
      <protection locked="0" hidden="1"/>
    </xf>
    <xf numFmtId="0" fontId="8" fillId="12" borderId="4" xfId="0" applyFont="1" applyFill="1" applyBorder="1" applyAlignment="1" applyProtection="1">
      <alignment horizontal="left" vertical="center" shrinkToFit="1"/>
      <protection locked="0" hidden="1"/>
    </xf>
    <xf numFmtId="1" fontId="8" fillId="12" borderId="4" xfId="0" applyNumberFormat="1" applyFont="1" applyFill="1" applyBorder="1" applyAlignment="1" applyProtection="1">
      <alignment horizontal="center" vertical="center"/>
      <protection locked="0" hidden="1"/>
    </xf>
    <xf numFmtId="49" fontId="8" fillId="12" borderId="4" xfId="0" applyNumberFormat="1" applyFont="1" applyFill="1" applyBorder="1" applyAlignment="1" applyProtection="1">
      <alignment horizontal="center" vertical="center"/>
      <protection locked="0" hidden="1"/>
    </xf>
    <xf numFmtId="0" fontId="8" fillId="12" borderId="4" xfId="0" applyNumberFormat="1" applyFont="1" applyFill="1" applyBorder="1" applyAlignment="1" applyProtection="1">
      <alignment horizontal="center" vertical="center"/>
      <protection locked="0" hidden="1"/>
    </xf>
    <xf numFmtId="0" fontId="8" fillId="12" borderId="15" xfId="0" applyNumberFormat="1" applyFont="1" applyFill="1" applyBorder="1" applyAlignment="1" applyProtection="1">
      <alignment horizontal="center" vertical="center"/>
      <protection locked="0" hidden="1"/>
    </xf>
    <xf numFmtId="0" fontId="8" fillId="12" borderId="16" xfId="0" applyFont="1" applyFill="1" applyBorder="1" applyProtection="1">
      <alignment vertical="center"/>
      <protection locked="0" hidden="1"/>
    </xf>
    <xf numFmtId="0" fontId="8" fillId="12" borderId="16" xfId="0" applyFont="1" applyFill="1" applyBorder="1" applyAlignment="1" applyProtection="1">
      <alignment horizontal="left" vertical="center"/>
      <protection locked="0" hidden="1"/>
    </xf>
    <xf numFmtId="0" fontId="8" fillId="0" borderId="54" xfId="8" applyNumberFormat="1" applyFont="1" applyFill="1" applyBorder="1" applyAlignment="1" applyProtection="1">
      <protection hidden="1"/>
    </xf>
    <xf numFmtId="0" fontId="8" fillId="0" borderId="55" xfId="8" applyNumberFormat="1" applyFont="1" applyFill="1" applyBorder="1" applyAlignment="1" applyProtection="1">
      <protection hidden="1"/>
    </xf>
    <xf numFmtId="0" fontId="15" fillId="0" borderId="27" xfId="0" applyFont="1" applyBorder="1" applyAlignment="1">
      <alignment horizontal="center" shrinkToFit="1"/>
    </xf>
    <xf numFmtId="176" fontId="37" fillId="15" borderId="0" xfId="8" applyNumberFormat="1" applyFont="1" applyFill="1" applyBorder="1" applyAlignment="1" applyProtection="1">
      <alignment horizontal="right" shrinkToFit="1"/>
      <protection hidden="1"/>
    </xf>
    <xf numFmtId="49" fontId="37" fillId="15" borderId="0" xfId="8" applyNumberFormat="1" applyFont="1" applyFill="1" applyBorder="1" applyAlignment="1" applyProtection="1">
      <alignment shrinkToFit="1"/>
      <protection hidden="1"/>
    </xf>
    <xf numFmtId="0" fontId="37" fillId="15" borderId="0" xfId="8" applyFont="1" applyFill="1" applyBorder="1" applyAlignment="1" applyProtection="1">
      <alignment shrinkToFit="1"/>
      <protection hidden="1"/>
    </xf>
    <xf numFmtId="49" fontId="37" fillId="15" borderId="0" xfId="8" applyNumberFormat="1" applyFont="1" applyFill="1" applyBorder="1" applyAlignment="1" applyProtection="1">
      <alignment horizontal="right" shrinkToFit="1"/>
      <protection hidden="1"/>
    </xf>
    <xf numFmtId="176" fontId="37" fillId="15" borderId="0" xfId="8" applyNumberFormat="1" applyFont="1" applyFill="1" applyBorder="1" applyAlignment="1" applyProtection="1">
      <alignment horizontal="left" shrinkToFit="1"/>
      <protection hidden="1"/>
    </xf>
    <xf numFmtId="0" fontId="8" fillId="15" borderId="0" xfId="8" applyFont="1" applyFill="1" applyAlignment="1" applyProtection="1">
      <protection hidden="1"/>
    </xf>
    <xf numFmtId="0" fontId="14" fillId="15" borderId="0" xfId="8" applyFont="1" applyFill="1" applyAlignment="1" applyProtection="1">
      <alignment horizontal="center"/>
      <protection hidden="1"/>
    </xf>
    <xf numFmtId="49" fontId="8" fillId="15" borderId="0" xfId="8" applyNumberFormat="1" applyFont="1" applyFill="1" applyAlignment="1" applyProtection="1">
      <protection hidden="1"/>
    </xf>
    <xf numFmtId="0" fontId="8" fillId="15" borderId="0" xfId="8" applyFont="1" applyFill="1" applyAlignment="1" applyProtection="1">
      <alignment horizontal="center"/>
      <protection hidden="1"/>
    </xf>
    <xf numFmtId="0" fontId="8" fillId="15" borderId="0" xfId="0" applyFont="1" applyFill="1" applyAlignment="1" applyProtection="1">
      <protection hidden="1"/>
    </xf>
    <xf numFmtId="49" fontId="8" fillId="15" borderId="0" xfId="8" applyNumberFormat="1" applyFont="1" applyFill="1" applyAlignment="1" applyProtection="1">
      <alignment shrinkToFit="1"/>
      <protection hidden="1"/>
    </xf>
    <xf numFmtId="0" fontId="8" fillId="15" borderId="0" xfId="8" applyFont="1" applyFill="1" applyAlignment="1" applyProtection="1">
      <alignment horizontal="center" shrinkToFit="1"/>
      <protection hidden="1"/>
    </xf>
    <xf numFmtId="49" fontId="8" fillId="15" borderId="0" xfId="8" applyNumberFormat="1" applyFont="1" applyFill="1" applyAlignment="1" applyProtection="1">
      <alignment horizontal="right" shrinkToFit="1"/>
      <protection hidden="1"/>
    </xf>
    <xf numFmtId="0" fontId="8" fillId="15" borderId="0" xfId="8" applyFont="1" applyFill="1" applyAlignment="1" applyProtection="1">
      <alignment shrinkToFit="1"/>
      <protection hidden="1"/>
    </xf>
    <xf numFmtId="49" fontId="8" fillId="15" borderId="0" xfId="8" applyNumberFormat="1" applyFont="1" applyFill="1" applyAlignment="1" applyProtection="1">
      <alignment horizontal="center" shrinkToFit="1"/>
      <protection hidden="1"/>
    </xf>
    <xf numFmtId="0" fontId="8" fillId="15" borderId="0" xfId="8" applyFont="1" applyFill="1" applyAlignment="1" applyProtection="1">
      <alignment horizontal="left"/>
      <protection hidden="1"/>
    </xf>
    <xf numFmtId="0" fontId="8" fillId="15" borderId="0" xfId="8" applyFont="1" applyFill="1" applyAlignment="1"/>
    <xf numFmtId="0" fontId="8" fillId="15" borderId="74" xfId="7" applyFont="1" applyFill="1" applyBorder="1" applyAlignment="1" applyProtection="1">
      <alignment horizontal="center" shrinkToFit="1"/>
      <protection hidden="1"/>
    </xf>
    <xf numFmtId="0" fontId="8" fillId="15" borderId="0" xfId="7" applyFont="1" applyFill="1" applyBorder="1" applyAlignment="1" applyProtection="1">
      <alignment horizontal="center" shrinkToFit="1"/>
      <protection hidden="1"/>
    </xf>
    <xf numFmtId="0" fontId="8" fillId="15" borderId="74" xfId="7" applyFont="1" applyFill="1" applyBorder="1" applyAlignment="1" applyProtection="1">
      <alignment shrinkToFit="1"/>
      <protection hidden="1"/>
    </xf>
    <xf numFmtId="49" fontId="14" fillId="0" borderId="31" xfId="7" applyNumberFormat="1" applyFont="1" applyFill="1" applyBorder="1" applyAlignment="1" applyProtection="1">
      <alignment horizontal="center" shrinkToFit="1"/>
      <protection hidden="1"/>
    </xf>
    <xf numFmtId="177" fontId="14" fillId="0" borderId="21" xfId="7" applyNumberFormat="1" applyFont="1" applyFill="1" applyBorder="1" applyAlignment="1" applyProtection="1">
      <alignment horizontal="left" shrinkToFit="1"/>
      <protection locked="0" hidden="1"/>
    </xf>
    <xf numFmtId="177" fontId="14" fillId="0" borderId="22" xfId="7" applyNumberFormat="1" applyFont="1" applyFill="1" applyBorder="1" applyAlignment="1" applyProtection="1">
      <alignment horizontal="left" shrinkToFit="1"/>
      <protection locked="0" hidden="1"/>
    </xf>
    <xf numFmtId="177" fontId="14" fillId="0" borderId="23" xfId="7" applyNumberFormat="1" applyFont="1" applyFill="1" applyBorder="1" applyAlignment="1" applyProtection="1">
      <alignment horizontal="left" shrinkToFit="1"/>
      <protection locked="0" hidden="1"/>
    </xf>
    <xf numFmtId="0" fontId="14" fillId="0" borderId="5" xfId="0" applyFont="1" applyBorder="1" applyAlignment="1" applyProtection="1">
      <alignment horizontal="center" shrinkToFit="1"/>
      <protection hidden="1"/>
    </xf>
    <xf numFmtId="0" fontId="14" fillId="0" borderId="33" xfId="7" applyFont="1" applyBorder="1" applyAlignment="1" applyProtection="1">
      <alignment horizontal="center" shrinkToFit="1"/>
      <protection hidden="1"/>
    </xf>
    <xf numFmtId="0" fontId="8" fillId="0" borderId="6" xfId="0" applyNumberFormat="1" applyFont="1" applyFill="1" applyBorder="1" applyAlignment="1" applyProtection="1">
      <alignment horizontal="center"/>
      <protection hidden="1"/>
    </xf>
    <xf numFmtId="0" fontId="8" fillId="0" borderId="14" xfId="7" applyNumberFormat="1" applyFont="1" applyFill="1" applyBorder="1" applyAlignment="1" applyProtection="1">
      <protection hidden="1"/>
    </xf>
    <xf numFmtId="0" fontId="8" fillId="0" borderId="4" xfId="0" applyNumberFormat="1" applyFont="1" applyFill="1" applyBorder="1" applyAlignment="1" applyProtection="1">
      <alignment horizontal="center"/>
      <protection hidden="1"/>
    </xf>
    <xf numFmtId="0" fontId="8" fillId="0" borderId="15" xfId="7" applyNumberFormat="1" applyFont="1" applyFill="1" applyBorder="1" applyAlignment="1" applyProtection="1">
      <protection hidden="1"/>
    </xf>
    <xf numFmtId="0" fontId="8" fillId="0" borderId="16" xfId="0" applyNumberFormat="1" applyFont="1" applyFill="1" applyBorder="1" applyAlignment="1" applyProtection="1">
      <alignment horizontal="center"/>
      <protection hidden="1"/>
    </xf>
    <xf numFmtId="49" fontId="8" fillId="0" borderId="16" xfId="7" applyNumberFormat="1" applyFont="1" applyFill="1" applyBorder="1" applyAlignment="1" applyProtection="1">
      <alignment shrinkToFit="1"/>
      <protection hidden="1"/>
    </xf>
    <xf numFmtId="0" fontId="8" fillId="0" borderId="16" xfId="7" applyFont="1" applyFill="1" applyBorder="1" applyAlignment="1" applyProtection="1">
      <protection hidden="1"/>
    </xf>
    <xf numFmtId="0" fontId="8" fillId="0" borderId="17" xfId="7" applyNumberFormat="1" applyFont="1" applyFill="1" applyBorder="1" applyAlignment="1" applyProtection="1">
      <protection hidden="1"/>
    </xf>
    <xf numFmtId="49" fontId="8" fillId="0" borderId="21" xfId="8" applyNumberFormat="1" applyFont="1" applyFill="1" applyBorder="1" applyAlignment="1" applyProtection="1">
      <alignment shrinkToFit="1"/>
      <protection locked="0" hidden="1"/>
    </xf>
    <xf numFmtId="49" fontId="8" fillId="0" borderId="22" xfId="8" applyNumberFormat="1" applyFont="1" applyFill="1" applyBorder="1" applyAlignment="1" applyProtection="1">
      <alignment shrinkToFit="1"/>
      <protection locked="0" hidden="1"/>
    </xf>
    <xf numFmtId="49" fontId="8" fillId="0" borderId="23" xfId="8" applyNumberFormat="1" applyFont="1" applyFill="1" applyBorder="1" applyAlignment="1" applyProtection="1">
      <alignment shrinkToFit="1"/>
      <protection locked="0" hidden="1"/>
    </xf>
    <xf numFmtId="0" fontId="14" fillId="0" borderId="5" xfId="0" applyFont="1" applyBorder="1" applyAlignment="1" applyProtection="1">
      <alignment horizontal="center" vertical="center"/>
      <protection hidden="1"/>
    </xf>
    <xf numFmtId="0" fontId="8" fillId="0" borderId="6" xfId="8" applyFont="1" applyBorder="1" applyProtection="1">
      <protection hidden="1"/>
    </xf>
    <xf numFmtId="0" fontId="8" fillId="0" borderId="6" xfId="8" applyNumberFormat="1" applyFont="1" applyFill="1" applyBorder="1" applyAlignment="1" applyProtection="1">
      <alignment horizontal="center"/>
      <protection hidden="1"/>
    </xf>
    <xf numFmtId="0" fontId="8" fillId="0" borderId="6" xfId="0" applyNumberFormat="1" applyFont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horizontal="right" vertical="center"/>
      <protection hidden="1"/>
    </xf>
    <xf numFmtId="0" fontId="8" fillId="0" borderId="4" xfId="8" applyFont="1" applyBorder="1" applyProtection="1">
      <protection hidden="1"/>
    </xf>
    <xf numFmtId="0" fontId="8" fillId="0" borderId="4" xfId="8" applyNumberFormat="1" applyFont="1" applyFill="1" applyBorder="1" applyAlignment="1" applyProtection="1">
      <alignment horizontal="center"/>
      <protection hidden="1"/>
    </xf>
    <xf numFmtId="0" fontId="8" fillId="0" borderId="4" xfId="0" applyNumberFormat="1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right" vertical="center"/>
      <protection hidden="1"/>
    </xf>
    <xf numFmtId="0" fontId="8" fillId="0" borderId="16" xfId="8" applyFont="1" applyBorder="1" applyProtection="1">
      <protection hidden="1"/>
    </xf>
    <xf numFmtId="0" fontId="8" fillId="0" borderId="16" xfId="8" applyNumberFormat="1" applyFont="1" applyFill="1" applyBorder="1" applyAlignment="1" applyProtection="1">
      <alignment horizontal="center"/>
      <protection hidden="1"/>
    </xf>
    <xf numFmtId="0" fontId="8" fillId="0" borderId="16" xfId="0" applyNumberFormat="1" applyFont="1" applyBorder="1" applyAlignment="1" applyProtection="1">
      <alignment horizontal="center" vertical="center"/>
      <protection hidden="1"/>
    </xf>
    <xf numFmtId="0" fontId="8" fillId="0" borderId="16" xfId="0" applyFont="1" applyBorder="1" applyAlignment="1" applyProtection="1">
      <alignment horizontal="right" vertical="center"/>
      <protection hidden="1"/>
    </xf>
    <xf numFmtId="0" fontId="14" fillId="0" borderId="33" xfId="8" applyFont="1" applyBorder="1" applyAlignment="1" applyProtection="1">
      <alignment horizontal="center" vertical="center"/>
      <protection hidden="1"/>
    </xf>
    <xf numFmtId="0" fontId="8" fillId="0" borderId="14" xfId="8" applyNumberFormat="1" applyFont="1" applyFill="1" applyBorder="1" applyProtection="1">
      <protection hidden="1"/>
    </xf>
    <xf numFmtId="0" fontId="8" fillId="0" borderId="15" xfId="8" applyNumberFormat="1" applyFont="1" applyFill="1" applyBorder="1" applyProtection="1">
      <protection hidden="1"/>
    </xf>
    <xf numFmtId="0" fontId="8" fillId="0" borderId="17" xfId="8" applyNumberFormat="1" applyFont="1" applyFill="1" applyBorder="1" applyProtection="1">
      <protection hidden="1"/>
    </xf>
    <xf numFmtId="0" fontId="8" fillId="0" borderId="14" xfId="7" applyNumberFormat="1" applyFont="1" applyFill="1" applyBorder="1" applyProtection="1">
      <protection hidden="1"/>
    </xf>
    <xf numFmtId="0" fontId="8" fillId="0" borderId="15" xfId="7" applyNumberFormat="1" applyFont="1" applyFill="1" applyBorder="1" applyProtection="1">
      <protection hidden="1"/>
    </xf>
    <xf numFmtId="0" fontId="14" fillId="0" borderId="65" xfId="7" applyFont="1" applyBorder="1" applyAlignment="1" applyProtection="1">
      <alignment horizontal="center" vertical="center" shrinkToFit="1"/>
      <protection hidden="1"/>
    </xf>
    <xf numFmtId="0" fontId="14" fillId="0" borderId="5" xfId="0" applyFont="1" applyBorder="1" applyAlignment="1" applyProtection="1">
      <alignment horizontal="center" vertical="center" shrinkToFit="1"/>
      <protection hidden="1"/>
    </xf>
    <xf numFmtId="0" fontId="14" fillId="0" borderId="33" xfId="7" applyFont="1" applyBorder="1" applyAlignment="1" applyProtection="1">
      <alignment horizontal="center" vertical="center" shrinkToFit="1"/>
      <protection hidden="1"/>
    </xf>
    <xf numFmtId="0" fontId="8" fillId="0" borderId="106" xfId="7" applyFont="1" applyFill="1" applyBorder="1" applyProtection="1">
      <protection hidden="1"/>
    </xf>
    <xf numFmtId="0" fontId="8" fillId="0" borderId="6" xfId="7" applyFont="1" applyFill="1" applyBorder="1" applyProtection="1">
      <protection hidden="1"/>
    </xf>
    <xf numFmtId="0" fontId="8" fillId="0" borderId="52" xfId="7" applyFont="1" applyFill="1" applyBorder="1" applyProtection="1">
      <protection hidden="1"/>
    </xf>
    <xf numFmtId="0" fontId="8" fillId="0" borderId="53" xfId="7" applyFont="1" applyFill="1" applyBorder="1" applyProtection="1">
      <protection hidden="1"/>
    </xf>
    <xf numFmtId="0" fontId="8" fillId="0" borderId="17" xfId="7" applyNumberFormat="1" applyFont="1" applyFill="1" applyBorder="1" applyProtection="1">
      <protection hidden="1"/>
    </xf>
    <xf numFmtId="0" fontId="14" fillId="0" borderId="165" xfId="12" applyNumberFormat="1" applyFont="1" applyFill="1" applyBorder="1" applyAlignment="1" applyProtection="1">
      <alignment horizontal="center" vertical="center" shrinkToFit="1"/>
      <protection hidden="1"/>
    </xf>
    <xf numFmtId="0" fontId="14" fillId="0" borderId="21" xfId="12" applyNumberFormat="1" applyFont="1" applyFill="1" applyBorder="1" applyAlignment="1" applyProtection="1">
      <alignment shrinkToFit="1"/>
      <protection locked="0" hidden="1"/>
    </xf>
    <xf numFmtId="0" fontId="14" fillId="0" borderId="22" xfId="12" applyNumberFormat="1" applyFont="1" applyFill="1" applyBorder="1" applyAlignment="1" applyProtection="1">
      <alignment shrinkToFit="1"/>
      <protection locked="0" hidden="1"/>
    </xf>
    <xf numFmtId="0" fontId="14" fillId="0" borderId="23" xfId="12" applyNumberFormat="1" applyFont="1" applyFill="1" applyBorder="1" applyAlignment="1" applyProtection="1">
      <alignment shrinkToFit="1"/>
      <protection locked="0" hidden="1"/>
    </xf>
    <xf numFmtId="0" fontId="8" fillId="0" borderId="15" xfId="12" applyNumberFormat="1" applyFont="1" applyFill="1" applyBorder="1" applyProtection="1">
      <protection hidden="1"/>
    </xf>
    <xf numFmtId="0" fontId="8" fillId="0" borderId="17" xfId="12" applyNumberFormat="1" applyFont="1" applyFill="1" applyBorder="1" applyProtection="1">
      <protection hidden="1"/>
    </xf>
    <xf numFmtId="0" fontId="8" fillId="0" borderId="106" xfId="12" applyNumberFormat="1" applyFont="1" applyFill="1" applyBorder="1" applyProtection="1">
      <protection hidden="1"/>
    </xf>
    <xf numFmtId="0" fontId="8" fillId="0" borderId="18" xfId="12" applyNumberFormat="1" applyFont="1" applyFill="1" applyBorder="1" applyProtection="1">
      <protection hidden="1"/>
    </xf>
    <xf numFmtId="0" fontId="8" fillId="0" borderId="18" xfId="12" applyNumberFormat="1" applyFont="1" applyFill="1" applyBorder="1" applyAlignment="1" applyProtection="1">
      <alignment horizontal="center"/>
      <protection hidden="1"/>
    </xf>
    <xf numFmtId="0" fontId="8" fillId="0" borderId="18" xfId="0" applyNumberFormat="1" applyFont="1" applyFill="1" applyBorder="1" applyAlignment="1" applyProtection="1">
      <alignment horizontal="right" vertical="center"/>
      <protection hidden="1"/>
    </xf>
    <xf numFmtId="0" fontId="8" fillId="0" borderId="19" xfId="12" applyNumberFormat="1" applyFont="1" applyFill="1" applyBorder="1" applyProtection="1">
      <protection hidden="1"/>
    </xf>
    <xf numFmtId="0" fontId="14" fillId="0" borderId="65" xfId="12" applyNumberFormat="1" applyFont="1" applyBorder="1" applyAlignment="1" applyProtection="1">
      <alignment horizontal="center" vertical="center" shrinkToFit="1"/>
      <protection hidden="1"/>
    </xf>
    <xf numFmtId="0" fontId="14" fillId="0" borderId="5" xfId="12" applyNumberFormat="1" applyFont="1" applyBorder="1" applyAlignment="1" applyProtection="1">
      <alignment horizontal="center" vertical="center" shrinkToFit="1"/>
      <protection hidden="1"/>
    </xf>
    <xf numFmtId="0" fontId="14" fillId="0" borderId="5" xfId="0" applyNumberFormat="1" applyFont="1" applyBorder="1" applyAlignment="1" applyProtection="1">
      <alignment horizontal="center" vertical="center" shrinkToFit="1"/>
      <protection hidden="1"/>
    </xf>
    <xf numFmtId="0" fontId="14" fillId="0" borderId="33" xfId="12" applyNumberFormat="1" applyFont="1" applyBorder="1" applyAlignment="1" applyProtection="1">
      <alignment horizontal="center" vertical="center" shrinkToFit="1"/>
      <protection hidden="1"/>
    </xf>
  </cellXfs>
  <cellStyles count="13">
    <cellStyle name="ハイパーリンク" xfId="1" builtinId="8"/>
    <cellStyle name="標準" xfId="0" builtinId="0"/>
    <cellStyle name="標準 2" xfId="2"/>
    <cellStyle name="標準_AB男" xfId="3"/>
    <cellStyle name="標準_furikomiyousi" xfId="4"/>
    <cellStyle name="標準_H14高校名簿" xfId="5"/>
    <cellStyle name="標準_H14高校名簿_入力表" xfId="6"/>
    <cellStyle name="標準_競技者" xfId="7"/>
    <cellStyle name="標準_競技者_2006高校申込" xfId="8"/>
    <cellStyle name="標準_競技者_2007高校申込" xfId="9"/>
    <cellStyle name="標準_競技者_2007中学申込" xfId="10"/>
    <cellStyle name="標準_競技者_hs" xfId="11"/>
    <cellStyle name="標準_競技者_中学" xfId="12"/>
  </cellStyles>
  <dxfs count="620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10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10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45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rgb="FFFF0000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10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10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45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10"/>
        </patternFill>
      </fill>
    </dxf>
    <dxf>
      <fill>
        <patternFill>
          <bgColor indexed="45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45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10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10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 patternType="mediumGray">
          <fgColor indexed="9"/>
          <bgColor indexed="22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ont>
        <b val="0"/>
        <i val="0"/>
        <condense val="0"/>
        <extend val="0"/>
        <color indexed="8"/>
      </font>
      <fill>
        <patternFill>
          <bgColor indexed="45"/>
        </patternFill>
      </fill>
    </dxf>
    <dxf>
      <fill>
        <patternFill>
          <bgColor rgb="FFFF00FF"/>
        </patternFill>
      </fill>
    </dxf>
    <dxf>
      <font>
        <b val="0"/>
        <i val="0"/>
        <condense val="0"/>
        <extend val="0"/>
        <color indexed="8"/>
      </font>
      <fill>
        <patternFill>
          <bgColor indexed="45"/>
        </patternFill>
      </fill>
    </dxf>
  </dxfs>
  <tableStyles count="0" defaultTableStyle="TableStyleMedium9" defaultPivotStyle="PivotStyleLight16"/>
  <colors>
    <mruColors>
      <color rgb="FFFFFF99"/>
      <color rgb="FFFF00FF"/>
      <color rgb="FFFCD5B4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6/relationships/vbaProject" Target="vbaProject.bin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http://mierk.jp/information/mail.ph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8</xdr:row>
      <xdr:rowOff>295275</xdr:rowOff>
    </xdr:from>
    <xdr:to>
      <xdr:col>11</xdr:col>
      <xdr:colOff>257175</xdr:colOff>
      <xdr:row>34</xdr:row>
      <xdr:rowOff>38100</xdr:rowOff>
    </xdr:to>
    <xdr:pic>
      <xdr:nvPicPr>
        <xdr:cNvPr id="37580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24121" b="34505"/>
        <a:stretch>
          <a:fillRect/>
        </a:stretch>
      </xdr:blipFill>
      <xdr:spPr bwMode="auto">
        <a:xfrm>
          <a:off x="400050" y="3495675"/>
          <a:ext cx="7400925" cy="479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36</xdr:row>
      <xdr:rowOff>38100</xdr:rowOff>
    </xdr:from>
    <xdr:to>
      <xdr:col>6</xdr:col>
      <xdr:colOff>295275</xdr:colOff>
      <xdr:row>54</xdr:row>
      <xdr:rowOff>19050</xdr:rowOff>
    </xdr:to>
    <xdr:pic>
      <xdr:nvPicPr>
        <xdr:cNvPr id="3758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0762" t="25000" r="28418" b="30730"/>
        <a:stretch>
          <a:fillRect/>
        </a:stretch>
      </xdr:blipFill>
      <xdr:spPr bwMode="auto">
        <a:xfrm>
          <a:off x="428625" y="8772525"/>
          <a:ext cx="3981450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57</xdr:row>
      <xdr:rowOff>28575</xdr:rowOff>
    </xdr:from>
    <xdr:to>
      <xdr:col>6</xdr:col>
      <xdr:colOff>342900</xdr:colOff>
      <xdr:row>66</xdr:row>
      <xdr:rowOff>47625</xdr:rowOff>
    </xdr:to>
    <xdr:pic>
      <xdr:nvPicPr>
        <xdr:cNvPr id="37581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9980" t="36067" r="28027" b="41406"/>
        <a:stretch>
          <a:fillRect/>
        </a:stretch>
      </xdr:blipFill>
      <xdr:spPr bwMode="auto">
        <a:xfrm>
          <a:off x="361950" y="12811125"/>
          <a:ext cx="40957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36</xdr:row>
      <xdr:rowOff>57150</xdr:rowOff>
    </xdr:from>
    <xdr:to>
      <xdr:col>4</xdr:col>
      <xdr:colOff>514350</xdr:colOff>
      <xdr:row>46</xdr:row>
      <xdr:rowOff>95250</xdr:rowOff>
    </xdr:to>
    <xdr:pic>
      <xdr:nvPicPr>
        <xdr:cNvPr id="183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7422" r="74440" b="48302"/>
        <a:stretch>
          <a:fillRect/>
        </a:stretch>
      </xdr:blipFill>
      <xdr:spPr bwMode="auto">
        <a:xfrm>
          <a:off x="1381125" y="6353175"/>
          <a:ext cx="21717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53</xdr:row>
      <xdr:rowOff>19050</xdr:rowOff>
    </xdr:from>
    <xdr:to>
      <xdr:col>5</xdr:col>
      <xdr:colOff>571500</xdr:colOff>
      <xdr:row>77</xdr:row>
      <xdr:rowOff>152400</xdr:rowOff>
    </xdr:to>
    <xdr:pic>
      <xdr:nvPicPr>
        <xdr:cNvPr id="1836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r="57227" b="18465"/>
        <a:stretch>
          <a:fillRect/>
        </a:stretch>
      </xdr:blipFill>
      <xdr:spPr bwMode="auto">
        <a:xfrm>
          <a:off x="1323975" y="9324975"/>
          <a:ext cx="2971800" cy="424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933450</xdr:colOff>
      <xdr:row>58</xdr:row>
      <xdr:rowOff>85725</xdr:rowOff>
    </xdr:from>
    <xdr:to>
      <xdr:col>5</xdr:col>
      <xdr:colOff>676275</xdr:colOff>
      <xdr:row>61</xdr:row>
      <xdr:rowOff>19050</xdr:rowOff>
    </xdr:to>
    <xdr:sp macro="" textlink="">
      <xdr:nvSpPr>
        <xdr:cNvPr id="18363" name="Line 4"/>
        <xdr:cNvSpPr>
          <a:spLocks noChangeShapeType="1"/>
        </xdr:cNvSpPr>
      </xdr:nvSpPr>
      <xdr:spPr bwMode="auto">
        <a:xfrm flipH="1">
          <a:off x="2990850" y="10248900"/>
          <a:ext cx="1409700" cy="447675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695325</xdr:colOff>
      <xdr:row>39</xdr:row>
      <xdr:rowOff>133350</xdr:rowOff>
    </xdr:from>
    <xdr:to>
      <xdr:col>4</xdr:col>
      <xdr:colOff>609600</xdr:colOff>
      <xdr:row>39</xdr:row>
      <xdr:rowOff>133350</xdr:rowOff>
    </xdr:to>
    <xdr:sp macro="" textlink="">
      <xdr:nvSpPr>
        <xdr:cNvPr id="18364" name="Line 5"/>
        <xdr:cNvSpPr>
          <a:spLocks noChangeShapeType="1"/>
        </xdr:cNvSpPr>
      </xdr:nvSpPr>
      <xdr:spPr bwMode="auto">
        <a:xfrm flipH="1">
          <a:off x="2752725" y="6943725"/>
          <a:ext cx="895350" cy="0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638175</xdr:colOff>
      <xdr:row>64</xdr:row>
      <xdr:rowOff>95250</xdr:rowOff>
    </xdr:from>
    <xdr:to>
      <xdr:col>5</xdr:col>
      <xdr:colOff>666750</xdr:colOff>
      <xdr:row>64</xdr:row>
      <xdr:rowOff>104775</xdr:rowOff>
    </xdr:to>
    <xdr:sp macro="" textlink="">
      <xdr:nvSpPr>
        <xdr:cNvPr id="18365" name="Line 6"/>
        <xdr:cNvSpPr>
          <a:spLocks noChangeShapeType="1"/>
        </xdr:cNvSpPr>
      </xdr:nvSpPr>
      <xdr:spPr bwMode="auto">
        <a:xfrm flipH="1">
          <a:off x="3676650" y="11287125"/>
          <a:ext cx="714375" cy="9525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666750</xdr:colOff>
      <xdr:row>71</xdr:row>
      <xdr:rowOff>104775</xdr:rowOff>
    </xdr:from>
    <xdr:to>
      <xdr:col>5</xdr:col>
      <xdr:colOff>676275</xdr:colOff>
      <xdr:row>71</xdr:row>
      <xdr:rowOff>104775</xdr:rowOff>
    </xdr:to>
    <xdr:sp macro="" textlink="">
      <xdr:nvSpPr>
        <xdr:cNvPr id="18366" name="Line 10"/>
        <xdr:cNvSpPr>
          <a:spLocks noChangeShapeType="1"/>
        </xdr:cNvSpPr>
      </xdr:nvSpPr>
      <xdr:spPr bwMode="auto">
        <a:xfrm flipH="1" flipV="1">
          <a:off x="3705225" y="12496800"/>
          <a:ext cx="695325" cy="0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10</xdr:row>
      <xdr:rowOff>38100</xdr:rowOff>
    </xdr:from>
    <xdr:to>
      <xdr:col>3</xdr:col>
      <xdr:colOff>276225</xdr:colOff>
      <xdr:row>14</xdr:row>
      <xdr:rowOff>114300</xdr:rowOff>
    </xdr:to>
    <xdr:sp macro="" textlink="">
      <xdr:nvSpPr>
        <xdr:cNvPr id="33793" name="AutoShape 1"/>
        <xdr:cNvSpPr>
          <a:spLocks noChangeArrowheads="1"/>
        </xdr:cNvSpPr>
      </xdr:nvSpPr>
      <xdr:spPr bwMode="auto">
        <a:xfrm>
          <a:off x="571500" y="1752600"/>
          <a:ext cx="1762125" cy="762000"/>
        </a:xfrm>
        <a:prstGeom prst="irregularSeal1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strike="noStrike">
              <a:solidFill>
                <a:srgbClr val="FFFFFF"/>
              </a:solidFill>
              <a:latin typeface="ＭＳ Ｐゴシック"/>
              <a:ea typeface="ＭＳ Ｐゴシック"/>
            </a:rPr>
            <a:t>まずは注意事項へ</a:t>
          </a:r>
        </a:p>
      </xdr:txBody>
    </xdr:sp>
    <xdr:clientData/>
  </xdr:twoCellAnchor>
  <xdr:twoCellAnchor>
    <xdr:from>
      <xdr:col>3</xdr:col>
      <xdr:colOff>180975</xdr:colOff>
      <xdr:row>6</xdr:row>
      <xdr:rowOff>66675</xdr:rowOff>
    </xdr:from>
    <xdr:to>
      <xdr:col>3</xdr:col>
      <xdr:colOff>419100</xdr:colOff>
      <xdr:row>6</xdr:row>
      <xdr:rowOff>66675</xdr:rowOff>
    </xdr:to>
    <xdr:sp macro="" textlink="">
      <xdr:nvSpPr>
        <xdr:cNvPr id="301278" name="Line 4"/>
        <xdr:cNvSpPr>
          <a:spLocks noChangeShapeType="1"/>
        </xdr:cNvSpPr>
      </xdr:nvSpPr>
      <xdr:spPr bwMode="auto">
        <a:xfrm>
          <a:off x="2238375" y="1095375"/>
          <a:ext cx="238125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123825</xdr:colOff>
      <xdr:row>9</xdr:row>
      <xdr:rowOff>95250</xdr:rowOff>
    </xdr:from>
    <xdr:to>
      <xdr:col>5</xdr:col>
      <xdr:colOff>123825</xdr:colOff>
      <xdr:row>10</xdr:row>
      <xdr:rowOff>123825</xdr:rowOff>
    </xdr:to>
    <xdr:sp macro="" textlink="">
      <xdr:nvSpPr>
        <xdr:cNvPr id="301279" name="Line 5"/>
        <xdr:cNvSpPr>
          <a:spLocks noChangeShapeType="1"/>
        </xdr:cNvSpPr>
      </xdr:nvSpPr>
      <xdr:spPr bwMode="auto">
        <a:xfrm>
          <a:off x="3552825" y="1638300"/>
          <a:ext cx="0" cy="2000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619125</xdr:colOff>
      <xdr:row>19</xdr:row>
      <xdr:rowOff>114300</xdr:rowOff>
    </xdr:from>
    <xdr:to>
      <xdr:col>7</xdr:col>
      <xdr:colOff>152400</xdr:colOff>
      <xdr:row>19</xdr:row>
      <xdr:rowOff>114300</xdr:rowOff>
    </xdr:to>
    <xdr:sp macro="" textlink="">
      <xdr:nvSpPr>
        <xdr:cNvPr id="301280" name="Line 7"/>
        <xdr:cNvSpPr>
          <a:spLocks noChangeShapeType="1"/>
        </xdr:cNvSpPr>
      </xdr:nvSpPr>
      <xdr:spPr bwMode="auto">
        <a:xfrm>
          <a:off x="4733925" y="3371850"/>
          <a:ext cx="219075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123825</xdr:colOff>
      <xdr:row>15</xdr:row>
      <xdr:rowOff>47625</xdr:rowOff>
    </xdr:from>
    <xdr:to>
      <xdr:col>5</xdr:col>
      <xdr:colOff>123825</xdr:colOff>
      <xdr:row>16</xdr:row>
      <xdr:rowOff>76200</xdr:rowOff>
    </xdr:to>
    <xdr:sp macro="" textlink="">
      <xdr:nvSpPr>
        <xdr:cNvPr id="301281" name="Line 8"/>
        <xdr:cNvSpPr>
          <a:spLocks noChangeShapeType="1"/>
        </xdr:cNvSpPr>
      </xdr:nvSpPr>
      <xdr:spPr bwMode="auto">
        <a:xfrm>
          <a:off x="3552825" y="2619375"/>
          <a:ext cx="0" cy="2000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495299</xdr:colOff>
      <xdr:row>17</xdr:row>
      <xdr:rowOff>85725</xdr:rowOff>
    </xdr:from>
    <xdr:to>
      <xdr:col>9</xdr:col>
      <xdr:colOff>504824</xdr:colOff>
      <xdr:row>21</xdr:row>
      <xdr:rowOff>161925</xdr:rowOff>
    </xdr:to>
    <xdr:sp macro="[0]!上書き保存" textlink="">
      <xdr:nvSpPr>
        <xdr:cNvPr id="33802" name="laptop"/>
        <xdr:cNvSpPr>
          <a:spLocks noEditPoints="1" noChangeArrowheads="1"/>
        </xdr:cNvSpPr>
      </xdr:nvSpPr>
      <xdr:spPr bwMode="auto">
        <a:xfrm>
          <a:off x="5295899" y="3000375"/>
          <a:ext cx="1381125" cy="762000"/>
        </a:xfrm>
        <a:custGeom>
          <a:avLst/>
          <a:gdLst>
            <a:gd name="T0" fmla="*/ 3362 w 21600"/>
            <a:gd name="T1" fmla="*/ 0 h 21600"/>
            <a:gd name="T2" fmla="*/ 3362 w 21600"/>
            <a:gd name="T3" fmla="*/ 7173 h 21600"/>
            <a:gd name="T4" fmla="*/ 18327 w 21600"/>
            <a:gd name="T5" fmla="*/ 0 h 21600"/>
            <a:gd name="T6" fmla="*/ 18327 w 21600"/>
            <a:gd name="T7" fmla="*/ 7173 h 21600"/>
            <a:gd name="T8" fmla="*/ 10800 w 21600"/>
            <a:gd name="T9" fmla="*/ 0 h 21600"/>
            <a:gd name="T10" fmla="*/ 10800 w 21600"/>
            <a:gd name="T11" fmla="*/ 21600 h 21600"/>
            <a:gd name="T12" fmla="*/ 0 w 21600"/>
            <a:gd name="T13" fmla="*/ 21600 h 21600"/>
            <a:gd name="T14" fmla="*/ 21600 w 21600"/>
            <a:gd name="T15" fmla="*/ 21600 h 21600"/>
            <a:gd name="T16" fmla="*/ 4445 w 21600"/>
            <a:gd name="T17" fmla="*/ 1858 h 21600"/>
            <a:gd name="T18" fmla="*/ 17311 w 21600"/>
            <a:gd name="T19" fmla="*/ 12323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 extrusionOk="0">
              <a:moveTo>
                <a:pt x="3362" y="0"/>
              </a:moveTo>
              <a:lnTo>
                <a:pt x="18327" y="0"/>
              </a:lnTo>
              <a:lnTo>
                <a:pt x="18327" y="14347"/>
              </a:lnTo>
              <a:lnTo>
                <a:pt x="3362" y="14347"/>
              </a:lnTo>
              <a:lnTo>
                <a:pt x="3362" y="0"/>
              </a:lnTo>
              <a:close/>
            </a:path>
            <a:path w="21600" h="21600" extrusionOk="0">
              <a:moveTo>
                <a:pt x="3340" y="15068"/>
              </a:moveTo>
              <a:lnTo>
                <a:pt x="0" y="19877"/>
              </a:lnTo>
              <a:lnTo>
                <a:pt x="21600" y="19877"/>
              </a:lnTo>
              <a:lnTo>
                <a:pt x="18327" y="15068"/>
              </a:lnTo>
              <a:lnTo>
                <a:pt x="3340" y="15068"/>
              </a:lnTo>
              <a:close/>
            </a:path>
            <a:path w="21600" h="21600" extrusionOk="0">
              <a:moveTo>
                <a:pt x="0" y="19877"/>
              </a:moveTo>
              <a:lnTo>
                <a:pt x="0" y="21600"/>
              </a:lnTo>
              <a:lnTo>
                <a:pt x="21600" y="21600"/>
              </a:lnTo>
              <a:lnTo>
                <a:pt x="21600" y="19877"/>
              </a:lnTo>
              <a:lnTo>
                <a:pt x="0" y="19877"/>
              </a:lnTo>
              <a:close/>
            </a:path>
            <a:path w="21600" h="21600" extrusionOk="0">
              <a:moveTo>
                <a:pt x="4186" y="1523"/>
              </a:moveTo>
              <a:lnTo>
                <a:pt x="17547" y="1523"/>
              </a:lnTo>
              <a:lnTo>
                <a:pt x="17547" y="12744"/>
              </a:lnTo>
              <a:lnTo>
                <a:pt x="4186" y="12744"/>
              </a:lnTo>
              <a:lnTo>
                <a:pt x="4186" y="1523"/>
              </a:lnTo>
              <a:close/>
            </a:path>
            <a:path w="21600" h="21600" extrusionOk="0">
              <a:moveTo>
                <a:pt x="3318" y="15549"/>
              </a:moveTo>
              <a:lnTo>
                <a:pt x="2917" y="16110"/>
              </a:lnTo>
              <a:lnTo>
                <a:pt x="18727" y="16110"/>
              </a:lnTo>
              <a:lnTo>
                <a:pt x="18327" y="15549"/>
              </a:lnTo>
              <a:lnTo>
                <a:pt x="3318" y="15549"/>
              </a:lnTo>
              <a:close/>
            </a:path>
            <a:path w="21600" h="21600" extrusionOk="0">
              <a:moveTo>
                <a:pt x="6213" y="18314"/>
              </a:moveTo>
              <a:lnTo>
                <a:pt x="5946" y="18875"/>
              </a:lnTo>
              <a:lnTo>
                <a:pt x="15766" y="18875"/>
              </a:lnTo>
              <a:lnTo>
                <a:pt x="15499" y="18314"/>
              </a:lnTo>
              <a:lnTo>
                <a:pt x="6213" y="18314"/>
              </a:lnTo>
              <a:close/>
            </a:path>
            <a:path w="21600" h="21600" extrusionOk="0">
              <a:moveTo>
                <a:pt x="2828" y="16471"/>
              </a:moveTo>
              <a:lnTo>
                <a:pt x="2405" y="17072"/>
              </a:lnTo>
              <a:lnTo>
                <a:pt x="19284" y="17072"/>
              </a:lnTo>
              <a:lnTo>
                <a:pt x="18839" y="16471"/>
              </a:lnTo>
              <a:lnTo>
                <a:pt x="2828" y="16471"/>
              </a:lnTo>
              <a:close/>
            </a:path>
            <a:path w="21600" h="21600" extrusionOk="0">
              <a:moveTo>
                <a:pt x="2316" y="17352"/>
              </a:moveTo>
              <a:lnTo>
                <a:pt x="1871" y="17953"/>
              </a:lnTo>
              <a:lnTo>
                <a:pt x="19863" y="17953"/>
              </a:lnTo>
              <a:lnTo>
                <a:pt x="19395" y="17352"/>
              </a:lnTo>
              <a:lnTo>
                <a:pt x="2316" y="17352"/>
              </a:ln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0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上書き保存</a:t>
          </a:r>
        </a:p>
      </xdr:txBody>
    </xdr:sp>
    <xdr:clientData/>
  </xdr:twoCellAnchor>
  <xdr:twoCellAnchor>
    <xdr:from>
      <xdr:col>1</xdr:col>
      <xdr:colOff>523874</xdr:colOff>
      <xdr:row>0</xdr:row>
      <xdr:rowOff>95250</xdr:rowOff>
    </xdr:from>
    <xdr:to>
      <xdr:col>8</xdr:col>
      <xdr:colOff>190499</xdr:colOff>
      <xdr:row>2</xdr:row>
      <xdr:rowOff>95250</xdr:rowOff>
    </xdr:to>
    <xdr:sp macro="" textlink="">
      <xdr:nvSpPr>
        <xdr:cNvPr id="33806" name="UpRibbonSharp"/>
        <xdr:cNvSpPr>
          <a:spLocks noEditPoints="1" noChangeArrowheads="1"/>
        </xdr:cNvSpPr>
      </xdr:nvSpPr>
      <xdr:spPr bwMode="auto">
        <a:xfrm>
          <a:off x="1209674" y="95250"/>
          <a:ext cx="4467225" cy="342900"/>
        </a:xfrm>
        <a:custGeom>
          <a:avLst/>
          <a:gdLst>
            <a:gd name="G0" fmla="+- 0 0 0"/>
            <a:gd name="G1" fmla="+- 5400 0 0"/>
            <a:gd name="G2" fmla="+- 5400 2700 0"/>
            <a:gd name="G3" fmla="+- 21600 0 G2"/>
            <a:gd name="G4" fmla="+- 21600 0 G1"/>
            <a:gd name="G5" fmla="+- 21600 0 18900"/>
            <a:gd name="G6" fmla="*/ 18900 1 2"/>
            <a:gd name="G7" fmla="+- 21600 0 G6"/>
            <a:gd name="G8" fmla="+- 18900 0 0"/>
            <a:gd name="T0" fmla="*/ 10800 w 21600"/>
            <a:gd name="T1" fmla="*/ 0 h 21600"/>
            <a:gd name="T2" fmla="*/ 2700 w 21600"/>
            <a:gd name="T3" fmla="*/ 12150 h 21600"/>
            <a:gd name="T4" fmla="*/ 10800 w 21600"/>
            <a:gd name="T5" fmla="*/ 18900 h 21600"/>
            <a:gd name="T6" fmla="*/ 18900 w 21600"/>
            <a:gd name="T7" fmla="*/ 1215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G1 w 21600"/>
            <a:gd name="T13" fmla="*/ 0 h 21600"/>
            <a:gd name="T14" fmla="*/ G4 w 21600"/>
            <a:gd name="T15" fmla="*/ G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 extrusionOk="0">
              <a:moveTo>
                <a:pt x="0" y="21600"/>
              </a:moveTo>
              <a:lnTo>
                <a:pt x="8100" y="21600"/>
              </a:lnTo>
              <a:lnTo>
                <a:pt x="8100" y="18900"/>
              </a:lnTo>
              <a:lnTo>
                <a:pt x="13500" y="18900"/>
              </a:lnTo>
              <a:lnTo>
                <a:pt x="13500" y="21600"/>
              </a:lnTo>
              <a:lnTo>
                <a:pt x="21600" y="21600"/>
              </a:lnTo>
              <a:lnTo>
                <a:pt x="18900" y="12150"/>
              </a:lnTo>
              <a:lnTo>
                <a:pt x="21600" y="2700"/>
              </a:lnTo>
              <a:lnTo>
                <a:pt x="16200" y="2700"/>
              </a:lnTo>
              <a:lnTo>
                <a:pt x="16200" y="0"/>
              </a:lnTo>
              <a:lnTo>
                <a:pt x="5400" y="0"/>
              </a:lnTo>
              <a:lnTo>
                <a:pt x="5400" y="2700"/>
              </a:lnTo>
              <a:lnTo>
                <a:pt x="0" y="2700"/>
              </a:lnTo>
              <a:lnTo>
                <a:pt x="2700" y="12150"/>
              </a:lnTo>
              <a:close/>
            </a:path>
            <a:path w="21600" h="21600" fill="none" extrusionOk="0">
              <a:moveTo>
                <a:pt x="8100" y="18900"/>
              </a:moveTo>
              <a:lnTo>
                <a:pt x="5400" y="18900"/>
              </a:lnTo>
              <a:lnTo>
                <a:pt x="5400" y="2700"/>
              </a:lnTo>
            </a:path>
            <a:path w="21600" h="21600" fill="none" extrusionOk="0">
              <a:moveTo>
                <a:pt x="5400" y="18900"/>
              </a:moveTo>
              <a:lnTo>
                <a:pt x="8100" y="21600"/>
              </a:lnTo>
            </a:path>
            <a:path w="21600" h="21600" fill="none" extrusionOk="0">
              <a:moveTo>
                <a:pt x="13500" y="18900"/>
              </a:moveTo>
              <a:lnTo>
                <a:pt x="16200" y="18900"/>
              </a:lnTo>
              <a:lnTo>
                <a:pt x="16200" y="2700"/>
              </a:lnTo>
            </a:path>
            <a:path w="21600" h="21600" fill="none" extrusionOk="0">
              <a:moveTo>
                <a:pt x="16200" y="18900"/>
              </a:moveTo>
              <a:lnTo>
                <a:pt x="13500" y="21600"/>
              </a:lnTo>
            </a:path>
          </a:pathLst>
        </a:cu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ja-JP" altLang="en-US" sz="10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２０１</a:t>
          </a:r>
          <a:r>
            <a:rPr lang="en-US" altLang="ja-JP" sz="10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  <a:r>
            <a:rPr lang="ja-JP" altLang="en-US" sz="10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　中学生クラブ登録者大会申込</a:t>
          </a:r>
        </a:p>
      </xdr:txBody>
    </xdr:sp>
    <xdr:clientData/>
  </xdr:twoCellAnchor>
  <xdr:twoCellAnchor>
    <xdr:from>
      <xdr:col>4</xdr:col>
      <xdr:colOff>76200</xdr:colOff>
      <xdr:row>18</xdr:row>
      <xdr:rowOff>0</xdr:rowOff>
    </xdr:from>
    <xdr:to>
      <xdr:col>6</xdr:col>
      <xdr:colOff>190500</xdr:colOff>
      <xdr:row>21</xdr:row>
      <xdr:rowOff>66675</xdr:rowOff>
    </xdr:to>
    <xdr:sp macro="[0]!振込用紙へ移動" textlink="">
      <xdr:nvSpPr>
        <xdr:cNvPr id="14" name="AutoShape 9"/>
        <xdr:cNvSpPr>
          <a:spLocks noChangeArrowheads="1"/>
        </xdr:cNvSpPr>
      </xdr:nvSpPr>
      <xdr:spPr bwMode="auto">
        <a:xfrm>
          <a:off x="2819400" y="3086100"/>
          <a:ext cx="1485900" cy="581025"/>
        </a:xfrm>
        <a:prstGeom prst="star8">
          <a:avLst>
            <a:gd name="adj" fmla="val 38250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振込用紙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12</xdr:row>
      <xdr:rowOff>114300</xdr:rowOff>
    </xdr:from>
    <xdr:to>
      <xdr:col>8</xdr:col>
      <xdr:colOff>276225</xdr:colOff>
      <xdr:row>16</xdr:row>
      <xdr:rowOff>9525</xdr:rowOff>
    </xdr:to>
    <xdr:sp macro="" textlink="">
      <xdr:nvSpPr>
        <xdr:cNvPr id="3" name="AutoShape 29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276725" y="2171700"/>
          <a:ext cx="1485900" cy="581025"/>
        </a:xfrm>
        <a:prstGeom prst="star8">
          <a:avLst>
            <a:gd name="adj" fmla="val 38250"/>
          </a:avLst>
        </a:prstGeom>
        <a:solidFill>
          <a:schemeClr val="bg1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インターネット　申込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180975</xdr:colOff>
      <xdr:row>13</xdr:row>
      <xdr:rowOff>95250</xdr:rowOff>
    </xdr:from>
    <xdr:to>
      <xdr:col>15</xdr:col>
      <xdr:colOff>685800</xdr:colOff>
      <xdr:row>16</xdr:row>
      <xdr:rowOff>66675</xdr:rowOff>
    </xdr:to>
    <xdr:sp macro="" textlink="">
      <xdr:nvSpPr>
        <xdr:cNvPr id="2" name="AutoShape 90"/>
        <xdr:cNvSpPr>
          <a:spLocks/>
        </xdr:cNvSpPr>
      </xdr:nvSpPr>
      <xdr:spPr bwMode="auto">
        <a:xfrm>
          <a:off x="7886700" y="3352800"/>
          <a:ext cx="0" cy="542925"/>
        </a:xfrm>
        <a:prstGeom prst="borderCallout1">
          <a:avLst>
            <a:gd name="adj1" fmla="val 21051"/>
            <a:gd name="adj2" fmla="val -4000"/>
            <a:gd name="adj3" fmla="val 85963"/>
            <a:gd name="adj4" fmla="val -82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登録データの登録番号から学年までをコピーし張付けて下さい。、白枠内のみに値のみで張り付ける事</a:t>
          </a:r>
        </a:p>
      </xdr:txBody>
    </xdr:sp>
    <xdr:clientData fPrintsWithSheet="0"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" name="Text Box 1171"/>
        <xdr:cNvSpPr txBox="1">
          <a:spLocks noChangeArrowheads="1"/>
        </xdr:cNvSpPr>
      </xdr:nvSpPr>
      <xdr:spPr bwMode="auto">
        <a:xfrm>
          <a:off x="1152525" y="3448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" name="Text Box 1172"/>
        <xdr:cNvSpPr txBox="1">
          <a:spLocks noChangeArrowheads="1"/>
        </xdr:cNvSpPr>
      </xdr:nvSpPr>
      <xdr:spPr bwMode="auto">
        <a:xfrm>
          <a:off x="1152525" y="3448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" name="Text Box 1173"/>
        <xdr:cNvSpPr txBox="1">
          <a:spLocks noChangeArrowheads="1"/>
        </xdr:cNvSpPr>
      </xdr:nvSpPr>
      <xdr:spPr bwMode="auto">
        <a:xfrm>
          <a:off x="1152525" y="3448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" name="Text Box 1174"/>
        <xdr:cNvSpPr txBox="1">
          <a:spLocks noChangeArrowheads="1"/>
        </xdr:cNvSpPr>
      </xdr:nvSpPr>
      <xdr:spPr bwMode="auto">
        <a:xfrm>
          <a:off x="1152525" y="3448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" name="Text Box 11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" name="Text Box 11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" name="Text Box 11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" name="Text Box 11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" name="Text Box 11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" name="Text Box 11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" name="Text Box 11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" name="Text Box 11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" name="Text Box 11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" name="Text Box 11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" name="Text Box 11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" name="Text Box 11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9" name="Text Box 11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0" name="Text Box 11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1" name="Text Box 11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2" name="Text Box 11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3" name="Text Box 11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4" name="Text Box 11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5" name="Text Box 11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6" name="Text Box 11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7" name="Text Box 11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8" name="Text Box 11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9" name="Text Box 11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0" name="Text Box 11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1" name="Text Box 11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2" name="Text Box 12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3" name="Text Box 12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4" name="Text Box 12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5" name="Text Box 12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6" name="Text Box 12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7" name="Text Box 12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8" name="Text Box 12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9" name="Text Box 12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0" name="Text Box 12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1" name="Text Box 12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2" name="Text Box 12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3" name="Text Box 12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4" name="Text Box 12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5" name="Text Box 12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6" name="Text Box 12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7" name="Text Box 12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8" name="Text Box 12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9" name="Text Box 12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0" name="Text Box 12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1" name="Text Box 12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2" name="Text Box 12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3" name="Text Box 12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4" name="Text Box 12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5" name="Text Box 12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6" name="Text Box 12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7" name="Text Box 12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8" name="Text Box 12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9" name="Text Box 12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0" name="Text Box 12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1" name="Text Box 12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2" name="Text Box 12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3" name="Text Box 12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4" name="Text Box 12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5" name="Text Box 12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6" name="Text Box 12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7" name="Text Box 12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8" name="Text Box 12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9" name="Text Box 12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0" name="Text Box 12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1" name="Text Box 12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2" name="Text Box 12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3" name="Text Box 12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4" name="Text Box 12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5" name="Text Box 12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6" name="Text Box 12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7" name="Text Box 12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8" name="Text Box 12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9" name="Text Box 12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0" name="Text Box 12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1" name="Text Box 12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2" name="Text Box 12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3" name="Text Box 12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4" name="Text Box 12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5" name="Text Box 12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6" name="Text Box 12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7" name="Text Box 12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8" name="Text Box 12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9" name="Text Box 12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0" name="Text Box 12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1" name="Text Box 12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2" name="Text Box 12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3" name="Text Box 12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4" name="Text Box 12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5" name="Text Box 12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6" name="Text Box 12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7" name="Text Box 12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8" name="Text Box 12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9" name="Text Box 12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0" name="Text Box 12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1" name="Text Box 12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2" name="Text Box 12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3" name="Text Box 12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4" name="Text Box 12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5" name="Text Box 12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6" name="Text Box 12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7" name="Text Box 12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8" name="Text Box 12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9" name="Text Box 12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0" name="Text Box 12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1" name="Text Box 12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2" name="Text Box 12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3" name="Text Box 12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4" name="Text Box 12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5" name="Text Box 12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6" name="Text Box 12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7" name="Text Box 12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8" name="Text Box 12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9" name="Text Box 12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0" name="Text Box 12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1" name="Text Box 12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2" name="Text Box 12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3" name="Text Box 12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4" name="Text Box 12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5" name="Text Box 12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6" name="Text Box 12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7" name="Text Box 12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8" name="Text Box 12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9" name="Text Box 12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0" name="Text Box 12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1" name="Text Box 12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2" name="Text Box 13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3" name="Text Box 13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4" name="Text Box 13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5" name="Text Box 13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6" name="Text Box 13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7" name="Text Box 13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8" name="Text Box 13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9" name="Text Box 13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0" name="Text Box 13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1" name="Text Box 13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2" name="Text Box 13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3" name="Text Box 13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4" name="Text Box 13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5" name="Text Box 13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6" name="Text Box 13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7" name="Text Box 13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8" name="Text Box 13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9" name="Text Box 13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0" name="Text Box 13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1" name="Text Box 13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2" name="Text Box 13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3" name="Text Box 13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4" name="Text Box 13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5" name="Text Box 13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6" name="Text Box 13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7" name="Text Box 13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8" name="Text Box 13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9" name="Text Box 13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0" name="Text Box 13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1" name="Text Box 13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2" name="Text Box 13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3" name="Text Box 13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4" name="Text Box 13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5" name="Text Box 13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6" name="Text Box 13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7" name="Text Box 13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8" name="Text Box 13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9" name="Text Box 13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0" name="Text Box 13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1" name="Text Box 13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2" name="Text Box 13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3" name="Text Box 13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4" name="Text Box 13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5" name="Text Box 13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6" name="Text Box 13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7" name="Text Box 13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8" name="Text Box 13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9" name="Text Box 13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0" name="Text Box 13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1" name="Text Box 13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2" name="Text Box 13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3" name="Text Box 13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4" name="Text Box 13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5" name="Text Box 13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6" name="Text Box 13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7" name="Text Box 13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8" name="Text Box 13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9" name="Text Box 13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90" name="Text Box 13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91" name="Text Box 13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92" name="Text Box 13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93" name="Text Box 13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94" name="Text Box 13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95" name="Text Box 13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96" name="Text Box 13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97" name="Text Box 13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98" name="Text Box 13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99" name="Text Box 13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00" name="Text Box 13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01" name="Text Box 13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02" name="Text Box 13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03" name="Text Box 13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04" name="Text Box 13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05" name="Text Box 13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06" name="Text Box 13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07" name="Text Box 13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08" name="Text Box 13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09" name="Text Box 13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10" name="Text Box 13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11" name="Text Box 13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12" name="Text Box 13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13" name="Text Box 13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14" name="Text Box 13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15" name="Text Box 13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16" name="Text Box 13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17" name="Text Box 13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18" name="Text Box 13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19" name="Text Box 13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20" name="Text Box 13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21" name="Text Box 13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22" name="Text Box 13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23" name="Text Box 13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24" name="Text Box 13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25" name="Text Box 13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26" name="Text Box 13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27" name="Text Box 13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28" name="Text Box 13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29" name="Text Box 13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30" name="Text Box 13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31" name="Text Box 13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32" name="Text Box 14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33" name="Text Box 14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34" name="Text Box 14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35" name="Text Box 14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36" name="Text Box 14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37" name="Text Box 14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38" name="Text Box 14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39" name="Text Box 14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40" name="Text Box 14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41" name="Text Box 14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42" name="Text Box 14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43" name="Text Box 14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44" name="Text Box 14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45" name="Text Box 14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46" name="Text Box 14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47" name="Text Box 14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48" name="Text Box 14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49" name="Text Box 14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50" name="Text Box 14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51" name="Text Box 14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52" name="Text Box 14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53" name="Text Box 14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54" name="Text Box 14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55" name="Text Box 14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56" name="Text Box 14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57" name="Text Box 14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58" name="Text Box 14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59" name="Text Box 14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60" name="Text Box 14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61" name="Text Box 14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62" name="Text Box 14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63" name="Text Box 14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64" name="Text Box 14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65" name="Text Box 14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66" name="Text Box 14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67" name="Text Box 14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68" name="Text Box 14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69" name="Text Box 14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70" name="Text Box 14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71" name="Text Box 14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72" name="Text Box 14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73" name="Text Box 14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74" name="Text Box 14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75" name="Text Box 14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76" name="Text Box 14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77" name="Text Box 14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78" name="Text Box 14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79" name="Text Box 14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80" name="Text Box 14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81" name="Text Box 14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82" name="Text Box 14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83" name="Text Box 14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84" name="Text Box 14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85" name="Text Box 14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86" name="Text Box 14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87" name="Text Box 14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88" name="Text Box 14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89" name="Text Box 14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90" name="Text Box 14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91" name="Text Box 14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92" name="Text Box 14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93" name="Text Box 14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94" name="Text Box 14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95" name="Text Box 14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96" name="Text Box 14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97" name="Text Box 14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98" name="Text Box 14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299" name="Text Box 14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00" name="Text Box 14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01" name="Text Box 14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02" name="Text Box 14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03" name="Text Box 14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04" name="Text Box 14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05" name="Text Box 14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06" name="Text Box 14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07" name="Text Box 14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08" name="Text Box 14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09" name="Text Box 14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10" name="Text Box 14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11" name="Text Box 14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12" name="Text Box 14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13" name="Text Box 14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14" name="Text Box 14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15" name="Text Box 14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16" name="Text Box 14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17" name="Text Box 14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18" name="Text Box 14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19" name="Text Box 14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20" name="Text Box 14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21" name="Text Box 14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22" name="Text Box 14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23" name="Text Box 14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24" name="Text Box 14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25" name="Text Box 14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26" name="Text Box 14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27" name="Text Box 14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28" name="Text Box 14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29" name="Text Box 14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30" name="Text Box 14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31" name="Text Box 14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32" name="Text Box 15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33" name="Text Box 15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34" name="Text Box 15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35" name="Text Box 15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36" name="Text Box 15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37" name="Text Box 15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38" name="Text Box 15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39" name="Text Box 15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40" name="Text Box 15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41" name="Text Box 15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42" name="Text Box 15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43" name="Text Box 15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44" name="Text Box 15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45" name="Text Box 15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46" name="Text Box 15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47" name="Text Box 15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48" name="Text Box 15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49" name="Text Box 15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50" name="Text Box 15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51" name="Text Box 15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52" name="Text Box 15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53" name="Text Box 15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54" name="Text Box 15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55" name="Text Box 15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56" name="Text Box 15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57" name="Text Box 15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58" name="Text Box 15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59" name="Text Box 15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60" name="Text Box 15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61" name="Text Box 15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62" name="Text Box 15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63" name="Text Box 15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64" name="Text Box 15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65" name="Text Box 15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66" name="Text Box 15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67" name="Text Box 15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68" name="Text Box 15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69" name="Text Box 15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70" name="Text Box 15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71" name="Text Box 15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72" name="Text Box 15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73" name="Text Box 15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74" name="Text Box 15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75" name="Text Box 15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76" name="Text Box 15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77" name="Text Box 15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78" name="Text Box 15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79" name="Text Box 15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80" name="Text Box 15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81" name="Text Box 15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82" name="Text Box 15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83" name="Text Box 15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84" name="Text Box 15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85" name="Text Box 15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86" name="Text Box 15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87" name="Text Box 15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88" name="Text Box 15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89" name="Text Box 15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90" name="Text Box 15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91" name="Text Box 15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92" name="Text Box 15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93" name="Text Box 15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94" name="Text Box 15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95" name="Text Box 15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96" name="Text Box 15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97" name="Text Box 15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98" name="Text Box 15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399" name="Text Box 15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00" name="Text Box 15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01" name="Text Box 15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02" name="Text Box 15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03" name="Text Box 15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04" name="Text Box 15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05" name="Text Box 15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06" name="Text Box 15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07" name="Text Box 15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08" name="Text Box 15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09" name="Text Box 15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10" name="Text Box 15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11" name="Text Box 15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12" name="Text Box 15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13" name="Text Box 15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14" name="Text Box 15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15" name="Text Box 15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16" name="Text Box 15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17" name="Text Box 15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18" name="Text Box 15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19" name="Text Box 15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20" name="Text Box 15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21" name="Text Box 15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22" name="Text Box 15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23" name="Text Box 15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24" name="Text Box 15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25" name="Text Box 15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26" name="Text Box 15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27" name="Text Box 15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28" name="Text Box 15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29" name="Text Box 15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30" name="Text Box 15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31" name="Text Box 15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32" name="Text Box 16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33" name="Text Box 16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34" name="Text Box 16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35" name="Text Box 16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36" name="Text Box 16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37" name="Text Box 16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38" name="Text Box 16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39" name="Text Box 16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40" name="Text Box 16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41" name="Text Box 16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42" name="Text Box 16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43" name="Text Box 16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44" name="Text Box 16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45" name="Text Box 16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46" name="Text Box 16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47" name="Text Box 16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48" name="Text Box 16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49" name="Text Box 16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50" name="Text Box 16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51" name="Text Box 16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52" name="Text Box 16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53" name="Text Box 16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54" name="Text Box 16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55" name="Text Box 16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56" name="Text Box 16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57" name="Text Box 16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58" name="Text Box 16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59" name="Text Box 16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60" name="Text Box 16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61" name="Text Box 16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62" name="Text Box 16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63" name="Text Box 16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64" name="Text Box 16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65" name="Text Box 16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66" name="Text Box 16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67" name="Text Box 16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68" name="Text Box 16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69" name="Text Box 16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70" name="Text Box 16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71" name="Text Box 16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72" name="Text Box 16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73" name="Text Box 16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74" name="Text Box 16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75" name="Text Box 16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76" name="Text Box 16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77" name="Text Box 16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78" name="Text Box 16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79" name="Text Box 16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80" name="Text Box 16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81" name="Text Box 16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82" name="Text Box 16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83" name="Text Box 16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84" name="Text Box 16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85" name="Text Box 16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86" name="Text Box 16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87" name="Text Box 16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88" name="Text Box 16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89" name="Text Box 16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90" name="Text Box 16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91" name="Text Box 16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92" name="Text Box 16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93" name="Text Box 16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94" name="Text Box 16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95" name="Text Box 16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96" name="Text Box 16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97" name="Text Box 16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98" name="Text Box 16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499" name="Text Box 16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00" name="Text Box 16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01" name="Text Box 16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02" name="Text Box 16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03" name="Text Box 16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04" name="Text Box 16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05" name="Text Box 16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06" name="Text Box 16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07" name="Text Box 16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08" name="Text Box 16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09" name="Text Box 16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10" name="Text Box 16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11" name="Text Box 16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12" name="Text Box 16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13" name="Text Box 16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14" name="Text Box 16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15" name="Text Box 16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16" name="Text Box 16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17" name="Text Box 16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18" name="Text Box 16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19" name="Text Box 16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20" name="Text Box 16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21" name="Text Box 16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22" name="Text Box 16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23" name="Text Box 16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24" name="Text Box 16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25" name="Text Box 16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26" name="Text Box 16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27" name="Text Box 16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28" name="Text Box 16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29" name="Text Box 16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30" name="Text Box 16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31" name="Text Box 16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32" name="Text Box 17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33" name="Text Box 17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34" name="Text Box 17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35" name="Text Box 17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36" name="Text Box 17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37" name="Text Box 17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38" name="Text Box 17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39" name="Text Box 17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40" name="Text Box 17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41" name="Text Box 17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42" name="Text Box 17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43" name="Text Box 17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44" name="Text Box 17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45" name="Text Box 17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46" name="Text Box 17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47" name="Text Box 17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48" name="Text Box 17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49" name="Text Box 17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50" name="Text Box 17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51" name="Text Box 17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52" name="Text Box 17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53" name="Text Box 17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54" name="Text Box 17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55" name="Text Box 17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56" name="Text Box 17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57" name="Text Box 17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58" name="Text Box 17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59" name="Text Box 17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60" name="Text Box 17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61" name="Text Box 17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62" name="Text Box 17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63" name="Text Box 17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64" name="Text Box 17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65" name="Text Box 17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66" name="Text Box 17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67" name="Text Box 17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68" name="Text Box 17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69" name="Text Box 17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70" name="Text Box 17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71" name="Text Box 17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72" name="Text Box 17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73" name="Text Box 17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74" name="Text Box 17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75" name="Text Box 17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76" name="Text Box 17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77" name="Text Box 17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78" name="Text Box 17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79" name="Text Box 17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80" name="Text Box 17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81" name="Text Box 17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82" name="Text Box 17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83" name="Text Box 17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84" name="Text Box 17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85" name="Text Box 17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86" name="Text Box 17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87" name="Text Box 17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88" name="Text Box 17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89" name="Text Box 17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90" name="Text Box 17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91" name="Text Box 17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92" name="Text Box 17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93" name="Text Box 17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94" name="Text Box 17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95" name="Text Box 17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96" name="Text Box 17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97" name="Text Box 17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98" name="Text Box 17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599" name="Text Box 17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00" name="Text Box 17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01" name="Text Box 17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02" name="Text Box 17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03" name="Text Box 17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04" name="Text Box 17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05" name="Text Box 17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06" name="Text Box 17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07" name="Text Box 17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08" name="Text Box 17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09" name="Text Box 17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10" name="Text Box 17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11" name="Text Box 17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12" name="Text Box 17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13" name="Text Box 17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14" name="Text Box 17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15" name="Text Box 17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16" name="Text Box 17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17" name="Text Box 17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18" name="Text Box 17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19" name="Text Box 17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20" name="Text Box 17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21" name="Text Box 17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22" name="Text Box 17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23" name="Text Box 17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24" name="Text Box 17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25" name="Text Box 17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26" name="Text Box 17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27" name="Text Box 17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28" name="Text Box 17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29" name="Text Box 17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30" name="Text Box 17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31" name="Text Box 17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32" name="Text Box 18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33" name="Text Box 18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34" name="Text Box 18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35" name="Text Box 18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36" name="Text Box 18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37" name="Text Box 18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38" name="Text Box 18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39" name="Text Box 18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40" name="Text Box 18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41" name="Text Box 18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42" name="Text Box 18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43" name="Text Box 18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44" name="Text Box 18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45" name="Text Box 18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46" name="Text Box 18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47" name="Text Box 18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48" name="Text Box 18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49" name="Text Box 18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50" name="Text Box 18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51" name="Text Box 18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52" name="Text Box 18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53" name="Text Box 18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54" name="Text Box 18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55" name="Text Box 18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56" name="Text Box 18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57" name="Text Box 18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58" name="Text Box 18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59" name="Text Box 18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60" name="Text Box 18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61" name="Text Box 18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62" name="Text Box 18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63" name="Text Box 18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64" name="Text Box 18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65" name="Text Box 18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66" name="Text Box 18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67" name="Text Box 18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68" name="Text Box 18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69" name="Text Box 18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70" name="Text Box 18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71" name="Text Box 18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72" name="Text Box 18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73" name="Text Box 18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74" name="Text Box 18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75" name="Text Box 18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76" name="Text Box 18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77" name="Text Box 18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78" name="Text Box 18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79" name="Text Box 18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80" name="Text Box 18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81" name="Text Box 18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82" name="Text Box 18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83" name="Text Box 18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84" name="Text Box 18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85" name="Text Box 18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86" name="Text Box 18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87" name="Text Box 18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88" name="Text Box 18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89" name="Text Box 18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90" name="Text Box 18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91" name="Text Box 18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92" name="Text Box 18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93" name="Text Box 18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94" name="Text Box 18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95" name="Text Box 18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96" name="Text Box 18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97" name="Text Box 18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98" name="Text Box 18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699" name="Text Box 18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00" name="Text Box 18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01" name="Text Box 18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02" name="Text Box 18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03" name="Text Box 18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04" name="Text Box 18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05" name="Text Box 18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06" name="Text Box 18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07" name="Text Box 18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08" name="Text Box 18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09" name="Text Box 18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10" name="Text Box 18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11" name="Text Box 18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12" name="Text Box 18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13" name="Text Box 18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14" name="Text Box 18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15" name="Text Box 18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16" name="Text Box 18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17" name="Text Box 18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18" name="Text Box 18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19" name="Text Box 18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20" name="Text Box 18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21" name="Text Box 18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22" name="Text Box 18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23" name="Text Box 18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24" name="Text Box 18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25" name="Text Box 18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26" name="Text Box 18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27" name="Text Box 18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28" name="Text Box 18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29" name="Text Box 18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30" name="Text Box 18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31" name="Text Box 18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32" name="Text Box 19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33" name="Text Box 19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34" name="Text Box 19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35" name="Text Box 19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36" name="Text Box 19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37" name="Text Box 19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38" name="Text Box 19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39" name="Text Box 19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40" name="Text Box 19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41" name="Text Box 19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42" name="Text Box 19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43" name="Text Box 19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44" name="Text Box 19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45" name="Text Box 19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46" name="Text Box 19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47" name="Text Box 19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48" name="Text Box 19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49" name="Text Box 19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50" name="Text Box 19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51" name="Text Box 19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52" name="Text Box 19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53" name="Text Box 19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54" name="Text Box 19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55" name="Text Box 19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56" name="Text Box 19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57" name="Text Box 19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58" name="Text Box 19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59" name="Text Box 19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60" name="Text Box 19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61" name="Text Box 19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62" name="Text Box 19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63" name="Text Box 19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64" name="Text Box 19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65" name="Text Box 19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66" name="Text Box 19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67" name="Text Box 19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68" name="Text Box 19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69" name="Text Box 19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70" name="Text Box 19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71" name="Text Box 19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72" name="Text Box 19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73" name="Text Box 19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74" name="Text Box 19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75" name="Text Box 19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76" name="Text Box 19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77" name="Text Box 19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78" name="Text Box 19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79" name="Text Box 19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80" name="Text Box 19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81" name="Text Box 19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82" name="Text Box 19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83" name="Text Box 19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84" name="Text Box 19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85" name="Text Box 19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86" name="Text Box 19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87" name="Text Box 19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88" name="Text Box 19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89" name="Text Box 19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90" name="Text Box 19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91" name="Text Box 19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92" name="Text Box 19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93" name="Text Box 19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94" name="Text Box 19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95" name="Text Box 19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96" name="Text Box 19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97" name="Text Box 19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98" name="Text Box 19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799" name="Text Box 19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00" name="Text Box 19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01" name="Text Box 19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02" name="Text Box 19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03" name="Text Box 19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04" name="Text Box 19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05" name="Text Box 19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06" name="Text Box 19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07" name="Text Box 19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08" name="Text Box 19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09" name="Text Box 19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10" name="Text Box 19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11" name="Text Box 19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12" name="Text Box 19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13" name="Text Box 19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14" name="Text Box 19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15" name="Text Box 19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16" name="Text Box 19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17" name="Text Box 19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18" name="Text Box 19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19" name="Text Box 19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20" name="Text Box 19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21" name="Text Box 19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22" name="Text Box 19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23" name="Text Box 19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24" name="Text Box 19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25" name="Text Box 19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26" name="Text Box 19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27" name="Text Box 19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28" name="Text Box 19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29" name="Text Box 19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30" name="Text Box 19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31" name="Text Box 19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32" name="Text Box 20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33" name="Text Box 20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34" name="Text Box 20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35" name="Text Box 20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36" name="Text Box 20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37" name="Text Box 20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38" name="Text Box 20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39" name="Text Box 20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40" name="Text Box 20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41" name="Text Box 20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42" name="Text Box 20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43" name="Text Box 20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44" name="Text Box 20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45" name="Text Box 20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46" name="Text Box 20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47" name="Text Box 20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48" name="Text Box 20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49" name="Text Box 20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50" name="Text Box 20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51" name="Text Box 20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52" name="Text Box 20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53" name="Text Box 20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54" name="Text Box 20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55" name="Text Box 20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56" name="Text Box 20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57" name="Text Box 20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58" name="Text Box 20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59" name="Text Box 20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60" name="Text Box 20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61" name="Text Box 20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62" name="Text Box 20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63" name="Text Box 20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64" name="Text Box 20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65" name="Text Box 20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66" name="Text Box 20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67" name="Text Box 20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68" name="Text Box 20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69" name="Text Box 20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70" name="Text Box 20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71" name="Text Box 20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72" name="Text Box 20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73" name="Text Box 20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74" name="Text Box 20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75" name="Text Box 20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76" name="Text Box 20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77" name="Text Box 20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78" name="Text Box 20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79" name="Text Box 20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80" name="Text Box 20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81" name="Text Box 20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82" name="Text Box 20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83" name="Text Box 20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84" name="Text Box 20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85" name="Text Box 20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86" name="Text Box 20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87" name="Text Box 20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88" name="Text Box 20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89" name="Text Box 20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90" name="Text Box 20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91" name="Text Box 20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92" name="Text Box 20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93" name="Text Box 20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94" name="Text Box 20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95" name="Text Box 20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96" name="Text Box 20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97" name="Text Box 20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98" name="Text Box 20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899" name="Text Box 20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00" name="Text Box 20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01" name="Text Box 20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02" name="Text Box 20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03" name="Text Box 20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04" name="Text Box 20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05" name="Text Box 20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06" name="Text Box 20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07" name="Text Box 20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08" name="Text Box 20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09" name="Text Box 20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10" name="Text Box 20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11" name="Text Box 20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12" name="Text Box 20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13" name="Text Box 20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14" name="Text Box 20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15" name="Text Box 20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16" name="Text Box 20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17" name="Text Box 20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18" name="Text Box 20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19" name="Text Box 20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20" name="Text Box 20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21" name="Text Box 20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22" name="Text Box 20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23" name="Text Box 20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24" name="Text Box 20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25" name="Text Box 20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26" name="Text Box 20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27" name="Text Box 20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28" name="Text Box 20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29" name="Text Box 20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30" name="Text Box 20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31" name="Text Box 20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32" name="Text Box 21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33" name="Text Box 21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34" name="Text Box 21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35" name="Text Box 21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36" name="Text Box 21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37" name="Text Box 21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38" name="Text Box 21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39" name="Text Box 21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40" name="Text Box 21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41" name="Text Box 21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42" name="Text Box 21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43" name="Text Box 21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44" name="Text Box 21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45" name="Text Box 21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46" name="Text Box 21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47" name="Text Box 21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48" name="Text Box 21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49" name="Text Box 21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50" name="Text Box 21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51" name="Text Box 21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52" name="Text Box 21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53" name="Text Box 21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54" name="Text Box 21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55" name="Text Box 21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56" name="Text Box 21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57" name="Text Box 21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58" name="Text Box 21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59" name="Text Box 21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60" name="Text Box 21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61" name="Text Box 21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62" name="Text Box 21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63" name="Text Box 21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64" name="Text Box 21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65" name="Text Box 21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66" name="Text Box 21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67" name="Text Box 21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68" name="Text Box 21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69" name="Text Box 21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70" name="Text Box 21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71" name="Text Box 21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72" name="Text Box 21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73" name="Text Box 21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74" name="Text Box 21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75" name="Text Box 21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76" name="Text Box 21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77" name="Text Box 21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78" name="Text Box 21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79" name="Text Box 21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80" name="Text Box 21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81" name="Text Box 21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82" name="Text Box 21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83" name="Text Box 21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84" name="Text Box 21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85" name="Text Box 21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86" name="Text Box 21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87" name="Text Box 21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88" name="Text Box 21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89" name="Text Box 21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90" name="Text Box 21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91" name="Text Box 21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92" name="Text Box 21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93" name="Text Box 21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94" name="Text Box 21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95" name="Text Box 21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96" name="Text Box 21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97" name="Text Box 21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98" name="Text Box 21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999" name="Text Box 21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00" name="Text Box 21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01" name="Text Box 21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02" name="Text Box 21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03" name="Text Box 21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04" name="Text Box 21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05" name="Text Box 21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06" name="Text Box 21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07" name="Text Box 21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08" name="Text Box 21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09" name="Text Box 21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10" name="Text Box 21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11" name="Text Box 21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12" name="Text Box 21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13" name="Text Box 21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14" name="Text Box 21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15" name="Text Box 21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16" name="Text Box 21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17" name="Text Box 21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18" name="Text Box 21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19" name="Text Box 21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20" name="Text Box 21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21" name="Text Box 21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22" name="Text Box 21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23" name="Text Box 21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24" name="Text Box 21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25" name="Text Box 21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26" name="Text Box 21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27" name="Text Box 21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28" name="Text Box 21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29" name="Text Box 21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30" name="Text Box 21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31" name="Text Box 21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32" name="Text Box 22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33" name="Text Box 22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34" name="Text Box 22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35" name="Text Box 22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36" name="Text Box 22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37" name="Text Box 22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38" name="Text Box 22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39" name="Text Box 22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40" name="Text Box 22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41" name="Text Box 22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42" name="Text Box 22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43" name="Text Box 22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44" name="Text Box 22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45" name="Text Box 22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46" name="Text Box 22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47" name="Text Box 22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48" name="Text Box 22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49" name="Text Box 22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50" name="Text Box 22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51" name="Text Box 22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52" name="Text Box 22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53" name="Text Box 22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54" name="Text Box 22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55" name="Text Box 22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56" name="Text Box 22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57" name="Text Box 22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58" name="Text Box 22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59" name="Text Box 22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60" name="Text Box 22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61" name="Text Box 22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62" name="Text Box 22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63" name="Text Box 22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64" name="Text Box 22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65" name="Text Box 22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66" name="Text Box 22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67" name="Text Box 22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68" name="Text Box 22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69" name="Text Box 22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70" name="Text Box 22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71" name="Text Box 22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72" name="Text Box 22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73" name="Text Box 22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74" name="Text Box 22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75" name="Text Box 22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76" name="Text Box 22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77" name="Text Box 22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78" name="Text Box 22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79" name="Text Box 22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80" name="Text Box 22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81" name="Text Box 22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82" name="Text Box 22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83" name="Text Box 22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84" name="Text Box 22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85" name="Text Box 22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86" name="Text Box 22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87" name="Text Box 22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88" name="Text Box 22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89" name="Text Box 22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90" name="Text Box 22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91" name="Text Box 22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92" name="Text Box 22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93" name="Text Box 22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94" name="Text Box 22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95" name="Text Box 22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96" name="Text Box 22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97" name="Text Box 22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98" name="Text Box 22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099" name="Text Box 22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00" name="Text Box 22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01" name="Text Box 22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02" name="Text Box 22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03" name="Text Box 22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04" name="Text Box 22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05" name="Text Box 22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06" name="Text Box 22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07" name="Text Box 22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08" name="Text Box 22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09" name="Text Box 22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10" name="Text Box 22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11" name="Text Box 22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12" name="Text Box 22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13" name="Text Box 22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14" name="Text Box 22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15" name="Text Box 22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16" name="Text Box 22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17" name="Text Box 22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18" name="Text Box 22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19" name="Text Box 22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20" name="Text Box 22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21" name="Text Box 22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22" name="Text Box 22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23" name="Text Box 22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24" name="Text Box 22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25" name="Text Box 22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26" name="Text Box 22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27" name="Text Box 22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28" name="Text Box 22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29" name="Text Box 22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30" name="Text Box 22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31" name="Text Box 22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32" name="Text Box 23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33" name="Text Box 23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34" name="Text Box 23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35" name="Text Box 23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36" name="Text Box 23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37" name="Text Box 23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38" name="Text Box 23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39" name="Text Box 23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40" name="Text Box 23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41" name="Text Box 23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42" name="Text Box 23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43" name="Text Box 23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44" name="Text Box 23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45" name="Text Box 23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46" name="Text Box 23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47" name="Text Box 23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48" name="Text Box 23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49" name="Text Box 23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50" name="Text Box 23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51" name="Text Box 23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52" name="Text Box 23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53" name="Text Box 23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54" name="Text Box 23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55" name="Text Box 23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56" name="Text Box 23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57" name="Text Box 23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58" name="Text Box 23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59" name="Text Box 23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60" name="Text Box 23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61" name="Text Box 23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62" name="Text Box 23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63" name="Text Box 23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64" name="Text Box 23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65" name="Text Box 23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66" name="Text Box 23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67" name="Text Box 23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68" name="Text Box 23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69" name="Text Box 23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70" name="Text Box 23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71" name="Text Box 23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72" name="Text Box 23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73" name="Text Box 23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74" name="Text Box 23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75" name="Text Box 23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76" name="Text Box 23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77" name="Text Box 23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78" name="Text Box 23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79" name="Text Box 23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80" name="Text Box 23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81" name="Text Box 23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82" name="Text Box 23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83" name="Text Box 23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84" name="Text Box 23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85" name="Text Box 23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86" name="Text Box 23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87" name="Text Box 23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88" name="Text Box 23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89" name="Text Box 23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90" name="Text Box 23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91" name="Text Box 23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92" name="Text Box 23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93" name="Text Box 23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94" name="Text Box 23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95" name="Text Box 23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96" name="Text Box 23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97" name="Text Box 23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98" name="Text Box 23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199" name="Text Box 23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00" name="Text Box 23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01" name="Text Box 23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02" name="Text Box 23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03" name="Text Box 23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04" name="Text Box 23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05" name="Text Box 23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06" name="Text Box 23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07" name="Text Box 23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08" name="Text Box 23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09" name="Text Box 23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10" name="Text Box 23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11" name="Text Box 23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12" name="Text Box 23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13" name="Text Box 23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14" name="Text Box 23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15" name="Text Box 23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16" name="Text Box 23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17" name="Text Box 23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18" name="Text Box 23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19" name="Text Box 23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20" name="Text Box 23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21" name="Text Box 23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22" name="Text Box 23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23" name="Text Box 23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24" name="Text Box 23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25" name="Text Box 23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26" name="Text Box 23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27" name="Text Box 23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28" name="Text Box 23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29" name="Text Box 23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30" name="Text Box 23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31" name="Text Box 23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32" name="Text Box 24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33" name="Text Box 24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34" name="Text Box 24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35" name="Text Box 24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36" name="Text Box 24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37" name="Text Box 24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38" name="Text Box 24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39" name="Text Box 24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40" name="Text Box 24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41" name="Text Box 24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42" name="Text Box 24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43" name="Text Box 24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44" name="Text Box 24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45" name="Text Box 24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46" name="Text Box 24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47" name="Text Box 24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48" name="Text Box 24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49" name="Text Box 24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50" name="Text Box 24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51" name="Text Box 24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52" name="Text Box 24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53" name="Text Box 24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54" name="Text Box 24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55" name="Text Box 24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56" name="Text Box 24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57" name="Text Box 24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58" name="Text Box 24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59" name="Text Box 24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60" name="Text Box 24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61" name="Text Box 24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62" name="Text Box 24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63" name="Text Box 24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64" name="Text Box 24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65" name="Text Box 24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66" name="Text Box 24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67" name="Text Box 24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68" name="Text Box 24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69" name="Text Box 24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70" name="Text Box 24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71" name="Text Box 24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72" name="Text Box 24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73" name="Text Box 24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74" name="Text Box 24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75" name="Text Box 24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76" name="Text Box 24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77" name="Text Box 24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78" name="Text Box 24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79" name="Text Box 24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80" name="Text Box 24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81" name="Text Box 24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82" name="Text Box 24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83" name="Text Box 24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84" name="Text Box 24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85" name="Text Box 24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86" name="Text Box 24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87" name="Text Box 24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88" name="Text Box 24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89" name="Text Box 24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90" name="Text Box 24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91" name="Text Box 24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92" name="Text Box 24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93" name="Text Box 24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94" name="Text Box 24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95" name="Text Box 24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96" name="Text Box 24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97" name="Text Box 24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98" name="Text Box 24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299" name="Text Box 24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00" name="Text Box 24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01" name="Text Box 24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02" name="Text Box 24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03" name="Text Box 24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04" name="Text Box 24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05" name="Text Box 24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06" name="Text Box 24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07" name="Text Box 24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08" name="Text Box 24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09" name="Text Box 24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10" name="Text Box 24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11" name="Text Box 24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12" name="Text Box 24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13" name="Text Box 24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14" name="Text Box 24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15" name="Text Box 24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16" name="Text Box 24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17" name="Text Box 24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18" name="Text Box 24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19" name="Text Box 24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20" name="Text Box 24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21" name="Text Box 24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22" name="Text Box 24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23" name="Text Box 24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24" name="Text Box 24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25" name="Text Box 24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26" name="Text Box 24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27" name="Text Box 24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28" name="Text Box 24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29" name="Text Box 24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30" name="Text Box 24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31" name="Text Box 24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32" name="Text Box 25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33" name="Text Box 25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34" name="Text Box 25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35" name="Text Box 25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36" name="Text Box 25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37" name="Text Box 25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38" name="Text Box 25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39" name="Text Box 25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40" name="Text Box 25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41" name="Text Box 25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42" name="Text Box 25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43" name="Text Box 25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44" name="Text Box 25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45" name="Text Box 25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46" name="Text Box 25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47" name="Text Box 25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48" name="Text Box 25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49" name="Text Box 25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50" name="Text Box 25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51" name="Text Box 25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52" name="Text Box 25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53" name="Text Box 25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54" name="Text Box 25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55" name="Text Box 25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56" name="Text Box 25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57" name="Text Box 25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58" name="Text Box 25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59" name="Text Box 25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60" name="Text Box 25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61" name="Text Box 25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62" name="Text Box 25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63" name="Text Box 25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64" name="Text Box 25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65" name="Text Box 25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66" name="Text Box 25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67" name="Text Box 25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68" name="Text Box 25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69" name="Text Box 25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70" name="Text Box 25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71" name="Text Box 25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72" name="Text Box 25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73" name="Text Box 25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74" name="Text Box 25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75" name="Text Box 25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76" name="Text Box 25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77" name="Text Box 25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78" name="Text Box 25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79" name="Text Box 25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80" name="Text Box 25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81" name="Text Box 25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82" name="Text Box 25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83" name="Text Box 25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84" name="Text Box 25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85" name="Text Box 25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86" name="Text Box 25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87" name="Text Box 25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88" name="Text Box 25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89" name="Text Box 25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90" name="Text Box 25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91" name="Text Box 25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92" name="Text Box 25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93" name="Text Box 25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94" name="Text Box 25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95" name="Text Box 25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96" name="Text Box 25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97" name="Text Box 25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98" name="Text Box 25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399" name="Text Box 25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00" name="Text Box 25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01" name="Text Box 25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02" name="Text Box 25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03" name="Text Box 25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04" name="Text Box 25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05" name="Text Box 25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06" name="Text Box 25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07" name="Text Box 25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08" name="Text Box 25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09" name="Text Box 25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10" name="Text Box 25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11" name="Text Box 25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12" name="Text Box 25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13" name="Text Box 25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14" name="Text Box 25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15" name="Text Box 25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16" name="Text Box 25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17" name="Text Box 25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18" name="Text Box 25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19" name="Text Box 25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20" name="Text Box 25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21" name="Text Box 25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22" name="Text Box 25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23" name="Text Box 25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24" name="Text Box 25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25" name="Text Box 25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26" name="Text Box 25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27" name="Text Box 25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28" name="Text Box 25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29" name="Text Box 25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30" name="Text Box 25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31" name="Text Box 25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32" name="Text Box 26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33" name="Text Box 26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34" name="Text Box 26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35" name="Text Box 26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36" name="Text Box 26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37" name="Text Box 26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38" name="Text Box 26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39" name="Text Box 26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40" name="Text Box 26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41" name="Text Box 26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42" name="Text Box 26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43" name="Text Box 26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44" name="Text Box 26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45" name="Text Box 26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46" name="Text Box 26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47" name="Text Box 26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48" name="Text Box 26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49" name="Text Box 26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50" name="Text Box 26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51" name="Text Box 26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52" name="Text Box 26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53" name="Text Box 26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54" name="Text Box 26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55" name="Text Box 26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56" name="Text Box 26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57" name="Text Box 26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58" name="Text Box 26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59" name="Text Box 26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60" name="Text Box 26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61" name="Text Box 26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62" name="Text Box 26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63" name="Text Box 26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64" name="Text Box 26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65" name="Text Box 26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66" name="Text Box 26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67" name="Text Box 26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68" name="Text Box 26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69" name="Text Box 26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70" name="Text Box 26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71" name="Text Box 26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72" name="Text Box 26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73" name="Text Box 26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74" name="Text Box 26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75" name="Text Box 26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76" name="Text Box 26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77" name="Text Box 26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78" name="Text Box 26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79" name="Text Box 26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80" name="Text Box 26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81" name="Text Box 26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82" name="Text Box 26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83" name="Text Box 26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84" name="Text Box 26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85" name="Text Box 26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86" name="Text Box 26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87" name="Text Box 26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88" name="Text Box 26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89" name="Text Box 26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90" name="Text Box 26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91" name="Text Box 26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92" name="Text Box 26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93" name="Text Box 26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94" name="Text Box 26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95" name="Text Box 26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96" name="Text Box 26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97" name="Text Box 26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98" name="Text Box 26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499" name="Text Box 26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00" name="Text Box 26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01" name="Text Box 26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02" name="Text Box 26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03" name="Text Box 26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04" name="Text Box 26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05" name="Text Box 26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06" name="Text Box 26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07" name="Text Box 26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08" name="Text Box 26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09" name="Text Box 26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10" name="Text Box 26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11" name="Text Box 26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12" name="Text Box 26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13" name="Text Box 26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14" name="Text Box 26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15" name="Text Box 26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16" name="Text Box 26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17" name="Text Box 26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18" name="Text Box 26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19" name="Text Box 26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20" name="Text Box 26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21" name="Text Box 26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22" name="Text Box 26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23" name="Text Box 26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24" name="Text Box 26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25" name="Text Box 26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26" name="Text Box 26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27" name="Text Box 26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28" name="Text Box 26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29" name="Text Box 26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30" name="Text Box 26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31" name="Text Box 26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32" name="Text Box 27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33" name="Text Box 27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34" name="Text Box 27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35" name="Text Box 27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36" name="Text Box 27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37" name="Text Box 27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38" name="Text Box 27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39" name="Text Box 27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40" name="Text Box 27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41" name="Text Box 27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42" name="Text Box 27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43" name="Text Box 27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44" name="Text Box 27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45" name="Text Box 27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46" name="Text Box 27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47" name="Text Box 27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48" name="Text Box 27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49" name="Text Box 27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50" name="Text Box 27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51" name="Text Box 27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52" name="Text Box 27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53" name="Text Box 27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54" name="Text Box 27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55" name="Text Box 27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56" name="Text Box 27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57" name="Text Box 27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58" name="Text Box 27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59" name="Text Box 27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60" name="Text Box 27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61" name="Text Box 27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62" name="Text Box 27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63" name="Text Box 27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64" name="Text Box 27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65" name="Text Box 27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66" name="Text Box 27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67" name="Text Box 27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68" name="Text Box 27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69" name="Text Box 27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70" name="Text Box 27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71" name="Text Box 27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72" name="Text Box 27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73" name="Text Box 27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74" name="Text Box 27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75" name="Text Box 27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76" name="Text Box 27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77" name="Text Box 27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78" name="Text Box 27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79" name="Text Box 27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80" name="Text Box 27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81" name="Text Box 27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82" name="Text Box 27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83" name="Text Box 27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84" name="Text Box 27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85" name="Text Box 27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86" name="Text Box 27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87" name="Text Box 27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88" name="Text Box 27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89" name="Text Box 27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90" name="Text Box 27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91" name="Text Box 27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92" name="Text Box 27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93" name="Text Box 27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94" name="Text Box 27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95" name="Text Box 27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96" name="Text Box 27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97" name="Text Box 27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98" name="Text Box 27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599" name="Text Box 27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00" name="Text Box 27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01" name="Text Box 27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02" name="Text Box 27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03" name="Text Box 27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04" name="Text Box 27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05" name="Text Box 27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06" name="Text Box 27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07" name="Text Box 27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08" name="Text Box 27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09" name="Text Box 27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10" name="Text Box 27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11" name="Text Box 27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12" name="Text Box 27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13" name="Text Box 27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14" name="Text Box 27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15" name="Text Box 27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16" name="Text Box 27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17" name="Text Box 27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18" name="Text Box 27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19" name="Text Box 27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20" name="Text Box 27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21" name="Text Box 27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22" name="Text Box 27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23" name="Text Box 27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24" name="Text Box 27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25" name="Text Box 27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26" name="Text Box 27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27" name="Text Box 27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28" name="Text Box 27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29" name="Text Box 27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30" name="Text Box 27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31" name="Text Box 27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32" name="Text Box 28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33" name="Text Box 28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34" name="Text Box 28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35" name="Text Box 28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36" name="Text Box 28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37" name="Text Box 28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38" name="Text Box 28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39" name="Text Box 28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40" name="Text Box 28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41" name="Text Box 28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42" name="Text Box 28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43" name="Text Box 28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44" name="Text Box 28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45" name="Text Box 28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46" name="Text Box 28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47" name="Text Box 28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48" name="Text Box 28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49" name="Text Box 28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50" name="Text Box 28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51" name="Text Box 28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52" name="Text Box 28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53" name="Text Box 28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54" name="Text Box 28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55" name="Text Box 28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56" name="Text Box 28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57" name="Text Box 28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58" name="Text Box 28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59" name="Text Box 28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60" name="Text Box 28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61" name="Text Box 28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62" name="Text Box 28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63" name="Text Box 28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64" name="Text Box 28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65" name="Text Box 28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66" name="Text Box 28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67" name="Text Box 28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68" name="Text Box 28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69" name="Text Box 28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70" name="Text Box 28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71" name="Text Box 28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72" name="Text Box 28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73" name="Text Box 28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74" name="Text Box 28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75" name="Text Box 28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76" name="Text Box 28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77" name="Text Box 28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78" name="Text Box 28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79" name="Text Box 28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80" name="Text Box 28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81" name="Text Box 28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82" name="Text Box 28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83" name="Text Box 28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84" name="Text Box 28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85" name="Text Box 28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86" name="Text Box 28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87" name="Text Box 28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88" name="Text Box 28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89" name="Text Box 28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90" name="Text Box 28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91" name="Text Box 28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92" name="Text Box 28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93" name="Text Box 28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94" name="Text Box 28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95" name="Text Box 28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96" name="Text Box 28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97" name="Text Box 28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98" name="Text Box 28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699" name="Text Box 28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00" name="Text Box 28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01" name="Text Box 28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02" name="Text Box 28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03" name="Text Box 28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04" name="Text Box 28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05" name="Text Box 28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06" name="Text Box 28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07" name="Text Box 28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08" name="Text Box 28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09" name="Text Box 28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10" name="Text Box 28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11" name="Text Box 28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12" name="Text Box 28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13" name="Text Box 28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14" name="Text Box 28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15" name="Text Box 28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16" name="Text Box 28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17" name="Text Box 28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18" name="Text Box 28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19" name="Text Box 28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20" name="Text Box 28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21" name="Text Box 28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22" name="Text Box 28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23" name="Text Box 28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24" name="Text Box 28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25" name="Text Box 28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26" name="Text Box 28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27" name="Text Box 28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28" name="Text Box 28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29" name="Text Box 28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30" name="Text Box 28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31" name="Text Box 28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32" name="Text Box 29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33" name="Text Box 29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34" name="Text Box 29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35" name="Text Box 29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36" name="Text Box 29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37" name="Text Box 29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38" name="Text Box 29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39" name="Text Box 29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40" name="Text Box 29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41" name="Text Box 29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42" name="Text Box 29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43" name="Text Box 29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44" name="Text Box 29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45" name="Text Box 29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46" name="Text Box 29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47" name="Text Box 29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48" name="Text Box 29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49" name="Text Box 29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50" name="Text Box 29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51" name="Text Box 29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52" name="Text Box 29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53" name="Text Box 29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54" name="Text Box 29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55" name="Text Box 29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56" name="Text Box 29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57" name="Text Box 29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58" name="Text Box 29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59" name="Text Box 29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60" name="Text Box 29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61" name="Text Box 29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62" name="Text Box 29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63" name="Text Box 29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64" name="Text Box 29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65" name="Text Box 29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66" name="Text Box 29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67" name="Text Box 29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68" name="Text Box 29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69" name="Text Box 29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70" name="Text Box 29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71" name="Text Box 29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72" name="Text Box 29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73" name="Text Box 29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74" name="Text Box 29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75" name="Text Box 29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76" name="Text Box 29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77" name="Text Box 29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78" name="Text Box 29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79" name="Text Box 29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80" name="Text Box 29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81" name="Text Box 29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82" name="Text Box 29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83" name="Text Box 29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84" name="Text Box 29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85" name="Text Box 29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86" name="Text Box 29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87" name="Text Box 29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88" name="Text Box 29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89" name="Text Box 29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90" name="Text Box 29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91" name="Text Box 29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92" name="Text Box 29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93" name="Text Box 29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94" name="Text Box 29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95" name="Text Box 29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96" name="Text Box 29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97" name="Text Box 29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98" name="Text Box 29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799" name="Text Box 29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00" name="Text Box 29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01" name="Text Box 29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02" name="Text Box 29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03" name="Text Box 29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04" name="Text Box 29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05" name="Text Box 29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06" name="Text Box 29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07" name="Text Box 29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08" name="Text Box 29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09" name="Text Box 29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10" name="Text Box 29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11" name="Text Box 29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12" name="Text Box 29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13" name="Text Box 29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14" name="Text Box 29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15" name="Text Box 29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16" name="Text Box 29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17" name="Text Box 29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18" name="Text Box 29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19" name="Text Box 29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20" name="Text Box 29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21" name="Text Box 29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22" name="Text Box 29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23" name="Text Box 29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24" name="Text Box 29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25" name="Text Box 29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26" name="Text Box 29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27" name="Text Box 29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28" name="Text Box 29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29" name="Text Box 29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101</xdr:col>
      <xdr:colOff>76200</xdr:colOff>
      <xdr:row>4</xdr:row>
      <xdr:rowOff>19050</xdr:rowOff>
    </xdr:to>
    <xdr:sp macro="" textlink="">
      <xdr:nvSpPr>
        <xdr:cNvPr id="1830" name="Text Box 29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180975</xdr:colOff>
      <xdr:row>13</xdr:row>
      <xdr:rowOff>95250</xdr:rowOff>
    </xdr:from>
    <xdr:to>
      <xdr:col>15</xdr:col>
      <xdr:colOff>685800</xdr:colOff>
      <xdr:row>16</xdr:row>
      <xdr:rowOff>66675</xdr:rowOff>
    </xdr:to>
    <xdr:sp macro="" textlink="">
      <xdr:nvSpPr>
        <xdr:cNvPr id="7258" name="AutoShape 90"/>
        <xdr:cNvSpPr>
          <a:spLocks/>
        </xdr:cNvSpPr>
      </xdr:nvSpPr>
      <xdr:spPr bwMode="auto">
        <a:xfrm>
          <a:off x="5114925" y="3171825"/>
          <a:ext cx="1905000" cy="542925"/>
        </a:xfrm>
        <a:prstGeom prst="borderCallout1">
          <a:avLst>
            <a:gd name="adj1" fmla="val 21051"/>
            <a:gd name="adj2" fmla="val -4000"/>
            <a:gd name="adj3" fmla="val 85963"/>
            <a:gd name="adj4" fmla="val -82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登録データの登録番号から学年までをコピーし張付けて下さい。、白枠内のみに値のみで張り付ける事</a:t>
          </a:r>
        </a:p>
      </xdr:txBody>
    </xdr:sp>
    <xdr:clientData fPrintsWithSheet="0"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" name="Text Box 11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" name="Text Box 11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" name="Text Box 11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" name="Text Box 11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" name="Text Box 11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" name="Text Box 11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" name="Text Box 11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" name="Text Box 11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" name="Text Box 11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" name="Text Box 11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" name="Text Box 11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" name="Text Box 11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" name="Text Box 11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" name="Text Box 11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" name="Text Box 11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" name="Text Box 11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" name="Text Box 11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" name="Text Box 11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" name="Text Box 11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" name="Text Box 11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" name="Text Box 11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" name="Text Box 11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" name="Text Box 11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" name="Text Box 11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" name="Text Box 11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" name="Text Box 11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" name="Text Box 11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" name="Text Box 11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" name="Text Box 11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" name="Text Box 12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" name="Text Box 12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" name="Text Box 12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" name="Text Box 12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" name="Text Box 12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7" name="Text Box 12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8" name="Text Box 12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9" name="Text Box 12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0" name="Text Box 12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1" name="Text Box 12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2" name="Text Box 12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3" name="Text Box 12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4" name="Text Box 12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5" name="Text Box 12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6" name="Text Box 12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7" name="Text Box 12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8" name="Text Box 12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9" name="Text Box 12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0" name="Text Box 12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1" name="Text Box 12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2" name="Text Box 12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3" name="Text Box 12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4" name="Text Box 12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5" name="Text Box 12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6" name="Text Box 12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7" name="Text Box 12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8" name="Text Box 12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9" name="Text Box 12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0" name="Text Box 12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1" name="Text Box 12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2" name="Text Box 12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3" name="Text Box 12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4" name="Text Box 12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5" name="Text Box 12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6" name="Text Box 12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7" name="Text Box 12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8" name="Text Box 12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9" name="Text Box 12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0" name="Text Box 12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1" name="Text Box 12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2" name="Text Box 12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3" name="Text Box 12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4" name="Text Box 12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5" name="Text Box 12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6" name="Text Box 12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7" name="Text Box 12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8" name="Text Box 12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9" name="Text Box 12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0" name="Text Box 12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1" name="Text Box 12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2" name="Text Box 12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3" name="Text Box 12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4" name="Text Box 12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5" name="Text Box 12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6" name="Text Box 12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7" name="Text Box 12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8" name="Text Box 12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9" name="Text Box 12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0" name="Text Box 12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1" name="Text Box 12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2" name="Text Box 12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3" name="Text Box 12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4" name="Text Box 12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5" name="Text Box 12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6" name="Text Box 12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7" name="Text Box 12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8" name="Text Box 12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9" name="Text Box 12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0" name="Text Box 12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1" name="Text Box 12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2" name="Text Box 12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3" name="Text Box 12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4" name="Text Box 12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5" name="Text Box 12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6" name="Text Box 12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7" name="Text Box 12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8" name="Text Box 12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9" name="Text Box 12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0" name="Text Box 12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1" name="Text Box 12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2" name="Text Box 12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3" name="Text Box 12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4" name="Text Box 12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5" name="Text Box 12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6" name="Text Box 12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7" name="Text Box 12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8" name="Text Box 12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9" name="Text Box 12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0" name="Text Box 12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1" name="Text Box 12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2" name="Text Box 12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3" name="Text Box 12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4" name="Text Box 12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5" name="Text Box 12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6" name="Text Box 12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7" name="Text Box 12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8" name="Text Box 12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9" name="Text Box 12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0" name="Text Box 12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1" name="Text Box 12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2" name="Text Box 13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3" name="Text Box 13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4" name="Text Box 13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5" name="Text Box 13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6" name="Text Box 13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7" name="Text Box 13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8" name="Text Box 13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9" name="Text Box 13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0" name="Text Box 13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1" name="Text Box 13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2" name="Text Box 13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3" name="Text Box 13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4" name="Text Box 13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5" name="Text Box 13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6" name="Text Box 13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7" name="Text Box 13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8" name="Text Box 13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9" name="Text Box 13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0" name="Text Box 13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1" name="Text Box 13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2" name="Text Box 13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3" name="Text Box 13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4" name="Text Box 13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5" name="Text Box 13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6" name="Text Box 13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7" name="Text Box 13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8" name="Text Box 13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9" name="Text Box 13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0" name="Text Box 13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1" name="Text Box 13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2" name="Text Box 13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3" name="Text Box 13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4" name="Text Box 13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5" name="Text Box 13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6" name="Text Box 13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7" name="Text Box 13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8" name="Text Box 13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9" name="Text Box 13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0" name="Text Box 13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1" name="Text Box 13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2" name="Text Box 13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3" name="Text Box 13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4" name="Text Box 13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5" name="Text Box 13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6" name="Text Box 13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7" name="Text Box 13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8" name="Text Box 13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9" name="Text Box 13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0" name="Text Box 13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1" name="Text Box 13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2" name="Text Box 13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3" name="Text Box 13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4" name="Text Box 13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5" name="Text Box 13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6" name="Text Box 13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7" name="Text Box 13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8" name="Text Box 13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9" name="Text Box 13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0" name="Text Box 13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1" name="Text Box 13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2" name="Text Box 13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3" name="Text Box 13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4" name="Text Box 13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5" name="Text Box 13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6" name="Text Box 13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7" name="Text Box 13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8" name="Text Box 13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9" name="Text Box 13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0" name="Text Box 13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1" name="Text Box 13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2" name="Text Box 13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3" name="Text Box 13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4" name="Text Box 13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5" name="Text Box 13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6" name="Text Box 13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7" name="Text Box 13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8" name="Text Box 13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9" name="Text Box 13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0" name="Text Box 13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1" name="Text Box 13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2" name="Text Box 13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3" name="Text Box 13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4" name="Text Box 13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5" name="Text Box 13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6" name="Text Box 13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7" name="Text Box 13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8" name="Text Box 13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9" name="Text Box 13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0" name="Text Box 13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1" name="Text Box 13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2" name="Text Box 13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3" name="Text Box 13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4" name="Text Box 13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5" name="Text Box 13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6" name="Text Box 13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7" name="Text Box 13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8" name="Text Box 13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9" name="Text Box 13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0" name="Text Box 13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1" name="Text Box 13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2" name="Text Box 14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3" name="Text Box 14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4" name="Text Box 14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5" name="Text Box 14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6" name="Text Box 14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7" name="Text Box 14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8" name="Text Box 14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9" name="Text Box 14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0" name="Text Box 14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1" name="Text Box 14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2" name="Text Box 14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3" name="Text Box 14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4" name="Text Box 14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5" name="Text Box 14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6" name="Text Box 14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7" name="Text Box 14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8" name="Text Box 14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9" name="Text Box 14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0" name="Text Box 14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1" name="Text Box 14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2" name="Text Box 14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3" name="Text Box 14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4" name="Text Box 14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5" name="Text Box 14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6" name="Text Box 14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7" name="Text Box 14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8" name="Text Box 14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9" name="Text Box 14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0" name="Text Box 14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1" name="Text Box 14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2" name="Text Box 14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3" name="Text Box 14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4" name="Text Box 14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5" name="Text Box 14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6" name="Text Box 14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7" name="Text Box 14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8" name="Text Box 14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9" name="Text Box 14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0" name="Text Box 14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1" name="Text Box 14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2" name="Text Box 14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3" name="Text Box 14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4" name="Text Box 14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5" name="Text Box 14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6" name="Text Box 14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7" name="Text Box 14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8" name="Text Box 14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9" name="Text Box 14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0" name="Text Box 14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1" name="Text Box 14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2" name="Text Box 14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3" name="Text Box 14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4" name="Text Box 14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5" name="Text Box 14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6" name="Text Box 14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7" name="Text Box 14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8" name="Text Box 14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9" name="Text Box 14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0" name="Text Box 14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1" name="Text Box 14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2" name="Text Box 14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3" name="Text Box 14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4" name="Text Box 14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5" name="Text Box 14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6" name="Text Box 14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7" name="Text Box 14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8" name="Text Box 14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9" name="Text Box 14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0" name="Text Box 14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1" name="Text Box 14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2" name="Text Box 14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3" name="Text Box 14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4" name="Text Box 14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5" name="Text Box 14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6" name="Text Box 14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7" name="Text Box 14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8" name="Text Box 14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9" name="Text Box 14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0" name="Text Box 14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1" name="Text Box 14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2" name="Text Box 14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3" name="Text Box 14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4" name="Text Box 14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5" name="Text Box 14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6" name="Text Box 14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7" name="Text Box 14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8" name="Text Box 14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9" name="Text Box 14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0" name="Text Box 14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1" name="Text Box 14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2" name="Text Box 14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3" name="Text Box 14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4" name="Text Box 14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5" name="Text Box 14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6" name="Text Box 14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7" name="Text Box 14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8" name="Text Box 14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9" name="Text Box 14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0" name="Text Box 14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1" name="Text Box 14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2" name="Text Box 15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3" name="Text Box 15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4" name="Text Box 15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5" name="Text Box 15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6" name="Text Box 15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7" name="Text Box 15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8" name="Text Box 15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9" name="Text Box 15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0" name="Text Box 15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1" name="Text Box 15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2" name="Text Box 15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3" name="Text Box 15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4" name="Text Box 15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5" name="Text Box 15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6" name="Text Box 15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7" name="Text Box 15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8" name="Text Box 15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9" name="Text Box 15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0" name="Text Box 15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1" name="Text Box 15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2" name="Text Box 15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3" name="Text Box 15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4" name="Text Box 15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5" name="Text Box 15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6" name="Text Box 15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7" name="Text Box 15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8" name="Text Box 15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9" name="Text Box 15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0" name="Text Box 15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1" name="Text Box 15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2" name="Text Box 15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3" name="Text Box 15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4" name="Text Box 15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5" name="Text Box 15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6" name="Text Box 15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7" name="Text Box 15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8" name="Text Box 15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9" name="Text Box 15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70" name="Text Box 15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71" name="Text Box 15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72" name="Text Box 15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73" name="Text Box 15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74" name="Text Box 15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75" name="Text Box 15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76" name="Text Box 15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77" name="Text Box 15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78" name="Text Box 15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79" name="Text Box 15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80" name="Text Box 15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81" name="Text Box 15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82" name="Text Box 15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83" name="Text Box 15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84" name="Text Box 15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85" name="Text Box 15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86" name="Text Box 15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87" name="Text Box 15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88" name="Text Box 15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89" name="Text Box 15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90" name="Text Box 15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91" name="Text Box 15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92" name="Text Box 15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93" name="Text Box 15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94" name="Text Box 15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95" name="Text Box 15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96" name="Text Box 15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97" name="Text Box 15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98" name="Text Box 15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99" name="Text Box 15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00" name="Text Box 15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01" name="Text Box 15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02" name="Text Box 15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03" name="Text Box 15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04" name="Text Box 15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05" name="Text Box 15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06" name="Text Box 15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07" name="Text Box 15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08" name="Text Box 15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09" name="Text Box 15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10" name="Text Box 15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11" name="Text Box 15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12" name="Text Box 15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13" name="Text Box 15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14" name="Text Box 15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15" name="Text Box 15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16" name="Text Box 15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17" name="Text Box 15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18" name="Text Box 15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19" name="Text Box 15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20" name="Text Box 15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21" name="Text Box 15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22" name="Text Box 15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23" name="Text Box 15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24" name="Text Box 15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25" name="Text Box 15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26" name="Text Box 15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27" name="Text Box 15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28" name="Text Box 15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29" name="Text Box 15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30" name="Text Box 15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31" name="Text Box 15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32" name="Text Box 16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33" name="Text Box 16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34" name="Text Box 16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35" name="Text Box 16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36" name="Text Box 16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37" name="Text Box 16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38" name="Text Box 16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39" name="Text Box 16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40" name="Text Box 16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41" name="Text Box 16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42" name="Text Box 16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43" name="Text Box 16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44" name="Text Box 16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45" name="Text Box 16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46" name="Text Box 16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47" name="Text Box 16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48" name="Text Box 16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49" name="Text Box 16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50" name="Text Box 16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51" name="Text Box 16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52" name="Text Box 16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53" name="Text Box 16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54" name="Text Box 16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55" name="Text Box 16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56" name="Text Box 16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57" name="Text Box 16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58" name="Text Box 16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59" name="Text Box 16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60" name="Text Box 16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61" name="Text Box 16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62" name="Text Box 16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63" name="Text Box 16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64" name="Text Box 16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65" name="Text Box 16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66" name="Text Box 16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67" name="Text Box 16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68" name="Text Box 16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69" name="Text Box 16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70" name="Text Box 16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71" name="Text Box 16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72" name="Text Box 16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73" name="Text Box 16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74" name="Text Box 16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75" name="Text Box 16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76" name="Text Box 16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77" name="Text Box 16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78" name="Text Box 16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79" name="Text Box 16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80" name="Text Box 16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81" name="Text Box 16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82" name="Text Box 16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83" name="Text Box 16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84" name="Text Box 16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85" name="Text Box 16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86" name="Text Box 16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87" name="Text Box 16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88" name="Text Box 16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89" name="Text Box 16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90" name="Text Box 16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91" name="Text Box 16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92" name="Text Box 16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93" name="Text Box 16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94" name="Text Box 16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95" name="Text Box 16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96" name="Text Box 16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97" name="Text Box 16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98" name="Text Box 16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499" name="Text Box 16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00" name="Text Box 16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01" name="Text Box 16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02" name="Text Box 16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03" name="Text Box 16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04" name="Text Box 16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05" name="Text Box 16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06" name="Text Box 16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07" name="Text Box 16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08" name="Text Box 16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09" name="Text Box 16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10" name="Text Box 16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11" name="Text Box 16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12" name="Text Box 16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13" name="Text Box 16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14" name="Text Box 16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15" name="Text Box 16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16" name="Text Box 16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17" name="Text Box 16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18" name="Text Box 16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19" name="Text Box 16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20" name="Text Box 16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21" name="Text Box 16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22" name="Text Box 16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23" name="Text Box 16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24" name="Text Box 16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25" name="Text Box 16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26" name="Text Box 16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27" name="Text Box 16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28" name="Text Box 16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29" name="Text Box 16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30" name="Text Box 16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31" name="Text Box 16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32" name="Text Box 17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33" name="Text Box 17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34" name="Text Box 17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35" name="Text Box 17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36" name="Text Box 17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37" name="Text Box 17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38" name="Text Box 17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39" name="Text Box 17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40" name="Text Box 17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41" name="Text Box 17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42" name="Text Box 17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43" name="Text Box 17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44" name="Text Box 17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45" name="Text Box 17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46" name="Text Box 17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47" name="Text Box 17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48" name="Text Box 17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49" name="Text Box 17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50" name="Text Box 17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51" name="Text Box 17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52" name="Text Box 17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53" name="Text Box 17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54" name="Text Box 17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55" name="Text Box 17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56" name="Text Box 17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57" name="Text Box 17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58" name="Text Box 17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59" name="Text Box 17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60" name="Text Box 17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61" name="Text Box 17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62" name="Text Box 17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63" name="Text Box 17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64" name="Text Box 17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65" name="Text Box 17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66" name="Text Box 17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67" name="Text Box 17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68" name="Text Box 17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69" name="Text Box 17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70" name="Text Box 17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71" name="Text Box 17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72" name="Text Box 17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73" name="Text Box 17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74" name="Text Box 17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75" name="Text Box 17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76" name="Text Box 17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77" name="Text Box 17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78" name="Text Box 17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79" name="Text Box 17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80" name="Text Box 17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81" name="Text Box 17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82" name="Text Box 17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83" name="Text Box 17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84" name="Text Box 17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85" name="Text Box 17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86" name="Text Box 17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87" name="Text Box 17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88" name="Text Box 17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89" name="Text Box 17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90" name="Text Box 17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91" name="Text Box 17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92" name="Text Box 17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93" name="Text Box 17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94" name="Text Box 17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95" name="Text Box 17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96" name="Text Box 17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97" name="Text Box 17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98" name="Text Box 17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599" name="Text Box 17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00" name="Text Box 17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01" name="Text Box 17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02" name="Text Box 17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03" name="Text Box 17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04" name="Text Box 17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05" name="Text Box 17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06" name="Text Box 17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07" name="Text Box 17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08" name="Text Box 17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09" name="Text Box 17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10" name="Text Box 17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11" name="Text Box 17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12" name="Text Box 17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13" name="Text Box 17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14" name="Text Box 17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15" name="Text Box 17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16" name="Text Box 17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17" name="Text Box 17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18" name="Text Box 17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19" name="Text Box 17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20" name="Text Box 17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21" name="Text Box 17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22" name="Text Box 17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23" name="Text Box 17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24" name="Text Box 17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25" name="Text Box 17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26" name="Text Box 17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27" name="Text Box 17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28" name="Text Box 17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29" name="Text Box 17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30" name="Text Box 17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31" name="Text Box 17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32" name="Text Box 18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33" name="Text Box 18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34" name="Text Box 18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35" name="Text Box 18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36" name="Text Box 18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37" name="Text Box 18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38" name="Text Box 18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39" name="Text Box 18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40" name="Text Box 18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41" name="Text Box 18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42" name="Text Box 18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43" name="Text Box 18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44" name="Text Box 18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45" name="Text Box 18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46" name="Text Box 18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47" name="Text Box 18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48" name="Text Box 18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49" name="Text Box 18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50" name="Text Box 18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51" name="Text Box 18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52" name="Text Box 18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53" name="Text Box 18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54" name="Text Box 18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55" name="Text Box 18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56" name="Text Box 18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57" name="Text Box 18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58" name="Text Box 18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59" name="Text Box 18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60" name="Text Box 18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61" name="Text Box 18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62" name="Text Box 18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63" name="Text Box 18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64" name="Text Box 18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65" name="Text Box 18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66" name="Text Box 18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67" name="Text Box 18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68" name="Text Box 18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69" name="Text Box 18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70" name="Text Box 18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71" name="Text Box 18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72" name="Text Box 18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73" name="Text Box 18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74" name="Text Box 18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75" name="Text Box 18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76" name="Text Box 18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77" name="Text Box 18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78" name="Text Box 18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79" name="Text Box 18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80" name="Text Box 18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81" name="Text Box 18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82" name="Text Box 18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83" name="Text Box 18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84" name="Text Box 18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85" name="Text Box 18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86" name="Text Box 18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87" name="Text Box 18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88" name="Text Box 18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89" name="Text Box 18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90" name="Text Box 18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91" name="Text Box 18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92" name="Text Box 18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93" name="Text Box 18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94" name="Text Box 18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95" name="Text Box 18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96" name="Text Box 18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97" name="Text Box 18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98" name="Text Box 18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699" name="Text Box 18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00" name="Text Box 18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01" name="Text Box 18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02" name="Text Box 18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03" name="Text Box 18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04" name="Text Box 18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05" name="Text Box 18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06" name="Text Box 18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07" name="Text Box 18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08" name="Text Box 18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09" name="Text Box 18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10" name="Text Box 18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11" name="Text Box 18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12" name="Text Box 18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13" name="Text Box 18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14" name="Text Box 18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15" name="Text Box 18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16" name="Text Box 18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17" name="Text Box 18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18" name="Text Box 18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19" name="Text Box 18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20" name="Text Box 18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21" name="Text Box 18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22" name="Text Box 18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23" name="Text Box 18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24" name="Text Box 18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25" name="Text Box 18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26" name="Text Box 18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27" name="Text Box 18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28" name="Text Box 18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29" name="Text Box 18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30" name="Text Box 18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31" name="Text Box 18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32" name="Text Box 19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33" name="Text Box 19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34" name="Text Box 19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35" name="Text Box 19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36" name="Text Box 19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37" name="Text Box 19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38" name="Text Box 19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39" name="Text Box 19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40" name="Text Box 19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41" name="Text Box 19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42" name="Text Box 19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43" name="Text Box 19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44" name="Text Box 19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45" name="Text Box 19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46" name="Text Box 19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47" name="Text Box 19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48" name="Text Box 19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49" name="Text Box 19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50" name="Text Box 19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51" name="Text Box 19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52" name="Text Box 19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53" name="Text Box 19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54" name="Text Box 19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55" name="Text Box 19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56" name="Text Box 19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57" name="Text Box 19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58" name="Text Box 19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59" name="Text Box 19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60" name="Text Box 19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61" name="Text Box 19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62" name="Text Box 19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63" name="Text Box 19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64" name="Text Box 19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65" name="Text Box 19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66" name="Text Box 19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67" name="Text Box 19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68" name="Text Box 19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69" name="Text Box 19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70" name="Text Box 19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71" name="Text Box 19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72" name="Text Box 19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73" name="Text Box 19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74" name="Text Box 19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75" name="Text Box 19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76" name="Text Box 19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77" name="Text Box 19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78" name="Text Box 19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79" name="Text Box 19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80" name="Text Box 19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81" name="Text Box 19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82" name="Text Box 19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83" name="Text Box 19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84" name="Text Box 19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85" name="Text Box 19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86" name="Text Box 19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87" name="Text Box 19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88" name="Text Box 19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89" name="Text Box 19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90" name="Text Box 19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91" name="Text Box 19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92" name="Text Box 19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93" name="Text Box 19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94" name="Text Box 19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95" name="Text Box 19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96" name="Text Box 19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97" name="Text Box 19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98" name="Text Box 19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799" name="Text Box 19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00" name="Text Box 19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01" name="Text Box 19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02" name="Text Box 19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03" name="Text Box 19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04" name="Text Box 19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05" name="Text Box 19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06" name="Text Box 19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07" name="Text Box 19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08" name="Text Box 19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09" name="Text Box 19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10" name="Text Box 19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11" name="Text Box 19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12" name="Text Box 19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13" name="Text Box 19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14" name="Text Box 19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15" name="Text Box 19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16" name="Text Box 19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17" name="Text Box 19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18" name="Text Box 19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19" name="Text Box 19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20" name="Text Box 19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21" name="Text Box 19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22" name="Text Box 19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23" name="Text Box 19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24" name="Text Box 19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25" name="Text Box 19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26" name="Text Box 19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27" name="Text Box 19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28" name="Text Box 19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29" name="Text Box 19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30" name="Text Box 19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31" name="Text Box 19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32" name="Text Box 20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33" name="Text Box 20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34" name="Text Box 20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35" name="Text Box 20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36" name="Text Box 20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37" name="Text Box 20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38" name="Text Box 20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39" name="Text Box 20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40" name="Text Box 20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41" name="Text Box 20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42" name="Text Box 20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43" name="Text Box 20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44" name="Text Box 20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45" name="Text Box 20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46" name="Text Box 20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47" name="Text Box 20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48" name="Text Box 20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49" name="Text Box 20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50" name="Text Box 20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51" name="Text Box 20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52" name="Text Box 20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53" name="Text Box 20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54" name="Text Box 20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55" name="Text Box 20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56" name="Text Box 20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57" name="Text Box 20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58" name="Text Box 20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59" name="Text Box 20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60" name="Text Box 20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61" name="Text Box 20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62" name="Text Box 20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63" name="Text Box 20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64" name="Text Box 20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65" name="Text Box 20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66" name="Text Box 20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67" name="Text Box 20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68" name="Text Box 20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69" name="Text Box 20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70" name="Text Box 20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71" name="Text Box 20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72" name="Text Box 20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73" name="Text Box 20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74" name="Text Box 20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75" name="Text Box 20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76" name="Text Box 20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77" name="Text Box 20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78" name="Text Box 20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79" name="Text Box 20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80" name="Text Box 20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81" name="Text Box 20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82" name="Text Box 20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83" name="Text Box 20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84" name="Text Box 20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85" name="Text Box 20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86" name="Text Box 20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87" name="Text Box 20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88" name="Text Box 20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89" name="Text Box 20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90" name="Text Box 20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91" name="Text Box 20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92" name="Text Box 20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93" name="Text Box 20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94" name="Text Box 20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95" name="Text Box 20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96" name="Text Box 20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97" name="Text Box 20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98" name="Text Box 20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899" name="Text Box 20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00" name="Text Box 20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01" name="Text Box 20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02" name="Text Box 20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03" name="Text Box 20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04" name="Text Box 20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05" name="Text Box 20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06" name="Text Box 20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07" name="Text Box 20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08" name="Text Box 20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09" name="Text Box 20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10" name="Text Box 20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11" name="Text Box 20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12" name="Text Box 20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13" name="Text Box 20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14" name="Text Box 20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15" name="Text Box 20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16" name="Text Box 20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17" name="Text Box 20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18" name="Text Box 20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19" name="Text Box 20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20" name="Text Box 20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21" name="Text Box 20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22" name="Text Box 20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23" name="Text Box 20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24" name="Text Box 20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25" name="Text Box 20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26" name="Text Box 20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27" name="Text Box 20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28" name="Text Box 20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29" name="Text Box 20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30" name="Text Box 20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31" name="Text Box 20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32" name="Text Box 21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33" name="Text Box 21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34" name="Text Box 21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35" name="Text Box 21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36" name="Text Box 21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37" name="Text Box 21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38" name="Text Box 21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39" name="Text Box 21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40" name="Text Box 21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41" name="Text Box 21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42" name="Text Box 21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43" name="Text Box 21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44" name="Text Box 21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45" name="Text Box 21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46" name="Text Box 21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47" name="Text Box 21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48" name="Text Box 21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49" name="Text Box 21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50" name="Text Box 21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51" name="Text Box 21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52" name="Text Box 21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53" name="Text Box 21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54" name="Text Box 21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55" name="Text Box 21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56" name="Text Box 21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57" name="Text Box 21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58" name="Text Box 21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59" name="Text Box 21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60" name="Text Box 21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61" name="Text Box 21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62" name="Text Box 21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63" name="Text Box 21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64" name="Text Box 21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65" name="Text Box 21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66" name="Text Box 21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67" name="Text Box 21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68" name="Text Box 21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69" name="Text Box 21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70" name="Text Box 21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71" name="Text Box 21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72" name="Text Box 21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73" name="Text Box 21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74" name="Text Box 21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75" name="Text Box 21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76" name="Text Box 21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77" name="Text Box 21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78" name="Text Box 21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79" name="Text Box 21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80" name="Text Box 21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81" name="Text Box 21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82" name="Text Box 21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83" name="Text Box 21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84" name="Text Box 21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85" name="Text Box 21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86" name="Text Box 21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87" name="Text Box 21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88" name="Text Box 21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89" name="Text Box 21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90" name="Text Box 21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91" name="Text Box 21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92" name="Text Box 21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93" name="Text Box 21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94" name="Text Box 21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95" name="Text Box 21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96" name="Text Box 21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97" name="Text Box 21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98" name="Text Box 21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999" name="Text Box 21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00" name="Text Box 21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01" name="Text Box 21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02" name="Text Box 21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03" name="Text Box 21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04" name="Text Box 21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05" name="Text Box 21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06" name="Text Box 21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07" name="Text Box 21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08" name="Text Box 21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09" name="Text Box 21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10" name="Text Box 21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11" name="Text Box 21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12" name="Text Box 21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13" name="Text Box 21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14" name="Text Box 21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15" name="Text Box 21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16" name="Text Box 21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17" name="Text Box 21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18" name="Text Box 21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19" name="Text Box 21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20" name="Text Box 21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21" name="Text Box 21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22" name="Text Box 21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23" name="Text Box 21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24" name="Text Box 21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25" name="Text Box 21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26" name="Text Box 21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27" name="Text Box 21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28" name="Text Box 21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29" name="Text Box 21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30" name="Text Box 21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31" name="Text Box 21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32" name="Text Box 22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33" name="Text Box 22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34" name="Text Box 22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35" name="Text Box 22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36" name="Text Box 22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37" name="Text Box 22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38" name="Text Box 22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39" name="Text Box 22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40" name="Text Box 22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41" name="Text Box 22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42" name="Text Box 22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43" name="Text Box 22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44" name="Text Box 22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45" name="Text Box 22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46" name="Text Box 22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47" name="Text Box 22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48" name="Text Box 22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49" name="Text Box 22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50" name="Text Box 22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51" name="Text Box 22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52" name="Text Box 22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53" name="Text Box 22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54" name="Text Box 22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55" name="Text Box 22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56" name="Text Box 22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57" name="Text Box 22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58" name="Text Box 22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59" name="Text Box 22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60" name="Text Box 22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61" name="Text Box 22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62" name="Text Box 22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63" name="Text Box 22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64" name="Text Box 22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65" name="Text Box 22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66" name="Text Box 22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67" name="Text Box 22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68" name="Text Box 22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69" name="Text Box 22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70" name="Text Box 22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71" name="Text Box 22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72" name="Text Box 22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73" name="Text Box 22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74" name="Text Box 22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75" name="Text Box 22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76" name="Text Box 22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77" name="Text Box 22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78" name="Text Box 22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79" name="Text Box 22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80" name="Text Box 22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81" name="Text Box 22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82" name="Text Box 22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83" name="Text Box 22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84" name="Text Box 22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85" name="Text Box 22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86" name="Text Box 22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87" name="Text Box 22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88" name="Text Box 22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89" name="Text Box 22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90" name="Text Box 22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91" name="Text Box 22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92" name="Text Box 22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93" name="Text Box 22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94" name="Text Box 22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95" name="Text Box 22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96" name="Text Box 22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97" name="Text Box 22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98" name="Text Box 22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099" name="Text Box 22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00" name="Text Box 22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01" name="Text Box 22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02" name="Text Box 22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03" name="Text Box 22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04" name="Text Box 22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05" name="Text Box 22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06" name="Text Box 22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07" name="Text Box 22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08" name="Text Box 22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09" name="Text Box 22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10" name="Text Box 22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11" name="Text Box 22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12" name="Text Box 22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13" name="Text Box 22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14" name="Text Box 22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15" name="Text Box 22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16" name="Text Box 22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17" name="Text Box 22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18" name="Text Box 22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19" name="Text Box 22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20" name="Text Box 22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21" name="Text Box 22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22" name="Text Box 22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23" name="Text Box 22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24" name="Text Box 22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25" name="Text Box 22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26" name="Text Box 22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27" name="Text Box 22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28" name="Text Box 22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29" name="Text Box 22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30" name="Text Box 22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31" name="Text Box 22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32" name="Text Box 23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33" name="Text Box 23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34" name="Text Box 23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35" name="Text Box 23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36" name="Text Box 23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37" name="Text Box 23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38" name="Text Box 23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39" name="Text Box 23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40" name="Text Box 23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41" name="Text Box 23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42" name="Text Box 23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43" name="Text Box 23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44" name="Text Box 23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45" name="Text Box 23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46" name="Text Box 23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47" name="Text Box 23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48" name="Text Box 23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49" name="Text Box 23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50" name="Text Box 23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51" name="Text Box 23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52" name="Text Box 23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53" name="Text Box 23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54" name="Text Box 23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55" name="Text Box 23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56" name="Text Box 23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57" name="Text Box 23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58" name="Text Box 23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59" name="Text Box 23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60" name="Text Box 23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61" name="Text Box 23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62" name="Text Box 23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63" name="Text Box 23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64" name="Text Box 23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65" name="Text Box 23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66" name="Text Box 23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67" name="Text Box 23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68" name="Text Box 23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69" name="Text Box 23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70" name="Text Box 23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71" name="Text Box 23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72" name="Text Box 23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73" name="Text Box 23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74" name="Text Box 23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75" name="Text Box 23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76" name="Text Box 23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77" name="Text Box 23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78" name="Text Box 23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79" name="Text Box 23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80" name="Text Box 23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81" name="Text Box 23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82" name="Text Box 23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83" name="Text Box 23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84" name="Text Box 23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85" name="Text Box 23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86" name="Text Box 23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87" name="Text Box 23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88" name="Text Box 23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89" name="Text Box 23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90" name="Text Box 23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91" name="Text Box 23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92" name="Text Box 23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93" name="Text Box 23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94" name="Text Box 23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95" name="Text Box 23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96" name="Text Box 23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97" name="Text Box 23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98" name="Text Box 23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199" name="Text Box 23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00" name="Text Box 23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01" name="Text Box 23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02" name="Text Box 23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03" name="Text Box 23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04" name="Text Box 23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05" name="Text Box 23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06" name="Text Box 23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07" name="Text Box 23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08" name="Text Box 23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09" name="Text Box 23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10" name="Text Box 23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11" name="Text Box 23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12" name="Text Box 23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13" name="Text Box 23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14" name="Text Box 23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15" name="Text Box 23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16" name="Text Box 23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17" name="Text Box 23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18" name="Text Box 23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19" name="Text Box 23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20" name="Text Box 23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21" name="Text Box 23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22" name="Text Box 23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23" name="Text Box 23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24" name="Text Box 23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25" name="Text Box 23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26" name="Text Box 23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27" name="Text Box 23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28" name="Text Box 23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29" name="Text Box 23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30" name="Text Box 23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31" name="Text Box 23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32" name="Text Box 24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33" name="Text Box 24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34" name="Text Box 24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35" name="Text Box 24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36" name="Text Box 24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37" name="Text Box 24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38" name="Text Box 24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39" name="Text Box 24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40" name="Text Box 24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41" name="Text Box 24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42" name="Text Box 24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43" name="Text Box 24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44" name="Text Box 24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45" name="Text Box 24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46" name="Text Box 24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47" name="Text Box 24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48" name="Text Box 24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49" name="Text Box 24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50" name="Text Box 24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51" name="Text Box 24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52" name="Text Box 24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53" name="Text Box 24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54" name="Text Box 24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55" name="Text Box 24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56" name="Text Box 24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57" name="Text Box 24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58" name="Text Box 24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59" name="Text Box 24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60" name="Text Box 24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61" name="Text Box 24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62" name="Text Box 24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63" name="Text Box 24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64" name="Text Box 24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65" name="Text Box 24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66" name="Text Box 24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67" name="Text Box 24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68" name="Text Box 24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69" name="Text Box 24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70" name="Text Box 24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71" name="Text Box 24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72" name="Text Box 24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73" name="Text Box 24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74" name="Text Box 24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75" name="Text Box 24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76" name="Text Box 24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77" name="Text Box 24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78" name="Text Box 24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79" name="Text Box 24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80" name="Text Box 24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81" name="Text Box 24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82" name="Text Box 24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83" name="Text Box 24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84" name="Text Box 24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85" name="Text Box 24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86" name="Text Box 24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87" name="Text Box 24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88" name="Text Box 24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89" name="Text Box 24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90" name="Text Box 24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91" name="Text Box 24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92" name="Text Box 24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93" name="Text Box 24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94" name="Text Box 24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95" name="Text Box 24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96" name="Text Box 24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97" name="Text Box 24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98" name="Text Box 24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299" name="Text Box 24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00" name="Text Box 24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01" name="Text Box 24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02" name="Text Box 24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03" name="Text Box 24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04" name="Text Box 24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05" name="Text Box 24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06" name="Text Box 24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07" name="Text Box 24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08" name="Text Box 24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09" name="Text Box 24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10" name="Text Box 24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11" name="Text Box 24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12" name="Text Box 24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13" name="Text Box 24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14" name="Text Box 24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15" name="Text Box 24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16" name="Text Box 24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17" name="Text Box 24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18" name="Text Box 24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19" name="Text Box 24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20" name="Text Box 24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21" name="Text Box 24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22" name="Text Box 24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23" name="Text Box 24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24" name="Text Box 24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25" name="Text Box 24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26" name="Text Box 24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27" name="Text Box 24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28" name="Text Box 24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29" name="Text Box 24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30" name="Text Box 24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31" name="Text Box 24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32" name="Text Box 25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33" name="Text Box 25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34" name="Text Box 25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35" name="Text Box 25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36" name="Text Box 25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37" name="Text Box 25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38" name="Text Box 25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39" name="Text Box 25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40" name="Text Box 25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41" name="Text Box 25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42" name="Text Box 25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43" name="Text Box 25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44" name="Text Box 25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45" name="Text Box 25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46" name="Text Box 25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47" name="Text Box 25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48" name="Text Box 25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49" name="Text Box 25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50" name="Text Box 25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51" name="Text Box 25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52" name="Text Box 25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53" name="Text Box 25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54" name="Text Box 25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55" name="Text Box 25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56" name="Text Box 25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57" name="Text Box 25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58" name="Text Box 25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59" name="Text Box 25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60" name="Text Box 25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61" name="Text Box 25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62" name="Text Box 25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63" name="Text Box 25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64" name="Text Box 25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65" name="Text Box 25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66" name="Text Box 25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67" name="Text Box 25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68" name="Text Box 25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69" name="Text Box 25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70" name="Text Box 25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71" name="Text Box 25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72" name="Text Box 25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73" name="Text Box 25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74" name="Text Box 25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75" name="Text Box 25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76" name="Text Box 25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77" name="Text Box 25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78" name="Text Box 25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79" name="Text Box 25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80" name="Text Box 25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81" name="Text Box 25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82" name="Text Box 25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83" name="Text Box 25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84" name="Text Box 25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85" name="Text Box 25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86" name="Text Box 25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87" name="Text Box 25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88" name="Text Box 25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89" name="Text Box 25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90" name="Text Box 25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91" name="Text Box 25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92" name="Text Box 25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93" name="Text Box 25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94" name="Text Box 25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95" name="Text Box 25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96" name="Text Box 25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97" name="Text Box 25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98" name="Text Box 25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399" name="Text Box 25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00" name="Text Box 25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01" name="Text Box 25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02" name="Text Box 25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03" name="Text Box 25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04" name="Text Box 25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05" name="Text Box 25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06" name="Text Box 25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07" name="Text Box 25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08" name="Text Box 25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09" name="Text Box 25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10" name="Text Box 25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11" name="Text Box 25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12" name="Text Box 25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13" name="Text Box 25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14" name="Text Box 25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15" name="Text Box 25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16" name="Text Box 25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17" name="Text Box 25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18" name="Text Box 25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19" name="Text Box 25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20" name="Text Box 25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21" name="Text Box 25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22" name="Text Box 25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23" name="Text Box 25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24" name="Text Box 25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25" name="Text Box 25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26" name="Text Box 25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27" name="Text Box 25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28" name="Text Box 25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29" name="Text Box 25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30" name="Text Box 25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31" name="Text Box 25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32" name="Text Box 26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33" name="Text Box 26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34" name="Text Box 26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35" name="Text Box 26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36" name="Text Box 26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37" name="Text Box 26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38" name="Text Box 26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39" name="Text Box 26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40" name="Text Box 26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41" name="Text Box 26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42" name="Text Box 26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43" name="Text Box 26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44" name="Text Box 26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45" name="Text Box 26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46" name="Text Box 26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47" name="Text Box 26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48" name="Text Box 26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49" name="Text Box 26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50" name="Text Box 26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51" name="Text Box 26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52" name="Text Box 26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53" name="Text Box 26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54" name="Text Box 26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55" name="Text Box 26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56" name="Text Box 26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57" name="Text Box 26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58" name="Text Box 26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59" name="Text Box 26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60" name="Text Box 26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61" name="Text Box 26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62" name="Text Box 26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63" name="Text Box 26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64" name="Text Box 26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65" name="Text Box 26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66" name="Text Box 26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67" name="Text Box 26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68" name="Text Box 26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69" name="Text Box 26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70" name="Text Box 26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71" name="Text Box 26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72" name="Text Box 26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73" name="Text Box 26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74" name="Text Box 26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75" name="Text Box 26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76" name="Text Box 26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77" name="Text Box 26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78" name="Text Box 26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79" name="Text Box 26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80" name="Text Box 26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81" name="Text Box 26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82" name="Text Box 26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83" name="Text Box 26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84" name="Text Box 26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85" name="Text Box 26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86" name="Text Box 26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87" name="Text Box 26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88" name="Text Box 26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89" name="Text Box 26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90" name="Text Box 26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91" name="Text Box 26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92" name="Text Box 26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93" name="Text Box 26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94" name="Text Box 26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95" name="Text Box 26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96" name="Text Box 26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97" name="Text Box 26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98" name="Text Box 26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499" name="Text Box 26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00" name="Text Box 26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01" name="Text Box 26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02" name="Text Box 26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03" name="Text Box 26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04" name="Text Box 26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05" name="Text Box 26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06" name="Text Box 26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07" name="Text Box 26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08" name="Text Box 26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09" name="Text Box 26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10" name="Text Box 26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11" name="Text Box 26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12" name="Text Box 26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13" name="Text Box 26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14" name="Text Box 26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15" name="Text Box 26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16" name="Text Box 26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17" name="Text Box 26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18" name="Text Box 26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19" name="Text Box 26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20" name="Text Box 26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21" name="Text Box 26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22" name="Text Box 26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23" name="Text Box 26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24" name="Text Box 26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25" name="Text Box 26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26" name="Text Box 26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27" name="Text Box 26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28" name="Text Box 26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29" name="Text Box 26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30" name="Text Box 26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31" name="Text Box 26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32" name="Text Box 27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33" name="Text Box 27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34" name="Text Box 27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35" name="Text Box 27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36" name="Text Box 27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37" name="Text Box 27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38" name="Text Box 27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39" name="Text Box 27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40" name="Text Box 27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41" name="Text Box 27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42" name="Text Box 27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43" name="Text Box 27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44" name="Text Box 27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45" name="Text Box 27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46" name="Text Box 27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47" name="Text Box 27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48" name="Text Box 27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49" name="Text Box 27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50" name="Text Box 27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51" name="Text Box 27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52" name="Text Box 27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53" name="Text Box 27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54" name="Text Box 27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55" name="Text Box 27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56" name="Text Box 27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57" name="Text Box 27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58" name="Text Box 27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59" name="Text Box 27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60" name="Text Box 27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61" name="Text Box 27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62" name="Text Box 27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63" name="Text Box 27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64" name="Text Box 27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65" name="Text Box 27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66" name="Text Box 27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67" name="Text Box 27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68" name="Text Box 27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69" name="Text Box 27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70" name="Text Box 27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71" name="Text Box 27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72" name="Text Box 27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73" name="Text Box 27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74" name="Text Box 27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75" name="Text Box 27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76" name="Text Box 27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77" name="Text Box 27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78" name="Text Box 27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79" name="Text Box 27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80" name="Text Box 27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81" name="Text Box 27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82" name="Text Box 27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83" name="Text Box 27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84" name="Text Box 27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85" name="Text Box 27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86" name="Text Box 27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87" name="Text Box 27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88" name="Text Box 27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89" name="Text Box 27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90" name="Text Box 27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91" name="Text Box 27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92" name="Text Box 27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93" name="Text Box 27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94" name="Text Box 27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95" name="Text Box 27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96" name="Text Box 27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97" name="Text Box 27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98" name="Text Box 27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599" name="Text Box 27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00" name="Text Box 27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01" name="Text Box 27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02" name="Text Box 27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03" name="Text Box 27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04" name="Text Box 27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05" name="Text Box 27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06" name="Text Box 27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07" name="Text Box 27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08" name="Text Box 27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09" name="Text Box 27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10" name="Text Box 27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11" name="Text Box 27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12" name="Text Box 27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13" name="Text Box 27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14" name="Text Box 27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15" name="Text Box 27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16" name="Text Box 27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17" name="Text Box 27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18" name="Text Box 27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19" name="Text Box 27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20" name="Text Box 27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21" name="Text Box 27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22" name="Text Box 27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23" name="Text Box 27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24" name="Text Box 27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25" name="Text Box 27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26" name="Text Box 27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27" name="Text Box 27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28" name="Text Box 27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29" name="Text Box 27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30" name="Text Box 27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31" name="Text Box 27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32" name="Text Box 28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33" name="Text Box 28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34" name="Text Box 28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35" name="Text Box 28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36" name="Text Box 28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37" name="Text Box 28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38" name="Text Box 28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39" name="Text Box 28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40" name="Text Box 28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41" name="Text Box 28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42" name="Text Box 28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43" name="Text Box 28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44" name="Text Box 28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45" name="Text Box 28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46" name="Text Box 28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47" name="Text Box 28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48" name="Text Box 28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49" name="Text Box 28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50" name="Text Box 28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51" name="Text Box 28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52" name="Text Box 28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53" name="Text Box 28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54" name="Text Box 28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55" name="Text Box 28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56" name="Text Box 28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57" name="Text Box 28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58" name="Text Box 28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59" name="Text Box 28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60" name="Text Box 28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61" name="Text Box 28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62" name="Text Box 28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63" name="Text Box 28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64" name="Text Box 28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65" name="Text Box 28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66" name="Text Box 28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67" name="Text Box 28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68" name="Text Box 28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69" name="Text Box 28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70" name="Text Box 28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71" name="Text Box 28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72" name="Text Box 28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73" name="Text Box 28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74" name="Text Box 28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75" name="Text Box 28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76" name="Text Box 28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77" name="Text Box 28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78" name="Text Box 28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79" name="Text Box 28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80" name="Text Box 28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81" name="Text Box 28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82" name="Text Box 28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83" name="Text Box 28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84" name="Text Box 28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85" name="Text Box 28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86" name="Text Box 28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87" name="Text Box 28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88" name="Text Box 28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89" name="Text Box 28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90" name="Text Box 28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91" name="Text Box 28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92" name="Text Box 28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93" name="Text Box 28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94" name="Text Box 28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95" name="Text Box 28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96" name="Text Box 28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97" name="Text Box 28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98" name="Text Box 28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699" name="Text Box 28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00" name="Text Box 28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01" name="Text Box 28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02" name="Text Box 28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03" name="Text Box 28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04" name="Text Box 28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05" name="Text Box 28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06" name="Text Box 28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07" name="Text Box 28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08" name="Text Box 28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09" name="Text Box 28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10" name="Text Box 28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11" name="Text Box 28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12" name="Text Box 28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13" name="Text Box 28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14" name="Text Box 28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15" name="Text Box 28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16" name="Text Box 28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17" name="Text Box 28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18" name="Text Box 28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19" name="Text Box 28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20" name="Text Box 28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21" name="Text Box 28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22" name="Text Box 28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23" name="Text Box 28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24" name="Text Box 28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25" name="Text Box 28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26" name="Text Box 28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27" name="Text Box 28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28" name="Text Box 28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29" name="Text Box 28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30" name="Text Box 28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31" name="Text Box 28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32" name="Text Box 29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33" name="Text Box 29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34" name="Text Box 29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35" name="Text Box 29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36" name="Text Box 29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37" name="Text Box 29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38" name="Text Box 29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39" name="Text Box 29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40" name="Text Box 29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41" name="Text Box 29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42" name="Text Box 29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43" name="Text Box 29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44" name="Text Box 29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45" name="Text Box 29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46" name="Text Box 29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47" name="Text Box 29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48" name="Text Box 29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49" name="Text Box 29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50" name="Text Box 29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51" name="Text Box 29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52" name="Text Box 29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53" name="Text Box 29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54" name="Text Box 29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55" name="Text Box 29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56" name="Text Box 29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57" name="Text Box 29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58" name="Text Box 29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59" name="Text Box 29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60" name="Text Box 29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61" name="Text Box 29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62" name="Text Box 29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63" name="Text Box 29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64" name="Text Box 29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65" name="Text Box 29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66" name="Text Box 29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67" name="Text Box 29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68" name="Text Box 29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69" name="Text Box 29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70" name="Text Box 29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71" name="Text Box 29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72" name="Text Box 29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73" name="Text Box 29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74" name="Text Box 29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75" name="Text Box 29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76" name="Text Box 29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77" name="Text Box 29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78" name="Text Box 29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79" name="Text Box 29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80" name="Text Box 29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81" name="Text Box 29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82" name="Text Box 29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83" name="Text Box 29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84" name="Text Box 29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85" name="Text Box 29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86" name="Text Box 29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87" name="Text Box 29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88" name="Text Box 29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89" name="Text Box 29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90" name="Text Box 29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91" name="Text Box 29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92" name="Text Box 29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93" name="Text Box 29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94" name="Text Box 29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95" name="Text Box 29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96" name="Text Box 29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97" name="Text Box 29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98" name="Text Box 29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799" name="Text Box 29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00" name="Text Box 29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01" name="Text Box 29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02" name="Text Box 29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03" name="Text Box 29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04" name="Text Box 29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05" name="Text Box 29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06" name="Text Box 29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07" name="Text Box 29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08" name="Text Box 29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09" name="Text Box 29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10" name="Text Box 29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11" name="Text Box 29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12" name="Text Box 29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13" name="Text Box 29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14" name="Text Box 29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15" name="Text Box 29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16" name="Text Box 29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17" name="Text Box 29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18" name="Text Box 29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19" name="Text Box 29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20" name="Text Box 29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21" name="Text Box 29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22" name="Text Box 29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23" name="Text Box 29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24" name="Text Box 29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25" name="Text Box 29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26" name="Text Box 29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27" name="Text Box 29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28" name="Text Box 29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29" name="Text Box 29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30" name="Text Box 29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31" name="Text Box 11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32" name="Text Box 11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33" name="Text Box 11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34" name="Text Box 11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35" name="Text Box 11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36" name="Text Box 11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37" name="Text Box 11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38" name="Text Box 11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39" name="Text Box 11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40" name="Text Box 11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41" name="Text Box 11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42" name="Text Box 11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43" name="Text Box 11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44" name="Text Box 11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45" name="Text Box 11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46" name="Text Box 11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47" name="Text Box 11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48" name="Text Box 11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49" name="Text Box 11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50" name="Text Box 11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51" name="Text Box 11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52" name="Text Box 11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53" name="Text Box 11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54" name="Text Box 11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55" name="Text Box 11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56" name="Text Box 11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57" name="Text Box 11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58" name="Text Box 11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59" name="Text Box 11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60" name="Text Box 12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61" name="Text Box 12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62" name="Text Box 12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63" name="Text Box 12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64" name="Text Box 12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65" name="Text Box 12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66" name="Text Box 12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67" name="Text Box 12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68" name="Text Box 12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69" name="Text Box 12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70" name="Text Box 12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71" name="Text Box 12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72" name="Text Box 12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73" name="Text Box 12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74" name="Text Box 12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75" name="Text Box 12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76" name="Text Box 12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77" name="Text Box 12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78" name="Text Box 12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79" name="Text Box 12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80" name="Text Box 12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81" name="Text Box 12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82" name="Text Box 12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83" name="Text Box 12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84" name="Text Box 12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85" name="Text Box 12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86" name="Text Box 12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87" name="Text Box 12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88" name="Text Box 12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89" name="Text Box 12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90" name="Text Box 12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91" name="Text Box 12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92" name="Text Box 12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93" name="Text Box 12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94" name="Text Box 12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95" name="Text Box 12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96" name="Text Box 12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97" name="Text Box 12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98" name="Text Box 12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899" name="Text Box 12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00" name="Text Box 12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01" name="Text Box 12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02" name="Text Box 12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03" name="Text Box 12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04" name="Text Box 12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05" name="Text Box 12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06" name="Text Box 12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07" name="Text Box 12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08" name="Text Box 12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09" name="Text Box 12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10" name="Text Box 12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11" name="Text Box 12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12" name="Text Box 12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13" name="Text Box 12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14" name="Text Box 12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15" name="Text Box 12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16" name="Text Box 12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17" name="Text Box 12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18" name="Text Box 12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19" name="Text Box 12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20" name="Text Box 12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21" name="Text Box 12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22" name="Text Box 12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23" name="Text Box 12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24" name="Text Box 12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25" name="Text Box 12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26" name="Text Box 12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27" name="Text Box 12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28" name="Text Box 12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29" name="Text Box 12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30" name="Text Box 12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31" name="Text Box 12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32" name="Text Box 12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33" name="Text Box 12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34" name="Text Box 12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35" name="Text Box 12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36" name="Text Box 12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37" name="Text Box 12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38" name="Text Box 12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39" name="Text Box 12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40" name="Text Box 12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41" name="Text Box 12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42" name="Text Box 12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43" name="Text Box 12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44" name="Text Box 12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45" name="Text Box 12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46" name="Text Box 12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47" name="Text Box 12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48" name="Text Box 12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49" name="Text Box 12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50" name="Text Box 12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51" name="Text Box 12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52" name="Text Box 12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53" name="Text Box 12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54" name="Text Box 12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55" name="Text Box 12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56" name="Text Box 12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57" name="Text Box 12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58" name="Text Box 12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59" name="Text Box 12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60" name="Text Box 13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61" name="Text Box 13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62" name="Text Box 13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63" name="Text Box 13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64" name="Text Box 13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65" name="Text Box 13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66" name="Text Box 13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67" name="Text Box 13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68" name="Text Box 13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69" name="Text Box 13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70" name="Text Box 13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71" name="Text Box 13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72" name="Text Box 13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73" name="Text Box 13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74" name="Text Box 13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75" name="Text Box 13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76" name="Text Box 13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77" name="Text Box 13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78" name="Text Box 13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79" name="Text Box 13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80" name="Text Box 13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81" name="Text Box 13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82" name="Text Box 13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83" name="Text Box 13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84" name="Text Box 13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85" name="Text Box 13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86" name="Text Box 13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87" name="Text Box 13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88" name="Text Box 13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89" name="Text Box 13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90" name="Text Box 13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91" name="Text Box 13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92" name="Text Box 13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93" name="Text Box 13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94" name="Text Box 13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95" name="Text Box 13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96" name="Text Box 13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97" name="Text Box 13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98" name="Text Box 13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1999" name="Text Box 13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00" name="Text Box 13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01" name="Text Box 13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02" name="Text Box 13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03" name="Text Box 13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04" name="Text Box 13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05" name="Text Box 13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06" name="Text Box 13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07" name="Text Box 13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08" name="Text Box 13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09" name="Text Box 13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10" name="Text Box 13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11" name="Text Box 13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12" name="Text Box 13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13" name="Text Box 13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14" name="Text Box 13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15" name="Text Box 13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16" name="Text Box 13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17" name="Text Box 13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18" name="Text Box 13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19" name="Text Box 13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20" name="Text Box 13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21" name="Text Box 13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22" name="Text Box 13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23" name="Text Box 13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24" name="Text Box 13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25" name="Text Box 13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26" name="Text Box 13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27" name="Text Box 13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28" name="Text Box 13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29" name="Text Box 13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30" name="Text Box 13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31" name="Text Box 13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32" name="Text Box 13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33" name="Text Box 13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34" name="Text Box 13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35" name="Text Box 13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36" name="Text Box 13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37" name="Text Box 13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38" name="Text Box 13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39" name="Text Box 13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40" name="Text Box 13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41" name="Text Box 13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42" name="Text Box 13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43" name="Text Box 13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44" name="Text Box 13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45" name="Text Box 13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46" name="Text Box 13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47" name="Text Box 13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48" name="Text Box 13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49" name="Text Box 13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50" name="Text Box 13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51" name="Text Box 13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52" name="Text Box 13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53" name="Text Box 13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54" name="Text Box 13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55" name="Text Box 13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56" name="Text Box 13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57" name="Text Box 13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58" name="Text Box 13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59" name="Text Box 13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60" name="Text Box 14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61" name="Text Box 14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62" name="Text Box 14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63" name="Text Box 14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64" name="Text Box 14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65" name="Text Box 14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66" name="Text Box 14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67" name="Text Box 14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68" name="Text Box 14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69" name="Text Box 14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70" name="Text Box 14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71" name="Text Box 14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72" name="Text Box 14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73" name="Text Box 14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74" name="Text Box 14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75" name="Text Box 14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76" name="Text Box 14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77" name="Text Box 14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78" name="Text Box 14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79" name="Text Box 14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80" name="Text Box 14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81" name="Text Box 14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82" name="Text Box 14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83" name="Text Box 14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84" name="Text Box 14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85" name="Text Box 14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86" name="Text Box 14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87" name="Text Box 14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88" name="Text Box 14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89" name="Text Box 14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90" name="Text Box 14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91" name="Text Box 14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92" name="Text Box 14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93" name="Text Box 14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94" name="Text Box 14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95" name="Text Box 14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96" name="Text Box 14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97" name="Text Box 14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98" name="Text Box 14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099" name="Text Box 14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00" name="Text Box 14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01" name="Text Box 14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02" name="Text Box 14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03" name="Text Box 14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04" name="Text Box 14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05" name="Text Box 14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06" name="Text Box 14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07" name="Text Box 14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08" name="Text Box 14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09" name="Text Box 14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10" name="Text Box 14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11" name="Text Box 14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12" name="Text Box 14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13" name="Text Box 14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14" name="Text Box 14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15" name="Text Box 14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16" name="Text Box 14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17" name="Text Box 14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18" name="Text Box 14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19" name="Text Box 14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20" name="Text Box 14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21" name="Text Box 14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22" name="Text Box 14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23" name="Text Box 14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24" name="Text Box 14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25" name="Text Box 14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26" name="Text Box 14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27" name="Text Box 14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28" name="Text Box 14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29" name="Text Box 14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30" name="Text Box 14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31" name="Text Box 14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32" name="Text Box 14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33" name="Text Box 14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34" name="Text Box 14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35" name="Text Box 14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36" name="Text Box 14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37" name="Text Box 14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38" name="Text Box 14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39" name="Text Box 14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40" name="Text Box 14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41" name="Text Box 14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42" name="Text Box 14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43" name="Text Box 14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44" name="Text Box 14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45" name="Text Box 14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46" name="Text Box 14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47" name="Text Box 14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48" name="Text Box 14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49" name="Text Box 14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50" name="Text Box 14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51" name="Text Box 14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52" name="Text Box 14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53" name="Text Box 14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54" name="Text Box 14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55" name="Text Box 14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56" name="Text Box 14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57" name="Text Box 14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58" name="Text Box 14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59" name="Text Box 14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60" name="Text Box 15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61" name="Text Box 15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62" name="Text Box 15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63" name="Text Box 15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64" name="Text Box 15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65" name="Text Box 15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66" name="Text Box 15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67" name="Text Box 15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68" name="Text Box 15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69" name="Text Box 15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70" name="Text Box 15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71" name="Text Box 15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72" name="Text Box 15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73" name="Text Box 15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74" name="Text Box 15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75" name="Text Box 15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76" name="Text Box 15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77" name="Text Box 15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78" name="Text Box 15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79" name="Text Box 15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80" name="Text Box 15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81" name="Text Box 15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82" name="Text Box 15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83" name="Text Box 15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84" name="Text Box 15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85" name="Text Box 15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86" name="Text Box 15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87" name="Text Box 15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88" name="Text Box 15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89" name="Text Box 15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90" name="Text Box 15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91" name="Text Box 15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92" name="Text Box 15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93" name="Text Box 15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94" name="Text Box 15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95" name="Text Box 15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96" name="Text Box 15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97" name="Text Box 15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98" name="Text Box 15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199" name="Text Box 15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00" name="Text Box 15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01" name="Text Box 15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02" name="Text Box 15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03" name="Text Box 15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04" name="Text Box 15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05" name="Text Box 15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06" name="Text Box 15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07" name="Text Box 15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08" name="Text Box 15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09" name="Text Box 15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10" name="Text Box 15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11" name="Text Box 15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12" name="Text Box 15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13" name="Text Box 15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14" name="Text Box 15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15" name="Text Box 15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16" name="Text Box 15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17" name="Text Box 15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18" name="Text Box 15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19" name="Text Box 15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20" name="Text Box 15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21" name="Text Box 15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22" name="Text Box 15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23" name="Text Box 15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24" name="Text Box 15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25" name="Text Box 15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26" name="Text Box 15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27" name="Text Box 15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28" name="Text Box 15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29" name="Text Box 15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30" name="Text Box 15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31" name="Text Box 15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32" name="Text Box 15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33" name="Text Box 15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34" name="Text Box 15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35" name="Text Box 15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36" name="Text Box 15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37" name="Text Box 15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38" name="Text Box 15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39" name="Text Box 15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40" name="Text Box 15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41" name="Text Box 15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42" name="Text Box 15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43" name="Text Box 15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44" name="Text Box 15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45" name="Text Box 15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46" name="Text Box 15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47" name="Text Box 15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48" name="Text Box 15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49" name="Text Box 15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50" name="Text Box 15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51" name="Text Box 15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52" name="Text Box 15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53" name="Text Box 15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54" name="Text Box 15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55" name="Text Box 15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56" name="Text Box 15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57" name="Text Box 15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58" name="Text Box 15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59" name="Text Box 15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60" name="Text Box 16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61" name="Text Box 16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62" name="Text Box 16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63" name="Text Box 16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64" name="Text Box 16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65" name="Text Box 16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66" name="Text Box 16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67" name="Text Box 16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68" name="Text Box 16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69" name="Text Box 16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70" name="Text Box 16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71" name="Text Box 16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72" name="Text Box 16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73" name="Text Box 16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74" name="Text Box 16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75" name="Text Box 16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76" name="Text Box 16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77" name="Text Box 16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78" name="Text Box 16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79" name="Text Box 16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80" name="Text Box 16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81" name="Text Box 16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82" name="Text Box 16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83" name="Text Box 16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84" name="Text Box 16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85" name="Text Box 16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86" name="Text Box 16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87" name="Text Box 16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88" name="Text Box 16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89" name="Text Box 16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90" name="Text Box 16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91" name="Text Box 16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92" name="Text Box 16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93" name="Text Box 16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94" name="Text Box 16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95" name="Text Box 16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96" name="Text Box 16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97" name="Text Box 16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98" name="Text Box 16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299" name="Text Box 16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00" name="Text Box 16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01" name="Text Box 16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02" name="Text Box 16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03" name="Text Box 16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04" name="Text Box 16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05" name="Text Box 16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06" name="Text Box 16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07" name="Text Box 16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08" name="Text Box 16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09" name="Text Box 16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10" name="Text Box 16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11" name="Text Box 16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12" name="Text Box 16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13" name="Text Box 16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14" name="Text Box 16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15" name="Text Box 16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16" name="Text Box 16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17" name="Text Box 16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18" name="Text Box 16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19" name="Text Box 16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20" name="Text Box 16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21" name="Text Box 16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22" name="Text Box 16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23" name="Text Box 16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24" name="Text Box 16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25" name="Text Box 16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26" name="Text Box 16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27" name="Text Box 16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28" name="Text Box 16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29" name="Text Box 16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30" name="Text Box 16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31" name="Text Box 16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32" name="Text Box 16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33" name="Text Box 16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34" name="Text Box 16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35" name="Text Box 16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36" name="Text Box 16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37" name="Text Box 16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38" name="Text Box 16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39" name="Text Box 16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40" name="Text Box 16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41" name="Text Box 16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42" name="Text Box 16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43" name="Text Box 16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44" name="Text Box 16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45" name="Text Box 16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46" name="Text Box 16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47" name="Text Box 16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48" name="Text Box 16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49" name="Text Box 16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50" name="Text Box 16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51" name="Text Box 16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52" name="Text Box 16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53" name="Text Box 16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54" name="Text Box 16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55" name="Text Box 16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56" name="Text Box 16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57" name="Text Box 16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58" name="Text Box 16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59" name="Text Box 16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60" name="Text Box 17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61" name="Text Box 17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62" name="Text Box 17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63" name="Text Box 17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64" name="Text Box 17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65" name="Text Box 17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66" name="Text Box 17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67" name="Text Box 17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68" name="Text Box 17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69" name="Text Box 17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70" name="Text Box 17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71" name="Text Box 17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72" name="Text Box 17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73" name="Text Box 17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74" name="Text Box 17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75" name="Text Box 17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76" name="Text Box 17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77" name="Text Box 17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78" name="Text Box 17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79" name="Text Box 17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80" name="Text Box 17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81" name="Text Box 17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82" name="Text Box 17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83" name="Text Box 17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84" name="Text Box 17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85" name="Text Box 17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86" name="Text Box 17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87" name="Text Box 17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88" name="Text Box 17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89" name="Text Box 17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90" name="Text Box 17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91" name="Text Box 17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92" name="Text Box 17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93" name="Text Box 17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94" name="Text Box 17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95" name="Text Box 17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96" name="Text Box 17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97" name="Text Box 17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98" name="Text Box 17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399" name="Text Box 17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00" name="Text Box 17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01" name="Text Box 17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02" name="Text Box 17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03" name="Text Box 17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04" name="Text Box 17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05" name="Text Box 17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06" name="Text Box 17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07" name="Text Box 17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08" name="Text Box 17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09" name="Text Box 17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10" name="Text Box 17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11" name="Text Box 17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12" name="Text Box 17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13" name="Text Box 17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14" name="Text Box 17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15" name="Text Box 17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16" name="Text Box 17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17" name="Text Box 17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18" name="Text Box 17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19" name="Text Box 17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20" name="Text Box 17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21" name="Text Box 17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22" name="Text Box 17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23" name="Text Box 17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24" name="Text Box 17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25" name="Text Box 17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26" name="Text Box 17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27" name="Text Box 17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28" name="Text Box 17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29" name="Text Box 17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30" name="Text Box 17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31" name="Text Box 17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32" name="Text Box 17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33" name="Text Box 17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34" name="Text Box 17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35" name="Text Box 17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36" name="Text Box 17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37" name="Text Box 17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38" name="Text Box 17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39" name="Text Box 17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40" name="Text Box 17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41" name="Text Box 17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42" name="Text Box 17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43" name="Text Box 17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44" name="Text Box 17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45" name="Text Box 17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46" name="Text Box 17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47" name="Text Box 17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48" name="Text Box 17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49" name="Text Box 17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50" name="Text Box 17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51" name="Text Box 17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52" name="Text Box 17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53" name="Text Box 17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54" name="Text Box 17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55" name="Text Box 17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56" name="Text Box 17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57" name="Text Box 17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58" name="Text Box 17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59" name="Text Box 17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60" name="Text Box 18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61" name="Text Box 18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62" name="Text Box 18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63" name="Text Box 18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64" name="Text Box 18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65" name="Text Box 18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66" name="Text Box 18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67" name="Text Box 18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68" name="Text Box 18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69" name="Text Box 18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70" name="Text Box 18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71" name="Text Box 18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72" name="Text Box 18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73" name="Text Box 18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74" name="Text Box 18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75" name="Text Box 18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76" name="Text Box 18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77" name="Text Box 18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78" name="Text Box 18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79" name="Text Box 18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80" name="Text Box 18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81" name="Text Box 18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82" name="Text Box 18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83" name="Text Box 18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84" name="Text Box 18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85" name="Text Box 18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86" name="Text Box 18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87" name="Text Box 18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88" name="Text Box 18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89" name="Text Box 18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90" name="Text Box 18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91" name="Text Box 18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92" name="Text Box 18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93" name="Text Box 18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94" name="Text Box 18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95" name="Text Box 18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96" name="Text Box 18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97" name="Text Box 18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98" name="Text Box 18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499" name="Text Box 18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00" name="Text Box 18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01" name="Text Box 18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02" name="Text Box 18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03" name="Text Box 18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04" name="Text Box 18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05" name="Text Box 18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06" name="Text Box 18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07" name="Text Box 18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08" name="Text Box 18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09" name="Text Box 18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10" name="Text Box 18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11" name="Text Box 18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12" name="Text Box 18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13" name="Text Box 18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14" name="Text Box 18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15" name="Text Box 18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16" name="Text Box 18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17" name="Text Box 18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18" name="Text Box 18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19" name="Text Box 18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20" name="Text Box 18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21" name="Text Box 18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22" name="Text Box 18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23" name="Text Box 18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24" name="Text Box 18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25" name="Text Box 18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26" name="Text Box 18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27" name="Text Box 18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28" name="Text Box 18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29" name="Text Box 18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30" name="Text Box 18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31" name="Text Box 18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32" name="Text Box 18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33" name="Text Box 18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34" name="Text Box 18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35" name="Text Box 18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36" name="Text Box 18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37" name="Text Box 18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38" name="Text Box 18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39" name="Text Box 18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40" name="Text Box 18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41" name="Text Box 18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42" name="Text Box 18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43" name="Text Box 18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44" name="Text Box 18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45" name="Text Box 18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46" name="Text Box 18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47" name="Text Box 18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48" name="Text Box 18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49" name="Text Box 18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50" name="Text Box 18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51" name="Text Box 18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52" name="Text Box 18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53" name="Text Box 18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54" name="Text Box 18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55" name="Text Box 18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56" name="Text Box 18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57" name="Text Box 18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58" name="Text Box 18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59" name="Text Box 18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60" name="Text Box 19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61" name="Text Box 19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62" name="Text Box 19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63" name="Text Box 19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64" name="Text Box 19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65" name="Text Box 19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66" name="Text Box 19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67" name="Text Box 19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68" name="Text Box 19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69" name="Text Box 19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70" name="Text Box 19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71" name="Text Box 19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72" name="Text Box 19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73" name="Text Box 19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74" name="Text Box 19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75" name="Text Box 19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76" name="Text Box 19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77" name="Text Box 19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78" name="Text Box 19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79" name="Text Box 19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80" name="Text Box 19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81" name="Text Box 19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82" name="Text Box 19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83" name="Text Box 19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84" name="Text Box 19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85" name="Text Box 19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86" name="Text Box 19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87" name="Text Box 19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88" name="Text Box 19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89" name="Text Box 19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90" name="Text Box 19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91" name="Text Box 19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92" name="Text Box 19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93" name="Text Box 19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94" name="Text Box 19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95" name="Text Box 19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96" name="Text Box 19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97" name="Text Box 19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98" name="Text Box 19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599" name="Text Box 19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00" name="Text Box 19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01" name="Text Box 19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02" name="Text Box 19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03" name="Text Box 19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04" name="Text Box 19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05" name="Text Box 19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06" name="Text Box 19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07" name="Text Box 19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08" name="Text Box 19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09" name="Text Box 19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10" name="Text Box 19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11" name="Text Box 19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12" name="Text Box 19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13" name="Text Box 19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14" name="Text Box 19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15" name="Text Box 19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16" name="Text Box 19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17" name="Text Box 19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18" name="Text Box 19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19" name="Text Box 19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20" name="Text Box 19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21" name="Text Box 19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22" name="Text Box 19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23" name="Text Box 19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24" name="Text Box 19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25" name="Text Box 19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26" name="Text Box 19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27" name="Text Box 19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28" name="Text Box 19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29" name="Text Box 19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30" name="Text Box 19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31" name="Text Box 19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32" name="Text Box 19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33" name="Text Box 19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34" name="Text Box 19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35" name="Text Box 19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36" name="Text Box 19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37" name="Text Box 19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38" name="Text Box 19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39" name="Text Box 19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40" name="Text Box 19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41" name="Text Box 19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42" name="Text Box 19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43" name="Text Box 19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44" name="Text Box 19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45" name="Text Box 19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46" name="Text Box 19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47" name="Text Box 19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48" name="Text Box 19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49" name="Text Box 19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50" name="Text Box 19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51" name="Text Box 19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52" name="Text Box 19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53" name="Text Box 19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54" name="Text Box 19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55" name="Text Box 19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56" name="Text Box 19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57" name="Text Box 19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58" name="Text Box 19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59" name="Text Box 19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60" name="Text Box 20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61" name="Text Box 20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62" name="Text Box 20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63" name="Text Box 20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64" name="Text Box 20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65" name="Text Box 20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66" name="Text Box 20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67" name="Text Box 20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68" name="Text Box 20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69" name="Text Box 20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70" name="Text Box 20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71" name="Text Box 20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72" name="Text Box 20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73" name="Text Box 20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74" name="Text Box 20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75" name="Text Box 20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76" name="Text Box 20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77" name="Text Box 20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78" name="Text Box 20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79" name="Text Box 20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80" name="Text Box 20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81" name="Text Box 20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82" name="Text Box 20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83" name="Text Box 20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84" name="Text Box 20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85" name="Text Box 20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86" name="Text Box 20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87" name="Text Box 20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88" name="Text Box 20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89" name="Text Box 20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90" name="Text Box 20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91" name="Text Box 20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92" name="Text Box 20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93" name="Text Box 20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94" name="Text Box 20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95" name="Text Box 20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96" name="Text Box 20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97" name="Text Box 20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98" name="Text Box 20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699" name="Text Box 20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00" name="Text Box 20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01" name="Text Box 20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02" name="Text Box 20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03" name="Text Box 20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04" name="Text Box 20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05" name="Text Box 20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06" name="Text Box 20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07" name="Text Box 20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08" name="Text Box 20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09" name="Text Box 20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10" name="Text Box 20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11" name="Text Box 20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12" name="Text Box 20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13" name="Text Box 20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14" name="Text Box 20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15" name="Text Box 20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16" name="Text Box 20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17" name="Text Box 20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18" name="Text Box 20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19" name="Text Box 20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20" name="Text Box 20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21" name="Text Box 20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22" name="Text Box 20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23" name="Text Box 20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24" name="Text Box 20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25" name="Text Box 20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26" name="Text Box 20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27" name="Text Box 20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28" name="Text Box 20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29" name="Text Box 20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30" name="Text Box 20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31" name="Text Box 20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32" name="Text Box 20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33" name="Text Box 20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34" name="Text Box 20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35" name="Text Box 20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36" name="Text Box 20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37" name="Text Box 20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38" name="Text Box 20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39" name="Text Box 20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40" name="Text Box 20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41" name="Text Box 20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42" name="Text Box 20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43" name="Text Box 20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44" name="Text Box 20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45" name="Text Box 20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46" name="Text Box 20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47" name="Text Box 20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48" name="Text Box 20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49" name="Text Box 20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50" name="Text Box 20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51" name="Text Box 20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52" name="Text Box 20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53" name="Text Box 20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54" name="Text Box 20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55" name="Text Box 20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56" name="Text Box 20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57" name="Text Box 20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58" name="Text Box 20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59" name="Text Box 20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60" name="Text Box 21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61" name="Text Box 21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62" name="Text Box 21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63" name="Text Box 21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64" name="Text Box 21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65" name="Text Box 21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66" name="Text Box 21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67" name="Text Box 21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68" name="Text Box 21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69" name="Text Box 21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70" name="Text Box 21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71" name="Text Box 21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72" name="Text Box 21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73" name="Text Box 21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74" name="Text Box 21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75" name="Text Box 21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76" name="Text Box 21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77" name="Text Box 21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78" name="Text Box 21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79" name="Text Box 21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80" name="Text Box 21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81" name="Text Box 21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82" name="Text Box 21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83" name="Text Box 21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84" name="Text Box 21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85" name="Text Box 21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86" name="Text Box 21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87" name="Text Box 21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88" name="Text Box 21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89" name="Text Box 21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90" name="Text Box 21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91" name="Text Box 21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92" name="Text Box 21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93" name="Text Box 21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94" name="Text Box 21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95" name="Text Box 21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96" name="Text Box 21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97" name="Text Box 21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98" name="Text Box 21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799" name="Text Box 21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00" name="Text Box 21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01" name="Text Box 21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02" name="Text Box 21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03" name="Text Box 21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04" name="Text Box 21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05" name="Text Box 21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06" name="Text Box 21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07" name="Text Box 21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08" name="Text Box 21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09" name="Text Box 21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10" name="Text Box 21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11" name="Text Box 21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12" name="Text Box 21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13" name="Text Box 21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14" name="Text Box 21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15" name="Text Box 21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16" name="Text Box 21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17" name="Text Box 21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18" name="Text Box 21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19" name="Text Box 21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20" name="Text Box 21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21" name="Text Box 21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22" name="Text Box 21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23" name="Text Box 21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24" name="Text Box 21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25" name="Text Box 21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26" name="Text Box 21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27" name="Text Box 21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28" name="Text Box 21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29" name="Text Box 21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30" name="Text Box 21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31" name="Text Box 21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32" name="Text Box 21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33" name="Text Box 21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34" name="Text Box 21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35" name="Text Box 21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36" name="Text Box 21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37" name="Text Box 21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38" name="Text Box 21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39" name="Text Box 21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40" name="Text Box 21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41" name="Text Box 21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42" name="Text Box 21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43" name="Text Box 21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44" name="Text Box 21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45" name="Text Box 21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46" name="Text Box 21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47" name="Text Box 21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48" name="Text Box 21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49" name="Text Box 21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50" name="Text Box 21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51" name="Text Box 21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52" name="Text Box 21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53" name="Text Box 21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54" name="Text Box 21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55" name="Text Box 21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56" name="Text Box 21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57" name="Text Box 21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58" name="Text Box 21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59" name="Text Box 21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60" name="Text Box 22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61" name="Text Box 22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62" name="Text Box 22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63" name="Text Box 22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64" name="Text Box 22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65" name="Text Box 22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66" name="Text Box 22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67" name="Text Box 22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68" name="Text Box 22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69" name="Text Box 22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70" name="Text Box 22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71" name="Text Box 22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72" name="Text Box 22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73" name="Text Box 22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74" name="Text Box 22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75" name="Text Box 22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76" name="Text Box 22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77" name="Text Box 22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78" name="Text Box 22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79" name="Text Box 22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80" name="Text Box 22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81" name="Text Box 22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82" name="Text Box 22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83" name="Text Box 22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84" name="Text Box 22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85" name="Text Box 22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86" name="Text Box 22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87" name="Text Box 22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88" name="Text Box 22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89" name="Text Box 22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90" name="Text Box 22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91" name="Text Box 22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92" name="Text Box 22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93" name="Text Box 22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94" name="Text Box 22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95" name="Text Box 22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96" name="Text Box 22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97" name="Text Box 22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98" name="Text Box 22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899" name="Text Box 22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00" name="Text Box 22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01" name="Text Box 22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02" name="Text Box 22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03" name="Text Box 22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04" name="Text Box 22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05" name="Text Box 22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06" name="Text Box 22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07" name="Text Box 22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08" name="Text Box 22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09" name="Text Box 22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10" name="Text Box 22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11" name="Text Box 22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12" name="Text Box 22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13" name="Text Box 22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14" name="Text Box 22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15" name="Text Box 22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16" name="Text Box 22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17" name="Text Box 22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18" name="Text Box 22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19" name="Text Box 22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20" name="Text Box 22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21" name="Text Box 22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22" name="Text Box 22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23" name="Text Box 22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24" name="Text Box 22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25" name="Text Box 22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26" name="Text Box 22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27" name="Text Box 22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28" name="Text Box 22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29" name="Text Box 22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30" name="Text Box 22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31" name="Text Box 22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32" name="Text Box 22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33" name="Text Box 22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34" name="Text Box 22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35" name="Text Box 22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36" name="Text Box 22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37" name="Text Box 22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38" name="Text Box 22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39" name="Text Box 22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40" name="Text Box 22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41" name="Text Box 22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42" name="Text Box 22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43" name="Text Box 22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44" name="Text Box 22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45" name="Text Box 22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46" name="Text Box 22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47" name="Text Box 22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48" name="Text Box 22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49" name="Text Box 22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50" name="Text Box 22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51" name="Text Box 22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52" name="Text Box 22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53" name="Text Box 22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54" name="Text Box 22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55" name="Text Box 22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56" name="Text Box 22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57" name="Text Box 22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58" name="Text Box 22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59" name="Text Box 22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60" name="Text Box 23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61" name="Text Box 23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62" name="Text Box 23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63" name="Text Box 23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64" name="Text Box 23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65" name="Text Box 23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66" name="Text Box 23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67" name="Text Box 23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68" name="Text Box 23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69" name="Text Box 23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70" name="Text Box 23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71" name="Text Box 23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72" name="Text Box 23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73" name="Text Box 23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74" name="Text Box 23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75" name="Text Box 23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76" name="Text Box 23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77" name="Text Box 23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78" name="Text Box 23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79" name="Text Box 23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80" name="Text Box 23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81" name="Text Box 23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82" name="Text Box 23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83" name="Text Box 23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84" name="Text Box 23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85" name="Text Box 23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86" name="Text Box 23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87" name="Text Box 23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88" name="Text Box 23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89" name="Text Box 23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90" name="Text Box 23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91" name="Text Box 23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92" name="Text Box 23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93" name="Text Box 23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94" name="Text Box 23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95" name="Text Box 23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96" name="Text Box 23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97" name="Text Box 23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98" name="Text Box 23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2999" name="Text Box 23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00" name="Text Box 23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01" name="Text Box 23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02" name="Text Box 23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03" name="Text Box 23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04" name="Text Box 23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05" name="Text Box 23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06" name="Text Box 23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07" name="Text Box 23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08" name="Text Box 23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09" name="Text Box 23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10" name="Text Box 23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11" name="Text Box 23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12" name="Text Box 23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13" name="Text Box 23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14" name="Text Box 23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15" name="Text Box 23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16" name="Text Box 23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17" name="Text Box 23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18" name="Text Box 23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19" name="Text Box 23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20" name="Text Box 23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21" name="Text Box 23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22" name="Text Box 23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23" name="Text Box 23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24" name="Text Box 23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25" name="Text Box 23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26" name="Text Box 23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27" name="Text Box 23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28" name="Text Box 23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29" name="Text Box 23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30" name="Text Box 23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31" name="Text Box 23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32" name="Text Box 23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33" name="Text Box 23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34" name="Text Box 23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35" name="Text Box 23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36" name="Text Box 23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37" name="Text Box 23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38" name="Text Box 23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39" name="Text Box 23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40" name="Text Box 23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41" name="Text Box 23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42" name="Text Box 23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43" name="Text Box 23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44" name="Text Box 23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45" name="Text Box 23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46" name="Text Box 23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47" name="Text Box 23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48" name="Text Box 23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49" name="Text Box 23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50" name="Text Box 23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51" name="Text Box 23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52" name="Text Box 23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53" name="Text Box 23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54" name="Text Box 23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55" name="Text Box 23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56" name="Text Box 23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57" name="Text Box 23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58" name="Text Box 23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59" name="Text Box 23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60" name="Text Box 24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61" name="Text Box 24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62" name="Text Box 24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63" name="Text Box 24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64" name="Text Box 24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65" name="Text Box 24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66" name="Text Box 24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67" name="Text Box 24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68" name="Text Box 24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69" name="Text Box 24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70" name="Text Box 24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71" name="Text Box 24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72" name="Text Box 24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73" name="Text Box 24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74" name="Text Box 24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75" name="Text Box 24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76" name="Text Box 24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77" name="Text Box 24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78" name="Text Box 24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79" name="Text Box 24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80" name="Text Box 24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81" name="Text Box 24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82" name="Text Box 24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83" name="Text Box 24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84" name="Text Box 24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85" name="Text Box 24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86" name="Text Box 24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87" name="Text Box 24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88" name="Text Box 24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89" name="Text Box 24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90" name="Text Box 24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91" name="Text Box 24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92" name="Text Box 24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93" name="Text Box 24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94" name="Text Box 24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95" name="Text Box 24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96" name="Text Box 24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97" name="Text Box 24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98" name="Text Box 24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099" name="Text Box 24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00" name="Text Box 24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01" name="Text Box 24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02" name="Text Box 24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03" name="Text Box 24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04" name="Text Box 24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05" name="Text Box 24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06" name="Text Box 24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07" name="Text Box 24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08" name="Text Box 24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09" name="Text Box 24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10" name="Text Box 24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11" name="Text Box 24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12" name="Text Box 24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13" name="Text Box 24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14" name="Text Box 24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15" name="Text Box 24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16" name="Text Box 24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17" name="Text Box 24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18" name="Text Box 24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19" name="Text Box 24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20" name="Text Box 24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21" name="Text Box 24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22" name="Text Box 24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23" name="Text Box 24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24" name="Text Box 24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25" name="Text Box 24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26" name="Text Box 24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27" name="Text Box 24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28" name="Text Box 24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29" name="Text Box 24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30" name="Text Box 24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31" name="Text Box 24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32" name="Text Box 24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33" name="Text Box 24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34" name="Text Box 24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35" name="Text Box 24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36" name="Text Box 24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37" name="Text Box 24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38" name="Text Box 24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39" name="Text Box 24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40" name="Text Box 24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41" name="Text Box 24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42" name="Text Box 24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43" name="Text Box 24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44" name="Text Box 24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45" name="Text Box 24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46" name="Text Box 24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47" name="Text Box 24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48" name="Text Box 24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49" name="Text Box 24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50" name="Text Box 24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51" name="Text Box 24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52" name="Text Box 24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53" name="Text Box 24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54" name="Text Box 24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55" name="Text Box 24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56" name="Text Box 24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57" name="Text Box 24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58" name="Text Box 24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59" name="Text Box 24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60" name="Text Box 25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61" name="Text Box 25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62" name="Text Box 25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63" name="Text Box 25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64" name="Text Box 25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65" name="Text Box 25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66" name="Text Box 25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67" name="Text Box 25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68" name="Text Box 25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69" name="Text Box 25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70" name="Text Box 25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71" name="Text Box 25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72" name="Text Box 25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73" name="Text Box 25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74" name="Text Box 25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75" name="Text Box 25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76" name="Text Box 25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77" name="Text Box 25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78" name="Text Box 25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79" name="Text Box 25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80" name="Text Box 25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81" name="Text Box 25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82" name="Text Box 25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83" name="Text Box 25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84" name="Text Box 25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85" name="Text Box 25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86" name="Text Box 25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87" name="Text Box 25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88" name="Text Box 25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89" name="Text Box 25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90" name="Text Box 25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91" name="Text Box 25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92" name="Text Box 25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93" name="Text Box 25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94" name="Text Box 25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95" name="Text Box 25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96" name="Text Box 25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97" name="Text Box 25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98" name="Text Box 25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199" name="Text Box 25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00" name="Text Box 25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01" name="Text Box 25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02" name="Text Box 25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03" name="Text Box 25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04" name="Text Box 25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05" name="Text Box 25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06" name="Text Box 25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07" name="Text Box 25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08" name="Text Box 25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09" name="Text Box 25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10" name="Text Box 25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11" name="Text Box 25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12" name="Text Box 25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13" name="Text Box 25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14" name="Text Box 25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15" name="Text Box 25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16" name="Text Box 25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17" name="Text Box 25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18" name="Text Box 25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19" name="Text Box 25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20" name="Text Box 25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21" name="Text Box 25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22" name="Text Box 25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23" name="Text Box 25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24" name="Text Box 25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25" name="Text Box 25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26" name="Text Box 25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27" name="Text Box 25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28" name="Text Box 25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29" name="Text Box 25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30" name="Text Box 25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31" name="Text Box 25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32" name="Text Box 25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33" name="Text Box 25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34" name="Text Box 25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35" name="Text Box 25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36" name="Text Box 25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37" name="Text Box 25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38" name="Text Box 25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39" name="Text Box 25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40" name="Text Box 25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41" name="Text Box 25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42" name="Text Box 25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43" name="Text Box 25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44" name="Text Box 25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45" name="Text Box 25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46" name="Text Box 25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47" name="Text Box 25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48" name="Text Box 25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49" name="Text Box 25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50" name="Text Box 25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51" name="Text Box 25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52" name="Text Box 25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53" name="Text Box 25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54" name="Text Box 25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55" name="Text Box 25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56" name="Text Box 25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57" name="Text Box 25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58" name="Text Box 25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59" name="Text Box 25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60" name="Text Box 26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61" name="Text Box 26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62" name="Text Box 26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63" name="Text Box 26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64" name="Text Box 26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65" name="Text Box 26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66" name="Text Box 26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67" name="Text Box 26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68" name="Text Box 26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69" name="Text Box 26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70" name="Text Box 26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71" name="Text Box 26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72" name="Text Box 26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73" name="Text Box 26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74" name="Text Box 26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75" name="Text Box 26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76" name="Text Box 26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77" name="Text Box 26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78" name="Text Box 26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79" name="Text Box 26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80" name="Text Box 26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81" name="Text Box 26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82" name="Text Box 26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83" name="Text Box 26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84" name="Text Box 26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85" name="Text Box 26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86" name="Text Box 26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87" name="Text Box 26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88" name="Text Box 26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89" name="Text Box 26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90" name="Text Box 26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91" name="Text Box 26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92" name="Text Box 26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93" name="Text Box 26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94" name="Text Box 26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95" name="Text Box 26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96" name="Text Box 26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97" name="Text Box 26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98" name="Text Box 26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299" name="Text Box 26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00" name="Text Box 26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01" name="Text Box 26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02" name="Text Box 26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03" name="Text Box 26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04" name="Text Box 26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05" name="Text Box 26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06" name="Text Box 26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07" name="Text Box 26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08" name="Text Box 26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09" name="Text Box 26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10" name="Text Box 26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11" name="Text Box 26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12" name="Text Box 26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13" name="Text Box 26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14" name="Text Box 26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15" name="Text Box 26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16" name="Text Box 26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17" name="Text Box 26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18" name="Text Box 26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19" name="Text Box 26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20" name="Text Box 26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21" name="Text Box 26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22" name="Text Box 26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23" name="Text Box 26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24" name="Text Box 26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25" name="Text Box 26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26" name="Text Box 26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27" name="Text Box 26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28" name="Text Box 26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29" name="Text Box 26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30" name="Text Box 26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31" name="Text Box 26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32" name="Text Box 26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33" name="Text Box 26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34" name="Text Box 26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35" name="Text Box 26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36" name="Text Box 26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37" name="Text Box 26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38" name="Text Box 26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39" name="Text Box 26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40" name="Text Box 26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41" name="Text Box 26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42" name="Text Box 26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43" name="Text Box 26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44" name="Text Box 26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45" name="Text Box 26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46" name="Text Box 26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47" name="Text Box 26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48" name="Text Box 26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49" name="Text Box 26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50" name="Text Box 26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51" name="Text Box 26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52" name="Text Box 26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53" name="Text Box 26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54" name="Text Box 26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55" name="Text Box 26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56" name="Text Box 26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57" name="Text Box 26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58" name="Text Box 26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59" name="Text Box 26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60" name="Text Box 27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61" name="Text Box 27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62" name="Text Box 27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63" name="Text Box 27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64" name="Text Box 27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65" name="Text Box 27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66" name="Text Box 27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67" name="Text Box 27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68" name="Text Box 27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69" name="Text Box 27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70" name="Text Box 27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71" name="Text Box 27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72" name="Text Box 27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73" name="Text Box 27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74" name="Text Box 27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75" name="Text Box 27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76" name="Text Box 27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77" name="Text Box 27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78" name="Text Box 27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79" name="Text Box 27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80" name="Text Box 27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81" name="Text Box 27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82" name="Text Box 27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83" name="Text Box 27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84" name="Text Box 27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85" name="Text Box 27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86" name="Text Box 27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87" name="Text Box 27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88" name="Text Box 27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89" name="Text Box 27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90" name="Text Box 27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91" name="Text Box 27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92" name="Text Box 27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93" name="Text Box 27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94" name="Text Box 27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95" name="Text Box 27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96" name="Text Box 27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97" name="Text Box 27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98" name="Text Box 27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399" name="Text Box 27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00" name="Text Box 27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01" name="Text Box 27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02" name="Text Box 27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03" name="Text Box 27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04" name="Text Box 27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05" name="Text Box 27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06" name="Text Box 27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07" name="Text Box 27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08" name="Text Box 27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09" name="Text Box 27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10" name="Text Box 27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11" name="Text Box 27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12" name="Text Box 27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13" name="Text Box 27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14" name="Text Box 27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15" name="Text Box 27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16" name="Text Box 27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17" name="Text Box 27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18" name="Text Box 27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19" name="Text Box 27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20" name="Text Box 27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21" name="Text Box 27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22" name="Text Box 27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23" name="Text Box 27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24" name="Text Box 27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25" name="Text Box 27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26" name="Text Box 27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27" name="Text Box 27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28" name="Text Box 27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29" name="Text Box 27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30" name="Text Box 27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31" name="Text Box 27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32" name="Text Box 27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33" name="Text Box 27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34" name="Text Box 27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35" name="Text Box 27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36" name="Text Box 27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37" name="Text Box 27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38" name="Text Box 27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39" name="Text Box 27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40" name="Text Box 27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41" name="Text Box 27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42" name="Text Box 27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43" name="Text Box 27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44" name="Text Box 27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45" name="Text Box 27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46" name="Text Box 27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47" name="Text Box 27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48" name="Text Box 27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49" name="Text Box 27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50" name="Text Box 27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51" name="Text Box 27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52" name="Text Box 27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53" name="Text Box 27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54" name="Text Box 27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55" name="Text Box 27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56" name="Text Box 27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57" name="Text Box 27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58" name="Text Box 27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59" name="Text Box 27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60" name="Text Box 28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61" name="Text Box 28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62" name="Text Box 28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63" name="Text Box 28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64" name="Text Box 28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65" name="Text Box 28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66" name="Text Box 28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67" name="Text Box 28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68" name="Text Box 28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69" name="Text Box 28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70" name="Text Box 28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71" name="Text Box 28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72" name="Text Box 28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73" name="Text Box 28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74" name="Text Box 28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75" name="Text Box 28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76" name="Text Box 28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77" name="Text Box 28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78" name="Text Box 28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79" name="Text Box 28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80" name="Text Box 28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81" name="Text Box 28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82" name="Text Box 28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83" name="Text Box 28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84" name="Text Box 28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85" name="Text Box 28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86" name="Text Box 28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87" name="Text Box 28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88" name="Text Box 28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89" name="Text Box 28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90" name="Text Box 28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91" name="Text Box 28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92" name="Text Box 28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93" name="Text Box 28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94" name="Text Box 28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95" name="Text Box 28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96" name="Text Box 28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97" name="Text Box 28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98" name="Text Box 28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499" name="Text Box 28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00" name="Text Box 28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01" name="Text Box 28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02" name="Text Box 28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03" name="Text Box 28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04" name="Text Box 28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05" name="Text Box 28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06" name="Text Box 28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07" name="Text Box 28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08" name="Text Box 28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09" name="Text Box 28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10" name="Text Box 28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11" name="Text Box 28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12" name="Text Box 28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13" name="Text Box 28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14" name="Text Box 28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15" name="Text Box 28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16" name="Text Box 28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17" name="Text Box 28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18" name="Text Box 28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19" name="Text Box 28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20" name="Text Box 28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21" name="Text Box 28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22" name="Text Box 28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23" name="Text Box 28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24" name="Text Box 28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25" name="Text Box 28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26" name="Text Box 28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27" name="Text Box 28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28" name="Text Box 28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29" name="Text Box 28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30" name="Text Box 28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31" name="Text Box 28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32" name="Text Box 28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33" name="Text Box 28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34" name="Text Box 28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35" name="Text Box 28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36" name="Text Box 28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37" name="Text Box 28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38" name="Text Box 28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39" name="Text Box 28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40" name="Text Box 28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41" name="Text Box 28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42" name="Text Box 28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43" name="Text Box 28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44" name="Text Box 28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45" name="Text Box 28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46" name="Text Box 28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47" name="Text Box 28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48" name="Text Box 28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49" name="Text Box 28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50" name="Text Box 28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51" name="Text Box 28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52" name="Text Box 28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53" name="Text Box 28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54" name="Text Box 28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55" name="Text Box 28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56" name="Text Box 28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57" name="Text Box 28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58" name="Text Box 28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59" name="Text Box 289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60" name="Text Box 290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61" name="Text Box 290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62" name="Text Box 290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63" name="Text Box 290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64" name="Text Box 290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65" name="Text Box 290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66" name="Text Box 290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67" name="Text Box 290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68" name="Text Box 290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69" name="Text Box 290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70" name="Text Box 291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71" name="Text Box 291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72" name="Text Box 291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73" name="Text Box 291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74" name="Text Box 291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75" name="Text Box 291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76" name="Text Box 291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77" name="Text Box 291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78" name="Text Box 291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79" name="Text Box 291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80" name="Text Box 292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81" name="Text Box 292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82" name="Text Box 292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83" name="Text Box 292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84" name="Text Box 292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85" name="Text Box 292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86" name="Text Box 292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87" name="Text Box 292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88" name="Text Box 292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89" name="Text Box 292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90" name="Text Box 293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91" name="Text Box 293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92" name="Text Box 293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93" name="Text Box 293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94" name="Text Box 293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95" name="Text Box 293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96" name="Text Box 293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97" name="Text Box 293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98" name="Text Box 293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599" name="Text Box 293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00" name="Text Box 294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01" name="Text Box 294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02" name="Text Box 294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03" name="Text Box 294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04" name="Text Box 294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05" name="Text Box 294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06" name="Text Box 294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07" name="Text Box 294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08" name="Text Box 294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09" name="Text Box 294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10" name="Text Box 295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11" name="Text Box 295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12" name="Text Box 295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13" name="Text Box 295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14" name="Text Box 295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15" name="Text Box 295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16" name="Text Box 295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17" name="Text Box 295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18" name="Text Box 295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19" name="Text Box 295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20" name="Text Box 296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21" name="Text Box 296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22" name="Text Box 296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23" name="Text Box 296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24" name="Text Box 296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25" name="Text Box 296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26" name="Text Box 296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27" name="Text Box 296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28" name="Text Box 296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29" name="Text Box 296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30" name="Text Box 297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31" name="Text Box 297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32" name="Text Box 297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33" name="Text Box 297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34" name="Text Box 297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35" name="Text Box 297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36" name="Text Box 297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37" name="Text Box 297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38" name="Text Box 297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39" name="Text Box 297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40" name="Text Box 298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41" name="Text Box 298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42" name="Text Box 298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43" name="Text Box 298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44" name="Text Box 298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45" name="Text Box 298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46" name="Text Box 298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47" name="Text Box 298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48" name="Text Box 298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49" name="Text Box 2989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50" name="Text Box 2990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51" name="Text Box 2991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52" name="Text Box 2992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53" name="Text Box 2993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54" name="Text Box 2994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55" name="Text Box 2995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56" name="Text Box 2996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57" name="Text Box 2997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95</xdr:col>
      <xdr:colOff>0</xdr:colOff>
      <xdr:row>3</xdr:row>
      <xdr:rowOff>0</xdr:rowOff>
    </xdr:from>
    <xdr:to>
      <xdr:col>100</xdr:col>
      <xdr:colOff>76200</xdr:colOff>
      <xdr:row>4</xdr:row>
      <xdr:rowOff>19050</xdr:rowOff>
    </xdr:to>
    <xdr:sp macro="" textlink="">
      <xdr:nvSpPr>
        <xdr:cNvPr id="3658" name="Text Box 2998"/>
        <xdr:cNvSpPr txBox="1">
          <a:spLocks noChangeArrowheads="1"/>
        </xdr:cNvSpPr>
      </xdr:nvSpPr>
      <xdr:spPr bwMode="auto">
        <a:xfrm>
          <a:off x="17583150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33" name="Text Box 1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34" name="Text Box 1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35" name="Text Box 1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36" name="Text Box 1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37" name="Text Box 15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38" name="Text Box 16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39" name="Text Box 17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40" name="Text Box 18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41" name="Text Box 19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42" name="Text Box 20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43" name="Text Box 21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44" name="Text Box 22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45" name="Text Box 23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46" name="Text Box 24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47" name="Text Box 25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76200</xdr:colOff>
      <xdr:row>2</xdr:row>
      <xdr:rowOff>19050</xdr:rowOff>
    </xdr:to>
    <xdr:sp macro="" textlink="">
      <xdr:nvSpPr>
        <xdr:cNvPr id="376848" name="Text Box 26"/>
        <xdr:cNvSpPr txBox="1">
          <a:spLocks noChangeArrowheads="1"/>
        </xdr:cNvSpPr>
      </xdr:nvSpPr>
      <xdr:spPr bwMode="auto">
        <a:xfrm>
          <a:off x="18383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49" name="Text Box 2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50" name="Text Box 2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51" name="Text Box 2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52" name="Text Box 3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53" name="Text Box 3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54" name="Text Box 3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55" name="Text Box 3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56" name="Text Box 3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57" name="Text Box 3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58" name="Text Box 3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59" name="Text Box 3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60" name="Text Box 3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61" name="Text Box 3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62" name="Text Box 4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63" name="Text Box 4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64" name="Text Box 4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65" name="Text Box 4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66" name="Text Box 4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67" name="Text Box 4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68" name="Text Box 4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69" name="Text Box 4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70" name="Text Box 4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71" name="Text Box 4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72" name="Text Box 5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73" name="Text Box 5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74" name="Text Box 5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75" name="Text Box 5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76" name="Text Box 5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77" name="Text Box 5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78" name="Text Box 5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79" name="Text Box 5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80" name="Text Box 5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81" name="Text Box 5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82" name="Text Box 6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83" name="Text Box 6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84" name="Text Box 6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85" name="Text Box 6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86" name="Text Box 6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87" name="Text Box 6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88" name="Text Box 6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89" name="Text Box 6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90" name="Text Box 6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91" name="Text Box 6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92" name="Text Box 7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93" name="Text Box 7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94" name="Text Box 7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95" name="Text Box 7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96" name="Text Box 7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97" name="Text Box 7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98" name="Text Box 7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99" name="Text Box 7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00" name="Text Box 7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01" name="Text Box 7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02" name="Text Box 8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03" name="Text Box 8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04" name="Text Box 8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05" name="Text Box 8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06" name="Text Box 8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07" name="Text Box 8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08" name="Text Box 8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09" name="Text Box 8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10" name="Text Box 8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11" name="Text Box 8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12" name="Text Box 9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13" name="Text Box 9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14" name="Text Box 9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15" name="Text Box 9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16" name="Text Box 9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17" name="Text Box 9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18" name="Text Box 9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19" name="Text Box 9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20" name="Text Box 9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21" name="Text Box 9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22" name="Text Box 10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23" name="Text Box 10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24" name="Text Box 10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25" name="Text Box 10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26" name="Text Box 10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27" name="Text Box 10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28" name="Text Box 10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29" name="Text Box 10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30" name="Text Box 10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31" name="Text Box 10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32" name="Text Box 11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33" name="Text Box 11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34" name="Text Box 11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35" name="Text Box 11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36" name="Text Box 11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37" name="Text Box 11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38" name="Text Box 11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39" name="Text Box 11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40" name="Text Box 11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41" name="Text Box 11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42" name="Text Box 12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43" name="Text Box 12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44" name="Text Box 12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45" name="Text Box 12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46" name="Text Box 12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47" name="Text Box 12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48" name="Text Box 12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49" name="Text Box 12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50" name="Text Box 12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51" name="Text Box 12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52" name="Text Box 13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53" name="Text Box 13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54" name="Text Box 13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55" name="Text Box 13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56" name="Text Box 13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57" name="Text Box 13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58" name="Text Box 13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59" name="Text Box 13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60" name="Text Box 13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61" name="Text Box 13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62" name="Text Box 14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63" name="Text Box 14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64" name="Text Box 14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65" name="Text Box 14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66" name="Text Box 14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67" name="Text Box 14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68" name="Text Box 14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69" name="Text Box 14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70" name="Text Box 14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71" name="Text Box 14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72" name="Text Box 15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73" name="Text Box 15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74" name="Text Box 15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75" name="Text Box 15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76" name="Text Box 15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77" name="Text Box 15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78" name="Text Box 15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79" name="Text Box 15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80" name="Text Box 15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81" name="Text Box 15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82" name="Text Box 16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83" name="Text Box 16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84" name="Text Box 16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85" name="Text Box 16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86" name="Text Box 16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87" name="Text Box 16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88" name="Text Box 16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89" name="Text Box 16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90" name="Text Box 16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91" name="Text Box 16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92" name="Text Box 17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93" name="Text Box 17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94" name="Text Box 17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95" name="Text Box 17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96" name="Text Box 17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97" name="Text Box 17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98" name="Text Box 17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99" name="Text Box 17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00" name="Text Box 17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01" name="Text Box 17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02" name="Text Box 18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03" name="Text Box 18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04" name="Text Box 18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05" name="Text Box 18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06" name="Text Box 18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07" name="Text Box 18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08" name="Text Box 18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09" name="Text Box 18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10" name="Text Box 18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11" name="Text Box 18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12" name="Text Box 19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13" name="Text Box 19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14" name="Text Box 19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15" name="Text Box 19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16" name="Text Box 19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17" name="Text Box 19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18" name="Text Box 19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19" name="Text Box 19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20" name="Text Box 19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21" name="Text Box 19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22" name="Text Box 20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23" name="Text Box 20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24" name="Text Box 20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25" name="Text Box 20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26" name="Text Box 20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27" name="Text Box 20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28" name="Text Box 20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29" name="Text Box 20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30" name="Text Box 20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31" name="Text Box 20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32" name="Text Box 21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33" name="Text Box 21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34" name="Text Box 21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35" name="Text Box 21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36" name="Text Box 21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37" name="Text Box 21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38" name="Text Box 21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39" name="Text Box 21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40" name="Text Box 21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41" name="Text Box 21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42" name="Text Box 22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43" name="Text Box 22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44" name="Text Box 22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45" name="Text Box 22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46" name="Text Box 22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47" name="Text Box 22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48" name="Text Box 22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49" name="Text Box 22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50" name="Text Box 22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51" name="Text Box 22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52" name="Text Box 23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53" name="Text Box 23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54" name="Text Box 23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55" name="Text Box 23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56" name="Text Box 23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57" name="Text Box 23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58" name="Text Box 23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59" name="Text Box 23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60" name="Text Box 23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61" name="Text Box 23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62" name="Text Box 24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63" name="Text Box 24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64" name="Text Box 24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65" name="Text Box 24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66" name="Text Box 24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67" name="Text Box 24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68" name="Text Box 24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69" name="Text Box 24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70" name="Text Box 24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71" name="Text Box 24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72" name="Text Box 25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73" name="Text Box 25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74" name="Text Box 25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75" name="Text Box 25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76" name="Text Box 25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77" name="Text Box 25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78" name="Text Box 25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79" name="Text Box 25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80" name="Text Box 25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81" name="Text Box 25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82" name="Text Box 26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83" name="Text Box 26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84" name="Text Box 26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85" name="Text Box 26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86" name="Text Box 26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87" name="Text Box 26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88" name="Text Box 26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89" name="Text Box 26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90" name="Text Box 26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91" name="Text Box 26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92" name="Text Box 27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93" name="Text Box 27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94" name="Text Box 27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95" name="Text Box 27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96" name="Text Box 27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97" name="Text Box 27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98" name="Text Box 27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99" name="Text Box 27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00" name="Text Box 27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01" name="Text Box 27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02" name="Text Box 28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03" name="Text Box 28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04" name="Text Box 28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05" name="Text Box 28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06" name="Text Box 28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07" name="Text Box 28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08" name="Text Box 28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09" name="Text Box 28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10" name="Text Box 28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11" name="Text Box 28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12" name="Text Box 29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13" name="Text Box 29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14" name="Text Box 29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15" name="Text Box 29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16" name="Text Box 29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17" name="Text Box 29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18" name="Text Box 29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19" name="Text Box 29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20" name="Text Box 29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21" name="Text Box 29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22" name="Text Box 30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23" name="Text Box 30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24" name="Text Box 30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25" name="Text Box 30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26" name="Text Box 30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27" name="Text Box 30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28" name="Text Box 30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29" name="Text Box 30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30" name="Text Box 30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31" name="Text Box 30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32" name="Text Box 31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33" name="Text Box 31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34" name="Text Box 31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35" name="Text Box 31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36" name="Text Box 31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37" name="Text Box 31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38" name="Text Box 31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39" name="Text Box 31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40" name="Text Box 31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41" name="Text Box 31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42" name="Text Box 32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43" name="Text Box 32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44" name="Text Box 32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45" name="Text Box 32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46" name="Text Box 32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47" name="Text Box 32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48" name="Text Box 32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49" name="Text Box 32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50" name="Text Box 32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51" name="Text Box 32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52" name="Text Box 33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53" name="Text Box 33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54" name="Text Box 33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55" name="Text Box 33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56" name="Text Box 33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57" name="Text Box 33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58" name="Text Box 33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59" name="Text Box 33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60" name="Text Box 33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61" name="Text Box 33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62" name="Text Box 34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63" name="Text Box 34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64" name="Text Box 34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65" name="Text Box 34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66" name="Text Box 34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67" name="Text Box 34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68" name="Text Box 34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69" name="Text Box 34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70" name="Text Box 34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71" name="Text Box 34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72" name="Text Box 35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73" name="Text Box 35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74" name="Text Box 35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75" name="Text Box 35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76" name="Text Box 35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77" name="Text Box 35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78" name="Text Box 35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79" name="Text Box 35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80" name="Text Box 35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81" name="Text Box 35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82" name="Text Box 36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83" name="Text Box 36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84" name="Text Box 36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85" name="Text Box 36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86" name="Text Box 36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87" name="Text Box 36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88" name="Text Box 36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89" name="Text Box 36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90" name="Text Box 36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91" name="Text Box 36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92" name="Text Box 37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93" name="Text Box 37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94" name="Text Box 37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95" name="Text Box 37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96" name="Text Box 37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97" name="Text Box 37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98" name="Text Box 37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99" name="Text Box 37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00" name="Text Box 37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01" name="Text Box 37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02" name="Text Box 38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03" name="Text Box 38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04" name="Text Box 38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05" name="Text Box 38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06" name="Text Box 38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07" name="Text Box 38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08" name="Text Box 38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09" name="Text Box 38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10" name="Text Box 38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11" name="Text Box 38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12" name="Text Box 39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13" name="Text Box 39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14" name="Text Box 39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15" name="Text Box 39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16" name="Text Box 39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17" name="Text Box 39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18" name="Text Box 39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19" name="Text Box 39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20" name="Text Box 39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21" name="Text Box 39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22" name="Text Box 40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23" name="Text Box 40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24" name="Text Box 40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25" name="Text Box 40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26" name="Text Box 40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27" name="Text Box 40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28" name="Text Box 40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29" name="Text Box 40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30" name="Text Box 40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31" name="Text Box 40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32" name="Text Box 41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33" name="Text Box 41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34" name="Text Box 41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35" name="Text Box 41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36" name="Text Box 41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37" name="Text Box 41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38" name="Text Box 41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39" name="Text Box 41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40" name="Text Box 41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41" name="Text Box 41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42" name="Text Box 42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43" name="Text Box 42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44" name="Text Box 42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45" name="Text Box 42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46" name="Text Box 42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47" name="Text Box 42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48" name="Text Box 42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49" name="Text Box 42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50" name="Text Box 42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51" name="Text Box 42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52" name="Text Box 43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53" name="Text Box 43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54" name="Text Box 43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55" name="Text Box 43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56" name="Text Box 43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57" name="Text Box 43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58" name="Text Box 43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59" name="Text Box 437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60" name="Text Box 438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61" name="Text Box 439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62" name="Text Box 440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63" name="Text Box 441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64" name="Text Box 442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65" name="Text Box 443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66" name="Text Box 444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67" name="Text Box 445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68" name="Text Box 446"/>
        <xdr:cNvSpPr txBox="1">
          <a:spLocks noChangeArrowheads="1"/>
        </xdr:cNvSpPr>
      </xdr:nvSpPr>
      <xdr:spPr bwMode="auto">
        <a:xfrm>
          <a:off x="1152525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69" name="Text Box 447"/>
        <xdr:cNvSpPr txBox="1">
          <a:spLocks noChangeArrowheads="1"/>
        </xdr:cNvSpPr>
      </xdr:nvSpPr>
      <xdr:spPr bwMode="auto">
        <a:xfrm>
          <a:off x="1152525" y="38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70" name="Text Box 448"/>
        <xdr:cNvSpPr txBox="1">
          <a:spLocks noChangeArrowheads="1"/>
        </xdr:cNvSpPr>
      </xdr:nvSpPr>
      <xdr:spPr bwMode="auto">
        <a:xfrm>
          <a:off x="1152525" y="38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71" name="Text Box 449"/>
        <xdr:cNvSpPr txBox="1">
          <a:spLocks noChangeArrowheads="1"/>
        </xdr:cNvSpPr>
      </xdr:nvSpPr>
      <xdr:spPr bwMode="auto">
        <a:xfrm>
          <a:off x="1152525" y="38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72" name="Text Box 450"/>
        <xdr:cNvSpPr txBox="1">
          <a:spLocks noChangeArrowheads="1"/>
        </xdr:cNvSpPr>
      </xdr:nvSpPr>
      <xdr:spPr bwMode="auto">
        <a:xfrm>
          <a:off x="1152525" y="38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73" name="Text Box 451"/>
        <xdr:cNvSpPr txBox="1">
          <a:spLocks noChangeArrowheads="1"/>
        </xdr:cNvSpPr>
      </xdr:nvSpPr>
      <xdr:spPr bwMode="auto">
        <a:xfrm>
          <a:off x="1152525" y="57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74" name="Text Box 452"/>
        <xdr:cNvSpPr txBox="1">
          <a:spLocks noChangeArrowheads="1"/>
        </xdr:cNvSpPr>
      </xdr:nvSpPr>
      <xdr:spPr bwMode="auto">
        <a:xfrm>
          <a:off x="1152525" y="57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75" name="Text Box 453"/>
        <xdr:cNvSpPr txBox="1">
          <a:spLocks noChangeArrowheads="1"/>
        </xdr:cNvSpPr>
      </xdr:nvSpPr>
      <xdr:spPr bwMode="auto">
        <a:xfrm>
          <a:off x="1152525" y="57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76" name="Text Box 454"/>
        <xdr:cNvSpPr txBox="1">
          <a:spLocks noChangeArrowheads="1"/>
        </xdr:cNvSpPr>
      </xdr:nvSpPr>
      <xdr:spPr bwMode="auto">
        <a:xfrm>
          <a:off x="1152525" y="57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77" name="Text Box 455"/>
        <xdr:cNvSpPr txBox="1">
          <a:spLocks noChangeArrowheads="1"/>
        </xdr:cNvSpPr>
      </xdr:nvSpPr>
      <xdr:spPr bwMode="auto">
        <a:xfrm>
          <a:off x="1152525" y="76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78" name="Text Box 456"/>
        <xdr:cNvSpPr txBox="1">
          <a:spLocks noChangeArrowheads="1"/>
        </xdr:cNvSpPr>
      </xdr:nvSpPr>
      <xdr:spPr bwMode="auto">
        <a:xfrm>
          <a:off x="1152525" y="76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79" name="Text Box 457"/>
        <xdr:cNvSpPr txBox="1">
          <a:spLocks noChangeArrowheads="1"/>
        </xdr:cNvSpPr>
      </xdr:nvSpPr>
      <xdr:spPr bwMode="auto">
        <a:xfrm>
          <a:off x="1152525" y="76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80" name="Text Box 458"/>
        <xdr:cNvSpPr txBox="1">
          <a:spLocks noChangeArrowheads="1"/>
        </xdr:cNvSpPr>
      </xdr:nvSpPr>
      <xdr:spPr bwMode="auto">
        <a:xfrm>
          <a:off x="1152525" y="76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81" name="Text Box 459"/>
        <xdr:cNvSpPr txBox="1">
          <a:spLocks noChangeArrowheads="1"/>
        </xdr:cNvSpPr>
      </xdr:nvSpPr>
      <xdr:spPr bwMode="auto">
        <a:xfrm>
          <a:off x="1152525" y="95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82" name="Text Box 460"/>
        <xdr:cNvSpPr txBox="1">
          <a:spLocks noChangeArrowheads="1"/>
        </xdr:cNvSpPr>
      </xdr:nvSpPr>
      <xdr:spPr bwMode="auto">
        <a:xfrm>
          <a:off x="1152525" y="95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83" name="Text Box 461"/>
        <xdr:cNvSpPr txBox="1">
          <a:spLocks noChangeArrowheads="1"/>
        </xdr:cNvSpPr>
      </xdr:nvSpPr>
      <xdr:spPr bwMode="auto">
        <a:xfrm>
          <a:off x="1152525" y="95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84" name="Text Box 462"/>
        <xdr:cNvSpPr txBox="1">
          <a:spLocks noChangeArrowheads="1"/>
        </xdr:cNvSpPr>
      </xdr:nvSpPr>
      <xdr:spPr bwMode="auto">
        <a:xfrm>
          <a:off x="1152525" y="95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85" name="Text Box 463"/>
        <xdr:cNvSpPr txBox="1">
          <a:spLocks noChangeArrowheads="1"/>
        </xdr:cNvSpPr>
      </xdr:nvSpPr>
      <xdr:spPr bwMode="auto">
        <a:xfrm>
          <a:off x="1152525" y="114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86" name="Text Box 464"/>
        <xdr:cNvSpPr txBox="1">
          <a:spLocks noChangeArrowheads="1"/>
        </xdr:cNvSpPr>
      </xdr:nvSpPr>
      <xdr:spPr bwMode="auto">
        <a:xfrm>
          <a:off x="1152525" y="114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87" name="Text Box 465"/>
        <xdr:cNvSpPr txBox="1">
          <a:spLocks noChangeArrowheads="1"/>
        </xdr:cNvSpPr>
      </xdr:nvSpPr>
      <xdr:spPr bwMode="auto">
        <a:xfrm>
          <a:off x="1152525" y="114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88" name="Text Box 466"/>
        <xdr:cNvSpPr txBox="1">
          <a:spLocks noChangeArrowheads="1"/>
        </xdr:cNvSpPr>
      </xdr:nvSpPr>
      <xdr:spPr bwMode="auto">
        <a:xfrm>
          <a:off x="1152525" y="114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89" name="Text Box 467"/>
        <xdr:cNvSpPr txBox="1">
          <a:spLocks noChangeArrowheads="1"/>
        </xdr:cNvSpPr>
      </xdr:nvSpPr>
      <xdr:spPr bwMode="auto">
        <a:xfrm>
          <a:off x="1152525" y="133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90" name="Text Box 468"/>
        <xdr:cNvSpPr txBox="1">
          <a:spLocks noChangeArrowheads="1"/>
        </xdr:cNvSpPr>
      </xdr:nvSpPr>
      <xdr:spPr bwMode="auto">
        <a:xfrm>
          <a:off x="1152525" y="133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91" name="Text Box 469"/>
        <xdr:cNvSpPr txBox="1">
          <a:spLocks noChangeArrowheads="1"/>
        </xdr:cNvSpPr>
      </xdr:nvSpPr>
      <xdr:spPr bwMode="auto">
        <a:xfrm>
          <a:off x="1152525" y="133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92" name="Text Box 470"/>
        <xdr:cNvSpPr txBox="1">
          <a:spLocks noChangeArrowheads="1"/>
        </xdr:cNvSpPr>
      </xdr:nvSpPr>
      <xdr:spPr bwMode="auto">
        <a:xfrm>
          <a:off x="1152525" y="133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93" name="Text Box 471"/>
        <xdr:cNvSpPr txBox="1">
          <a:spLocks noChangeArrowheads="1"/>
        </xdr:cNvSpPr>
      </xdr:nvSpPr>
      <xdr:spPr bwMode="auto">
        <a:xfrm>
          <a:off x="1152525" y="152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94" name="Text Box 472"/>
        <xdr:cNvSpPr txBox="1">
          <a:spLocks noChangeArrowheads="1"/>
        </xdr:cNvSpPr>
      </xdr:nvSpPr>
      <xdr:spPr bwMode="auto">
        <a:xfrm>
          <a:off x="1152525" y="152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95" name="Text Box 473"/>
        <xdr:cNvSpPr txBox="1">
          <a:spLocks noChangeArrowheads="1"/>
        </xdr:cNvSpPr>
      </xdr:nvSpPr>
      <xdr:spPr bwMode="auto">
        <a:xfrm>
          <a:off x="1152525" y="152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96" name="Text Box 474"/>
        <xdr:cNvSpPr txBox="1">
          <a:spLocks noChangeArrowheads="1"/>
        </xdr:cNvSpPr>
      </xdr:nvSpPr>
      <xdr:spPr bwMode="auto">
        <a:xfrm>
          <a:off x="1152525" y="152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97" name="Text Box 475"/>
        <xdr:cNvSpPr txBox="1">
          <a:spLocks noChangeArrowheads="1"/>
        </xdr:cNvSpPr>
      </xdr:nvSpPr>
      <xdr:spPr bwMode="auto">
        <a:xfrm>
          <a:off x="1152525" y="171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98" name="Text Box 476"/>
        <xdr:cNvSpPr txBox="1">
          <a:spLocks noChangeArrowheads="1"/>
        </xdr:cNvSpPr>
      </xdr:nvSpPr>
      <xdr:spPr bwMode="auto">
        <a:xfrm>
          <a:off x="1152525" y="171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99" name="Text Box 477"/>
        <xdr:cNvSpPr txBox="1">
          <a:spLocks noChangeArrowheads="1"/>
        </xdr:cNvSpPr>
      </xdr:nvSpPr>
      <xdr:spPr bwMode="auto">
        <a:xfrm>
          <a:off x="1152525" y="171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00" name="Text Box 478"/>
        <xdr:cNvSpPr txBox="1">
          <a:spLocks noChangeArrowheads="1"/>
        </xdr:cNvSpPr>
      </xdr:nvSpPr>
      <xdr:spPr bwMode="auto">
        <a:xfrm>
          <a:off x="1152525" y="171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01" name="Text Box 479"/>
        <xdr:cNvSpPr txBox="1">
          <a:spLocks noChangeArrowheads="1"/>
        </xdr:cNvSpPr>
      </xdr:nvSpPr>
      <xdr:spPr bwMode="auto">
        <a:xfrm>
          <a:off x="1152525" y="190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02" name="Text Box 480"/>
        <xdr:cNvSpPr txBox="1">
          <a:spLocks noChangeArrowheads="1"/>
        </xdr:cNvSpPr>
      </xdr:nvSpPr>
      <xdr:spPr bwMode="auto">
        <a:xfrm>
          <a:off x="1152525" y="190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03" name="Text Box 481"/>
        <xdr:cNvSpPr txBox="1">
          <a:spLocks noChangeArrowheads="1"/>
        </xdr:cNvSpPr>
      </xdr:nvSpPr>
      <xdr:spPr bwMode="auto">
        <a:xfrm>
          <a:off x="1152525" y="190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04" name="Text Box 482"/>
        <xdr:cNvSpPr txBox="1">
          <a:spLocks noChangeArrowheads="1"/>
        </xdr:cNvSpPr>
      </xdr:nvSpPr>
      <xdr:spPr bwMode="auto">
        <a:xfrm>
          <a:off x="1152525" y="190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05" name="Text Box 483"/>
        <xdr:cNvSpPr txBox="1">
          <a:spLocks noChangeArrowheads="1"/>
        </xdr:cNvSpPr>
      </xdr:nvSpPr>
      <xdr:spPr bwMode="auto">
        <a:xfrm>
          <a:off x="1152525" y="209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06" name="Text Box 484"/>
        <xdr:cNvSpPr txBox="1">
          <a:spLocks noChangeArrowheads="1"/>
        </xdr:cNvSpPr>
      </xdr:nvSpPr>
      <xdr:spPr bwMode="auto">
        <a:xfrm>
          <a:off x="1152525" y="209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07" name="Text Box 485"/>
        <xdr:cNvSpPr txBox="1">
          <a:spLocks noChangeArrowheads="1"/>
        </xdr:cNvSpPr>
      </xdr:nvSpPr>
      <xdr:spPr bwMode="auto">
        <a:xfrm>
          <a:off x="1152525" y="209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08" name="Text Box 486"/>
        <xdr:cNvSpPr txBox="1">
          <a:spLocks noChangeArrowheads="1"/>
        </xdr:cNvSpPr>
      </xdr:nvSpPr>
      <xdr:spPr bwMode="auto">
        <a:xfrm>
          <a:off x="1152525" y="209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09" name="Text Box 487"/>
        <xdr:cNvSpPr txBox="1">
          <a:spLocks noChangeArrowheads="1"/>
        </xdr:cNvSpPr>
      </xdr:nvSpPr>
      <xdr:spPr bwMode="auto">
        <a:xfrm>
          <a:off x="1152525" y="228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10" name="Text Box 488"/>
        <xdr:cNvSpPr txBox="1">
          <a:spLocks noChangeArrowheads="1"/>
        </xdr:cNvSpPr>
      </xdr:nvSpPr>
      <xdr:spPr bwMode="auto">
        <a:xfrm>
          <a:off x="1152525" y="228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11" name="Text Box 489"/>
        <xdr:cNvSpPr txBox="1">
          <a:spLocks noChangeArrowheads="1"/>
        </xdr:cNvSpPr>
      </xdr:nvSpPr>
      <xdr:spPr bwMode="auto">
        <a:xfrm>
          <a:off x="1152525" y="228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12" name="Text Box 490"/>
        <xdr:cNvSpPr txBox="1">
          <a:spLocks noChangeArrowheads="1"/>
        </xdr:cNvSpPr>
      </xdr:nvSpPr>
      <xdr:spPr bwMode="auto">
        <a:xfrm>
          <a:off x="1152525" y="228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13" name="Text Box 491"/>
        <xdr:cNvSpPr txBox="1">
          <a:spLocks noChangeArrowheads="1"/>
        </xdr:cNvSpPr>
      </xdr:nvSpPr>
      <xdr:spPr bwMode="auto">
        <a:xfrm>
          <a:off x="1152525" y="247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14" name="Text Box 492"/>
        <xdr:cNvSpPr txBox="1">
          <a:spLocks noChangeArrowheads="1"/>
        </xdr:cNvSpPr>
      </xdr:nvSpPr>
      <xdr:spPr bwMode="auto">
        <a:xfrm>
          <a:off x="1152525" y="247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15" name="Text Box 493"/>
        <xdr:cNvSpPr txBox="1">
          <a:spLocks noChangeArrowheads="1"/>
        </xdr:cNvSpPr>
      </xdr:nvSpPr>
      <xdr:spPr bwMode="auto">
        <a:xfrm>
          <a:off x="1152525" y="247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16" name="Text Box 494"/>
        <xdr:cNvSpPr txBox="1">
          <a:spLocks noChangeArrowheads="1"/>
        </xdr:cNvSpPr>
      </xdr:nvSpPr>
      <xdr:spPr bwMode="auto">
        <a:xfrm>
          <a:off x="1152525" y="247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17" name="Text Box 495"/>
        <xdr:cNvSpPr txBox="1">
          <a:spLocks noChangeArrowheads="1"/>
        </xdr:cNvSpPr>
      </xdr:nvSpPr>
      <xdr:spPr bwMode="auto">
        <a:xfrm>
          <a:off x="1152525" y="266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18" name="Text Box 496"/>
        <xdr:cNvSpPr txBox="1">
          <a:spLocks noChangeArrowheads="1"/>
        </xdr:cNvSpPr>
      </xdr:nvSpPr>
      <xdr:spPr bwMode="auto">
        <a:xfrm>
          <a:off x="1152525" y="266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19" name="Text Box 497"/>
        <xdr:cNvSpPr txBox="1">
          <a:spLocks noChangeArrowheads="1"/>
        </xdr:cNvSpPr>
      </xdr:nvSpPr>
      <xdr:spPr bwMode="auto">
        <a:xfrm>
          <a:off x="1152525" y="266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20" name="Text Box 498"/>
        <xdr:cNvSpPr txBox="1">
          <a:spLocks noChangeArrowheads="1"/>
        </xdr:cNvSpPr>
      </xdr:nvSpPr>
      <xdr:spPr bwMode="auto">
        <a:xfrm>
          <a:off x="1152525" y="266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21" name="Text Box 499"/>
        <xdr:cNvSpPr txBox="1">
          <a:spLocks noChangeArrowheads="1"/>
        </xdr:cNvSpPr>
      </xdr:nvSpPr>
      <xdr:spPr bwMode="auto">
        <a:xfrm>
          <a:off x="1152525" y="285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22" name="Text Box 500"/>
        <xdr:cNvSpPr txBox="1">
          <a:spLocks noChangeArrowheads="1"/>
        </xdr:cNvSpPr>
      </xdr:nvSpPr>
      <xdr:spPr bwMode="auto">
        <a:xfrm>
          <a:off x="1152525" y="285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23" name="Text Box 501"/>
        <xdr:cNvSpPr txBox="1">
          <a:spLocks noChangeArrowheads="1"/>
        </xdr:cNvSpPr>
      </xdr:nvSpPr>
      <xdr:spPr bwMode="auto">
        <a:xfrm>
          <a:off x="1152525" y="285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24" name="Text Box 502"/>
        <xdr:cNvSpPr txBox="1">
          <a:spLocks noChangeArrowheads="1"/>
        </xdr:cNvSpPr>
      </xdr:nvSpPr>
      <xdr:spPr bwMode="auto">
        <a:xfrm>
          <a:off x="1152525" y="285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25" name="Text Box 503"/>
        <xdr:cNvSpPr txBox="1">
          <a:spLocks noChangeArrowheads="1"/>
        </xdr:cNvSpPr>
      </xdr:nvSpPr>
      <xdr:spPr bwMode="auto">
        <a:xfrm>
          <a:off x="1152525" y="304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26" name="Text Box 504"/>
        <xdr:cNvSpPr txBox="1">
          <a:spLocks noChangeArrowheads="1"/>
        </xdr:cNvSpPr>
      </xdr:nvSpPr>
      <xdr:spPr bwMode="auto">
        <a:xfrm>
          <a:off x="1152525" y="304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27" name="Text Box 505"/>
        <xdr:cNvSpPr txBox="1">
          <a:spLocks noChangeArrowheads="1"/>
        </xdr:cNvSpPr>
      </xdr:nvSpPr>
      <xdr:spPr bwMode="auto">
        <a:xfrm>
          <a:off x="1152525" y="304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28" name="Text Box 506"/>
        <xdr:cNvSpPr txBox="1">
          <a:spLocks noChangeArrowheads="1"/>
        </xdr:cNvSpPr>
      </xdr:nvSpPr>
      <xdr:spPr bwMode="auto">
        <a:xfrm>
          <a:off x="1152525" y="304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29" name="Text Box 507"/>
        <xdr:cNvSpPr txBox="1">
          <a:spLocks noChangeArrowheads="1"/>
        </xdr:cNvSpPr>
      </xdr:nvSpPr>
      <xdr:spPr bwMode="auto">
        <a:xfrm>
          <a:off x="1152525" y="323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30" name="Text Box 508"/>
        <xdr:cNvSpPr txBox="1">
          <a:spLocks noChangeArrowheads="1"/>
        </xdr:cNvSpPr>
      </xdr:nvSpPr>
      <xdr:spPr bwMode="auto">
        <a:xfrm>
          <a:off x="1152525" y="323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31" name="Text Box 509"/>
        <xdr:cNvSpPr txBox="1">
          <a:spLocks noChangeArrowheads="1"/>
        </xdr:cNvSpPr>
      </xdr:nvSpPr>
      <xdr:spPr bwMode="auto">
        <a:xfrm>
          <a:off x="1152525" y="323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32" name="Text Box 510"/>
        <xdr:cNvSpPr txBox="1">
          <a:spLocks noChangeArrowheads="1"/>
        </xdr:cNvSpPr>
      </xdr:nvSpPr>
      <xdr:spPr bwMode="auto">
        <a:xfrm>
          <a:off x="1152525" y="323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33" name="Text Box 511"/>
        <xdr:cNvSpPr txBox="1">
          <a:spLocks noChangeArrowheads="1"/>
        </xdr:cNvSpPr>
      </xdr:nvSpPr>
      <xdr:spPr bwMode="auto">
        <a:xfrm>
          <a:off x="1152525" y="342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34" name="Text Box 512"/>
        <xdr:cNvSpPr txBox="1">
          <a:spLocks noChangeArrowheads="1"/>
        </xdr:cNvSpPr>
      </xdr:nvSpPr>
      <xdr:spPr bwMode="auto">
        <a:xfrm>
          <a:off x="1152525" y="342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35" name="Text Box 513"/>
        <xdr:cNvSpPr txBox="1">
          <a:spLocks noChangeArrowheads="1"/>
        </xdr:cNvSpPr>
      </xdr:nvSpPr>
      <xdr:spPr bwMode="auto">
        <a:xfrm>
          <a:off x="1152525" y="342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36" name="Text Box 514"/>
        <xdr:cNvSpPr txBox="1">
          <a:spLocks noChangeArrowheads="1"/>
        </xdr:cNvSpPr>
      </xdr:nvSpPr>
      <xdr:spPr bwMode="auto">
        <a:xfrm>
          <a:off x="1152525" y="342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37" name="Text Box 515"/>
        <xdr:cNvSpPr txBox="1">
          <a:spLocks noChangeArrowheads="1"/>
        </xdr:cNvSpPr>
      </xdr:nvSpPr>
      <xdr:spPr bwMode="auto">
        <a:xfrm>
          <a:off x="1152525" y="361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38" name="Text Box 516"/>
        <xdr:cNvSpPr txBox="1">
          <a:spLocks noChangeArrowheads="1"/>
        </xdr:cNvSpPr>
      </xdr:nvSpPr>
      <xdr:spPr bwMode="auto">
        <a:xfrm>
          <a:off x="1152525" y="361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39" name="Text Box 517"/>
        <xdr:cNvSpPr txBox="1">
          <a:spLocks noChangeArrowheads="1"/>
        </xdr:cNvSpPr>
      </xdr:nvSpPr>
      <xdr:spPr bwMode="auto">
        <a:xfrm>
          <a:off x="1152525" y="361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40" name="Text Box 518"/>
        <xdr:cNvSpPr txBox="1">
          <a:spLocks noChangeArrowheads="1"/>
        </xdr:cNvSpPr>
      </xdr:nvSpPr>
      <xdr:spPr bwMode="auto">
        <a:xfrm>
          <a:off x="1152525" y="361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41" name="Text Box 519"/>
        <xdr:cNvSpPr txBox="1">
          <a:spLocks noChangeArrowheads="1"/>
        </xdr:cNvSpPr>
      </xdr:nvSpPr>
      <xdr:spPr bwMode="auto">
        <a:xfrm>
          <a:off x="1152525" y="381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42" name="Text Box 520"/>
        <xdr:cNvSpPr txBox="1">
          <a:spLocks noChangeArrowheads="1"/>
        </xdr:cNvSpPr>
      </xdr:nvSpPr>
      <xdr:spPr bwMode="auto">
        <a:xfrm>
          <a:off x="1152525" y="381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43" name="Text Box 521"/>
        <xdr:cNvSpPr txBox="1">
          <a:spLocks noChangeArrowheads="1"/>
        </xdr:cNvSpPr>
      </xdr:nvSpPr>
      <xdr:spPr bwMode="auto">
        <a:xfrm>
          <a:off x="1152525" y="381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44" name="Text Box 522"/>
        <xdr:cNvSpPr txBox="1">
          <a:spLocks noChangeArrowheads="1"/>
        </xdr:cNvSpPr>
      </xdr:nvSpPr>
      <xdr:spPr bwMode="auto">
        <a:xfrm>
          <a:off x="1152525" y="381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45" name="Text Box 523"/>
        <xdr:cNvSpPr txBox="1">
          <a:spLocks noChangeArrowheads="1"/>
        </xdr:cNvSpPr>
      </xdr:nvSpPr>
      <xdr:spPr bwMode="auto">
        <a:xfrm>
          <a:off x="1152525" y="400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46" name="Text Box 524"/>
        <xdr:cNvSpPr txBox="1">
          <a:spLocks noChangeArrowheads="1"/>
        </xdr:cNvSpPr>
      </xdr:nvSpPr>
      <xdr:spPr bwMode="auto">
        <a:xfrm>
          <a:off x="1152525" y="400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47" name="Text Box 525"/>
        <xdr:cNvSpPr txBox="1">
          <a:spLocks noChangeArrowheads="1"/>
        </xdr:cNvSpPr>
      </xdr:nvSpPr>
      <xdr:spPr bwMode="auto">
        <a:xfrm>
          <a:off x="1152525" y="400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48" name="Text Box 526"/>
        <xdr:cNvSpPr txBox="1">
          <a:spLocks noChangeArrowheads="1"/>
        </xdr:cNvSpPr>
      </xdr:nvSpPr>
      <xdr:spPr bwMode="auto">
        <a:xfrm>
          <a:off x="1152525" y="400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49" name="Text Box 527"/>
        <xdr:cNvSpPr txBox="1">
          <a:spLocks noChangeArrowheads="1"/>
        </xdr:cNvSpPr>
      </xdr:nvSpPr>
      <xdr:spPr bwMode="auto">
        <a:xfrm>
          <a:off x="1152525" y="419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50" name="Text Box 528"/>
        <xdr:cNvSpPr txBox="1">
          <a:spLocks noChangeArrowheads="1"/>
        </xdr:cNvSpPr>
      </xdr:nvSpPr>
      <xdr:spPr bwMode="auto">
        <a:xfrm>
          <a:off x="1152525" y="419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51" name="Text Box 529"/>
        <xdr:cNvSpPr txBox="1">
          <a:spLocks noChangeArrowheads="1"/>
        </xdr:cNvSpPr>
      </xdr:nvSpPr>
      <xdr:spPr bwMode="auto">
        <a:xfrm>
          <a:off x="1152525" y="419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52" name="Text Box 530"/>
        <xdr:cNvSpPr txBox="1">
          <a:spLocks noChangeArrowheads="1"/>
        </xdr:cNvSpPr>
      </xdr:nvSpPr>
      <xdr:spPr bwMode="auto">
        <a:xfrm>
          <a:off x="1152525" y="419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53" name="Text Box 531"/>
        <xdr:cNvSpPr txBox="1">
          <a:spLocks noChangeArrowheads="1"/>
        </xdr:cNvSpPr>
      </xdr:nvSpPr>
      <xdr:spPr bwMode="auto">
        <a:xfrm>
          <a:off x="1152525" y="438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54" name="Text Box 532"/>
        <xdr:cNvSpPr txBox="1">
          <a:spLocks noChangeArrowheads="1"/>
        </xdr:cNvSpPr>
      </xdr:nvSpPr>
      <xdr:spPr bwMode="auto">
        <a:xfrm>
          <a:off x="1152525" y="438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55" name="Text Box 533"/>
        <xdr:cNvSpPr txBox="1">
          <a:spLocks noChangeArrowheads="1"/>
        </xdr:cNvSpPr>
      </xdr:nvSpPr>
      <xdr:spPr bwMode="auto">
        <a:xfrm>
          <a:off x="1152525" y="438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56" name="Text Box 534"/>
        <xdr:cNvSpPr txBox="1">
          <a:spLocks noChangeArrowheads="1"/>
        </xdr:cNvSpPr>
      </xdr:nvSpPr>
      <xdr:spPr bwMode="auto">
        <a:xfrm>
          <a:off x="1152525" y="438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57" name="Text Box 535"/>
        <xdr:cNvSpPr txBox="1">
          <a:spLocks noChangeArrowheads="1"/>
        </xdr:cNvSpPr>
      </xdr:nvSpPr>
      <xdr:spPr bwMode="auto">
        <a:xfrm>
          <a:off x="1152525" y="457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58" name="Text Box 536"/>
        <xdr:cNvSpPr txBox="1">
          <a:spLocks noChangeArrowheads="1"/>
        </xdr:cNvSpPr>
      </xdr:nvSpPr>
      <xdr:spPr bwMode="auto">
        <a:xfrm>
          <a:off x="1152525" y="457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59" name="Text Box 537"/>
        <xdr:cNvSpPr txBox="1">
          <a:spLocks noChangeArrowheads="1"/>
        </xdr:cNvSpPr>
      </xdr:nvSpPr>
      <xdr:spPr bwMode="auto">
        <a:xfrm>
          <a:off x="1152525" y="457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60" name="Text Box 538"/>
        <xdr:cNvSpPr txBox="1">
          <a:spLocks noChangeArrowheads="1"/>
        </xdr:cNvSpPr>
      </xdr:nvSpPr>
      <xdr:spPr bwMode="auto">
        <a:xfrm>
          <a:off x="1152525" y="457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61" name="Text Box 539"/>
        <xdr:cNvSpPr txBox="1">
          <a:spLocks noChangeArrowheads="1"/>
        </xdr:cNvSpPr>
      </xdr:nvSpPr>
      <xdr:spPr bwMode="auto">
        <a:xfrm>
          <a:off x="1152525" y="476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62" name="Text Box 540"/>
        <xdr:cNvSpPr txBox="1">
          <a:spLocks noChangeArrowheads="1"/>
        </xdr:cNvSpPr>
      </xdr:nvSpPr>
      <xdr:spPr bwMode="auto">
        <a:xfrm>
          <a:off x="1152525" y="476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63" name="Text Box 541"/>
        <xdr:cNvSpPr txBox="1">
          <a:spLocks noChangeArrowheads="1"/>
        </xdr:cNvSpPr>
      </xdr:nvSpPr>
      <xdr:spPr bwMode="auto">
        <a:xfrm>
          <a:off x="1152525" y="476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64" name="Text Box 542"/>
        <xdr:cNvSpPr txBox="1">
          <a:spLocks noChangeArrowheads="1"/>
        </xdr:cNvSpPr>
      </xdr:nvSpPr>
      <xdr:spPr bwMode="auto">
        <a:xfrm>
          <a:off x="1152525" y="476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65" name="Text Box 543"/>
        <xdr:cNvSpPr txBox="1">
          <a:spLocks noChangeArrowheads="1"/>
        </xdr:cNvSpPr>
      </xdr:nvSpPr>
      <xdr:spPr bwMode="auto">
        <a:xfrm>
          <a:off x="1152525" y="495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66" name="Text Box 544"/>
        <xdr:cNvSpPr txBox="1">
          <a:spLocks noChangeArrowheads="1"/>
        </xdr:cNvSpPr>
      </xdr:nvSpPr>
      <xdr:spPr bwMode="auto">
        <a:xfrm>
          <a:off x="1152525" y="495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67" name="Text Box 545"/>
        <xdr:cNvSpPr txBox="1">
          <a:spLocks noChangeArrowheads="1"/>
        </xdr:cNvSpPr>
      </xdr:nvSpPr>
      <xdr:spPr bwMode="auto">
        <a:xfrm>
          <a:off x="1152525" y="495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68" name="Text Box 546"/>
        <xdr:cNvSpPr txBox="1">
          <a:spLocks noChangeArrowheads="1"/>
        </xdr:cNvSpPr>
      </xdr:nvSpPr>
      <xdr:spPr bwMode="auto">
        <a:xfrm>
          <a:off x="1152525" y="495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69" name="Text Box 547"/>
        <xdr:cNvSpPr txBox="1">
          <a:spLocks noChangeArrowheads="1"/>
        </xdr:cNvSpPr>
      </xdr:nvSpPr>
      <xdr:spPr bwMode="auto">
        <a:xfrm>
          <a:off x="1152525" y="514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70" name="Text Box 548"/>
        <xdr:cNvSpPr txBox="1">
          <a:spLocks noChangeArrowheads="1"/>
        </xdr:cNvSpPr>
      </xdr:nvSpPr>
      <xdr:spPr bwMode="auto">
        <a:xfrm>
          <a:off x="1152525" y="514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71" name="Text Box 549"/>
        <xdr:cNvSpPr txBox="1">
          <a:spLocks noChangeArrowheads="1"/>
        </xdr:cNvSpPr>
      </xdr:nvSpPr>
      <xdr:spPr bwMode="auto">
        <a:xfrm>
          <a:off x="1152525" y="514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72" name="Text Box 550"/>
        <xdr:cNvSpPr txBox="1">
          <a:spLocks noChangeArrowheads="1"/>
        </xdr:cNvSpPr>
      </xdr:nvSpPr>
      <xdr:spPr bwMode="auto">
        <a:xfrm>
          <a:off x="1152525" y="514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73" name="Text Box 551"/>
        <xdr:cNvSpPr txBox="1">
          <a:spLocks noChangeArrowheads="1"/>
        </xdr:cNvSpPr>
      </xdr:nvSpPr>
      <xdr:spPr bwMode="auto">
        <a:xfrm>
          <a:off x="1152525" y="533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74" name="Text Box 552"/>
        <xdr:cNvSpPr txBox="1">
          <a:spLocks noChangeArrowheads="1"/>
        </xdr:cNvSpPr>
      </xdr:nvSpPr>
      <xdr:spPr bwMode="auto">
        <a:xfrm>
          <a:off x="1152525" y="533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75" name="Text Box 553"/>
        <xdr:cNvSpPr txBox="1">
          <a:spLocks noChangeArrowheads="1"/>
        </xdr:cNvSpPr>
      </xdr:nvSpPr>
      <xdr:spPr bwMode="auto">
        <a:xfrm>
          <a:off x="1152525" y="533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76" name="Text Box 554"/>
        <xdr:cNvSpPr txBox="1">
          <a:spLocks noChangeArrowheads="1"/>
        </xdr:cNvSpPr>
      </xdr:nvSpPr>
      <xdr:spPr bwMode="auto">
        <a:xfrm>
          <a:off x="1152525" y="533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77" name="Text Box 555"/>
        <xdr:cNvSpPr txBox="1">
          <a:spLocks noChangeArrowheads="1"/>
        </xdr:cNvSpPr>
      </xdr:nvSpPr>
      <xdr:spPr bwMode="auto">
        <a:xfrm>
          <a:off x="1152525" y="552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78" name="Text Box 556"/>
        <xdr:cNvSpPr txBox="1">
          <a:spLocks noChangeArrowheads="1"/>
        </xdr:cNvSpPr>
      </xdr:nvSpPr>
      <xdr:spPr bwMode="auto">
        <a:xfrm>
          <a:off x="1152525" y="552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79" name="Text Box 557"/>
        <xdr:cNvSpPr txBox="1">
          <a:spLocks noChangeArrowheads="1"/>
        </xdr:cNvSpPr>
      </xdr:nvSpPr>
      <xdr:spPr bwMode="auto">
        <a:xfrm>
          <a:off x="1152525" y="552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80" name="Text Box 558"/>
        <xdr:cNvSpPr txBox="1">
          <a:spLocks noChangeArrowheads="1"/>
        </xdr:cNvSpPr>
      </xdr:nvSpPr>
      <xdr:spPr bwMode="auto">
        <a:xfrm>
          <a:off x="1152525" y="552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81" name="Text Box 559"/>
        <xdr:cNvSpPr txBox="1">
          <a:spLocks noChangeArrowheads="1"/>
        </xdr:cNvSpPr>
      </xdr:nvSpPr>
      <xdr:spPr bwMode="auto">
        <a:xfrm>
          <a:off x="1152525" y="571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82" name="Text Box 560"/>
        <xdr:cNvSpPr txBox="1">
          <a:spLocks noChangeArrowheads="1"/>
        </xdr:cNvSpPr>
      </xdr:nvSpPr>
      <xdr:spPr bwMode="auto">
        <a:xfrm>
          <a:off x="1152525" y="571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83" name="Text Box 561"/>
        <xdr:cNvSpPr txBox="1">
          <a:spLocks noChangeArrowheads="1"/>
        </xdr:cNvSpPr>
      </xdr:nvSpPr>
      <xdr:spPr bwMode="auto">
        <a:xfrm>
          <a:off x="1152525" y="571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84" name="Text Box 562"/>
        <xdr:cNvSpPr txBox="1">
          <a:spLocks noChangeArrowheads="1"/>
        </xdr:cNvSpPr>
      </xdr:nvSpPr>
      <xdr:spPr bwMode="auto">
        <a:xfrm>
          <a:off x="1152525" y="571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85" name="Text Box 563"/>
        <xdr:cNvSpPr txBox="1">
          <a:spLocks noChangeArrowheads="1"/>
        </xdr:cNvSpPr>
      </xdr:nvSpPr>
      <xdr:spPr bwMode="auto">
        <a:xfrm>
          <a:off x="1152525" y="590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86" name="Text Box 564"/>
        <xdr:cNvSpPr txBox="1">
          <a:spLocks noChangeArrowheads="1"/>
        </xdr:cNvSpPr>
      </xdr:nvSpPr>
      <xdr:spPr bwMode="auto">
        <a:xfrm>
          <a:off x="1152525" y="590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87" name="Text Box 565"/>
        <xdr:cNvSpPr txBox="1">
          <a:spLocks noChangeArrowheads="1"/>
        </xdr:cNvSpPr>
      </xdr:nvSpPr>
      <xdr:spPr bwMode="auto">
        <a:xfrm>
          <a:off x="1152525" y="590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88" name="Text Box 566"/>
        <xdr:cNvSpPr txBox="1">
          <a:spLocks noChangeArrowheads="1"/>
        </xdr:cNvSpPr>
      </xdr:nvSpPr>
      <xdr:spPr bwMode="auto">
        <a:xfrm>
          <a:off x="1152525" y="590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89" name="Text Box 567"/>
        <xdr:cNvSpPr txBox="1">
          <a:spLocks noChangeArrowheads="1"/>
        </xdr:cNvSpPr>
      </xdr:nvSpPr>
      <xdr:spPr bwMode="auto">
        <a:xfrm>
          <a:off x="1152525" y="609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90" name="Text Box 568"/>
        <xdr:cNvSpPr txBox="1">
          <a:spLocks noChangeArrowheads="1"/>
        </xdr:cNvSpPr>
      </xdr:nvSpPr>
      <xdr:spPr bwMode="auto">
        <a:xfrm>
          <a:off x="1152525" y="609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91" name="Text Box 569"/>
        <xdr:cNvSpPr txBox="1">
          <a:spLocks noChangeArrowheads="1"/>
        </xdr:cNvSpPr>
      </xdr:nvSpPr>
      <xdr:spPr bwMode="auto">
        <a:xfrm>
          <a:off x="1152525" y="609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92" name="Text Box 570"/>
        <xdr:cNvSpPr txBox="1">
          <a:spLocks noChangeArrowheads="1"/>
        </xdr:cNvSpPr>
      </xdr:nvSpPr>
      <xdr:spPr bwMode="auto">
        <a:xfrm>
          <a:off x="1152525" y="609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93" name="Text Box 571"/>
        <xdr:cNvSpPr txBox="1">
          <a:spLocks noChangeArrowheads="1"/>
        </xdr:cNvSpPr>
      </xdr:nvSpPr>
      <xdr:spPr bwMode="auto">
        <a:xfrm>
          <a:off x="1152525" y="628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94" name="Text Box 572"/>
        <xdr:cNvSpPr txBox="1">
          <a:spLocks noChangeArrowheads="1"/>
        </xdr:cNvSpPr>
      </xdr:nvSpPr>
      <xdr:spPr bwMode="auto">
        <a:xfrm>
          <a:off x="1152525" y="628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95" name="Text Box 573"/>
        <xdr:cNvSpPr txBox="1">
          <a:spLocks noChangeArrowheads="1"/>
        </xdr:cNvSpPr>
      </xdr:nvSpPr>
      <xdr:spPr bwMode="auto">
        <a:xfrm>
          <a:off x="1152525" y="628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96" name="Text Box 574"/>
        <xdr:cNvSpPr txBox="1">
          <a:spLocks noChangeArrowheads="1"/>
        </xdr:cNvSpPr>
      </xdr:nvSpPr>
      <xdr:spPr bwMode="auto">
        <a:xfrm>
          <a:off x="1152525" y="628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97" name="Text Box 575"/>
        <xdr:cNvSpPr txBox="1">
          <a:spLocks noChangeArrowheads="1"/>
        </xdr:cNvSpPr>
      </xdr:nvSpPr>
      <xdr:spPr bwMode="auto">
        <a:xfrm>
          <a:off x="1152525" y="647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98" name="Text Box 576"/>
        <xdr:cNvSpPr txBox="1">
          <a:spLocks noChangeArrowheads="1"/>
        </xdr:cNvSpPr>
      </xdr:nvSpPr>
      <xdr:spPr bwMode="auto">
        <a:xfrm>
          <a:off x="1152525" y="647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99" name="Text Box 577"/>
        <xdr:cNvSpPr txBox="1">
          <a:spLocks noChangeArrowheads="1"/>
        </xdr:cNvSpPr>
      </xdr:nvSpPr>
      <xdr:spPr bwMode="auto">
        <a:xfrm>
          <a:off x="1152525" y="647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00" name="Text Box 578"/>
        <xdr:cNvSpPr txBox="1">
          <a:spLocks noChangeArrowheads="1"/>
        </xdr:cNvSpPr>
      </xdr:nvSpPr>
      <xdr:spPr bwMode="auto">
        <a:xfrm>
          <a:off x="1152525" y="647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01" name="Text Box 579"/>
        <xdr:cNvSpPr txBox="1">
          <a:spLocks noChangeArrowheads="1"/>
        </xdr:cNvSpPr>
      </xdr:nvSpPr>
      <xdr:spPr bwMode="auto">
        <a:xfrm>
          <a:off x="1152525" y="666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02" name="Text Box 580"/>
        <xdr:cNvSpPr txBox="1">
          <a:spLocks noChangeArrowheads="1"/>
        </xdr:cNvSpPr>
      </xdr:nvSpPr>
      <xdr:spPr bwMode="auto">
        <a:xfrm>
          <a:off x="1152525" y="666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03" name="Text Box 581"/>
        <xdr:cNvSpPr txBox="1">
          <a:spLocks noChangeArrowheads="1"/>
        </xdr:cNvSpPr>
      </xdr:nvSpPr>
      <xdr:spPr bwMode="auto">
        <a:xfrm>
          <a:off x="1152525" y="666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04" name="Text Box 582"/>
        <xdr:cNvSpPr txBox="1">
          <a:spLocks noChangeArrowheads="1"/>
        </xdr:cNvSpPr>
      </xdr:nvSpPr>
      <xdr:spPr bwMode="auto">
        <a:xfrm>
          <a:off x="1152525" y="666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05" name="Text Box 583"/>
        <xdr:cNvSpPr txBox="1">
          <a:spLocks noChangeArrowheads="1"/>
        </xdr:cNvSpPr>
      </xdr:nvSpPr>
      <xdr:spPr bwMode="auto">
        <a:xfrm>
          <a:off x="1152525" y="685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06" name="Text Box 584"/>
        <xdr:cNvSpPr txBox="1">
          <a:spLocks noChangeArrowheads="1"/>
        </xdr:cNvSpPr>
      </xdr:nvSpPr>
      <xdr:spPr bwMode="auto">
        <a:xfrm>
          <a:off x="1152525" y="685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07" name="Text Box 585"/>
        <xdr:cNvSpPr txBox="1">
          <a:spLocks noChangeArrowheads="1"/>
        </xdr:cNvSpPr>
      </xdr:nvSpPr>
      <xdr:spPr bwMode="auto">
        <a:xfrm>
          <a:off x="1152525" y="685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08" name="Text Box 586"/>
        <xdr:cNvSpPr txBox="1">
          <a:spLocks noChangeArrowheads="1"/>
        </xdr:cNvSpPr>
      </xdr:nvSpPr>
      <xdr:spPr bwMode="auto">
        <a:xfrm>
          <a:off x="1152525" y="685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09" name="Text Box 587"/>
        <xdr:cNvSpPr txBox="1">
          <a:spLocks noChangeArrowheads="1"/>
        </xdr:cNvSpPr>
      </xdr:nvSpPr>
      <xdr:spPr bwMode="auto">
        <a:xfrm>
          <a:off x="1152525" y="704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10" name="Text Box 588"/>
        <xdr:cNvSpPr txBox="1">
          <a:spLocks noChangeArrowheads="1"/>
        </xdr:cNvSpPr>
      </xdr:nvSpPr>
      <xdr:spPr bwMode="auto">
        <a:xfrm>
          <a:off x="1152525" y="704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11" name="Text Box 589"/>
        <xdr:cNvSpPr txBox="1">
          <a:spLocks noChangeArrowheads="1"/>
        </xdr:cNvSpPr>
      </xdr:nvSpPr>
      <xdr:spPr bwMode="auto">
        <a:xfrm>
          <a:off x="1152525" y="704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12" name="Text Box 590"/>
        <xdr:cNvSpPr txBox="1">
          <a:spLocks noChangeArrowheads="1"/>
        </xdr:cNvSpPr>
      </xdr:nvSpPr>
      <xdr:spPr bwMode="auto">
        <a:xfrm>
          <a:off x="1152525" y="704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13" name="Text Box 591"/>
        <xdr:cNvSpPr txBox="1">
          <a:spLocks noChangeArrowheads="1"/>
        </xdr:cNvSpPr>
      </xdr:nvSpPr>
      <xdr:spPr bwMode="auto">
        <a:xfrm>
          <a:off x="1152525" y="723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14" name="Text Box 592"/>
        <xdr:cNvSpPr txBox="1">
          <a:spLocks noChangeArrowheads="1"/>
        </xdr:cNvSpPr>
      </xdr:nvSpPr>
      <xdr:spPr bwMode="auto">
        <a:xfrm>
          <a:off x="1152525" y="723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15" name="Text Box 593"/>
        <xdr:cNvSpPr txBox="1">
          <a:spLocks noChangeArrowheads="1"/>
        </xdr:cNvSpPr>
      </xdr:nvSpPr>
      <xdr:spPr bwMode="auto">
        <a:xfrm>
          <a:off x="1152525" y="723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16" name="Text Box 594"/>
        <xdr:cNvSpPr txBox="1">
          <a:spLocks noChangeArrowheads="1"/>
        </xdr:cNvSpPr>
      </xdr:nvSpPr>
      <xdr:spPr bwMode="auto">
        <a:xfrm>
          <a:off x="1152525" y="723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17" name="Text Box 595"/>
        <xdr:cNvSpPr txBox="1">
          <a:spLocks noChangeArrowheads="1"/>
        </xdr:cNvSpPr>
      </xdr:nvSpPr>
      <xdr:spPr bwMode="auto">
        <a:xfrm>
          <a:off x="1152525" y="742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18" name="Text Box 596"/>
        <xdr:cNvSpPr txBox="1">
          <a:spLocks noChangeArrowheads="1"/>
        </xdr:cNvSpPr>
      </xdr:nvSpPr>
      <xdr:spPr bwMode="auto">
        <a:xfrm>
          <a:off x="1152525" y="742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19" name="Text Box 597"/>
        <xdr:cNvSpPr txBox="1">
          <a:spLocks noChangeArrowheads="1"/>
        </xdr:cNvSpPr>
      </xdr:nvSpPr>
      <xdr:spPr bwMode="auto">
        <a:xfrm>
          <a:off x="1152525" y="742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20" name="Text Box 598"/>
        <xdr:cNvSpPr txBox="1">
          <a:spLocks noChangeArrowheads="1"/>
        </xdr:cNvSpPr>
      </xdr:nvSpPr>
      <xdr:spPr bwMode="auto">
        <a:xfrm>
          <a:off x="1152525" y="742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21" name="Text Box 599"/>
        <xdr:cNvSpPr txBox="1">
          <a:spLocks noChangeArrowheads="1"/>
        </xdr:cNvSpPr>
      </xdr:nvSpPr>
      <xdr:spPr bwMode="auto">
        <a:xfrm>
          <a:off x="1152525" y="762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22" name="Text Box 600"/>
        <xdr:cNvSpPr txBox="1">
          <a:spLocks noChangeArrowheads="1"/>
        </xdr:cNvSpPr>
      </xdr:nvSpPr>
      <xdr:spPr bwMode="auto">
        <a:xfrm>
          <a:off x="1152525" y="762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23" name="Text Box 601"/>
        <xdr:cNvSpPr txBox="1">
          <a:spLocks noChangeArrowheads="1"/>
        </xdr:cNvSpPr>
      </xdr:nvSpPr>
      <xdr:spPr bwMode="auto">
        <a:xfrm>
          <a:off x="1152525" y="762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24" name="Text Box 602"/>
        <xdr:cNvSpPr txBox="1">
          <a:spLocks noChangeArrowheads="1"/>
        </xdr:cNvSpPr>
      </xdr:nvSpPr>
      <xdr:spPr bwMode="auto">
        <a:xfrm>
          <a:off x="1152525" y="762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25" name="Text Box 603"/>
        <xdr:cNvSpPr txBox="1">
          <a:spLocks noChangeArrowheads="1"/>
        </xdr:cNvSpPr>
      </xdr:nvSpPr>
      <xdr:spPr bwMode="auto">
        <a:xfrm>
          <a:off x="1152525" y="781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26" name="Text Box 604"/>
        <xdr:cNvSpPr txBox="1">
          <a:spLocks noChangeArrowheads="1"/>
        </xdr:cNvSpPr>
      </xdr:nvSpPr>
      <xdr:spPr bwMode="auto">
        <a:xfrm>
          <a:off x="1152525" y="781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27" name="Text Box 605"/>
        <xdr:cNvSpPr txBox="1">
          <a:spLocks noChangeArrowheads="1"/>
        </xdr:cNvSpPr>
      </xdr:nvSpPr>
      <xdr:spPr bwMode="auto">
        <a:xfrm>
          <a:off x="1152525" y="781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28" name="Text Box 606"/>
        <xdr:cNvSpPr txBox="1">
          <a:spLocks noChangeArrowheads="1"/>
        </xdr:cNvSpPr>
      </xdr:nvSpPr>
      <xdr:spPr bwMode="auto">
        <a:xfrm>
          <a:off x="1152525" y="781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29" name="Text Box 607"/>
        <xdr:cNvSpPr txBox="1">
          <a:spLocks noChangeArrowheads="1"/>
        </xdr:cNvSpPr>
      </xdr:nvSpPr>
      <xdr:spPr bwMode="auto">
        <a:xfrm>
          <a:off x="1152525" y="800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30" name="Text Box 608"/>
        <xdr:cNvSpPr txBox="1">
          <a:spLocks noChangeArrowheads="1"/>
        </xdr:cNvSpPr>
      </xdr:nvSpPr>
      <xdr:spPr bwMode="auto">
        <a:xfrm>
          <a:off x="1152525" y="800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31" name="Text Box 609"/>
        <xdr:cNvSpPr txBox="1">
          <a:spLocks noChangeArrowheads="1"/>
        </xdr:cNvSpPr>
      </xdr:nvSpPr>
      <xdr:spPr bwMode="auto">
        <a:xfrm>
          <a:off x="1152525" y="800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32" name="Text Box 610"/>
        <xdr:cNvSpPr txBox="1">
          <a:spLocks noChangeArrowheads="1"/>
        </xdr:cNvSpPr>
      </xdr:nvSpPr>
      <xdr:spPr bwMode="auto">
        <a:xfrm>
          <a:off x="1152525" y="800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33" name="Text Box 611"/>
        <xdr:cNvSpPr txBox="1">
          <a:spLocks noChangeArrowheads="1"/>
        </xdr:cNvSpPr>
      </xdr:nvSpPr>
      <xdr:spPr bwMode="auto">
        <a:xfrm>
          <a:off x="1152525" y="819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34" name="Text Box 612"/>
        <xdr:cNvSpPr txBox="1">
          <a:spLocks noChangeArrowheads="1"/>
        </xdr:cNvSpPr>
      </xdr:nvSpPr>
      <xdr:spPr bwMode="auto">
        <a:xfrm>
          <a:off x="1152525" y="819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35" name="Text Box 613"/>
        <xdr:cNvSpPr txBox="1">
          <a:spLocks noChangeArrowheads="1"/>
        </xdr:cNvSpPr>
      </xdr:nvSpPr>
      <xdr:spPr bwMode="auto">
        <a:xfrm>
          <a:off x="1152525" y="819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36" name="Text Box 614"/>
        <xdr:cNvSpPr txBox="1">
          <a:spLocks noChangeArrowheads="1"/>
        </xdr:cNvSpPr>
      </xdr:nvSpPr>
      <xdr:spPr bwMode="auto">
        <a:xfrm>
          <a:off x="1152525" y="819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37" name="Text Box 615"/>
        <xdr:cNvSpPr txBox="1">
          <a:spLocks noChangeArrowheads="1"/>
        </xdr:cNvSpPr>
      </xdr:nvSpPr>
      <xdr:spPr bwMode="auto">
        <a:xfrm>
          <a:off x="1152525" y="838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38" name="Text Box 616"/>
        <xdr:cNvSpPr txBox="1">
          <a:spLocks noChangeArrowheads="1"/>
        </xdr:cNvSpPr>
      </xdr:nvSpPr>
      <xdr:spPr bwMode="auto">
        <a:xfrm>
          <a:off x="1152525" y="838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39" name="Text Box 617"/>
        <xdr:cNvSpPr txBox="1">
          <a:spLocks noChangeArrowheads="1"/>
        </xdr:cNvSpPr>
      </xdr:nvSpPr>
      <xdr:spPr bwMode="auto">
        <a:xfrm>
          <a:off x="1152525" y="838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40" name="Text Box 618"/>
        <xdr:cNvSpPr txBox="1">
          <a:spLocks noChangeArrowheads="1"/>
        </xdr:cNvSpPr>
      </xdr:nvSpPr>
      <xdr:spPr bwMode="auto">
        <a:xfrm>
          <a:off x="1152525" y="838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41" name="Text Box 619"/>
        <xdr:cNvSpPr txBox="1">
          <a:spLocks noChangeArrowheads="1"/>
        </xdr:cNvSpPr>
      </xdr:nvSpPr>
      <xdr:spPr bwMode="auto">
        <a:xfrm>
          <a:off x="1152525" y="857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42" name="Text Box 620"/>
        <xdr:cNvSpPr txBox="1">
          <a:spLocks noChangeArrowheads="1"/>
        </xdr:cNvSpPr>
      </xdr:nvSpPr>
      <xdr:spPr bwMode="auto">
        <a:xfrm>
          <a:off x="1152525" y="857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43" name="Text Box 621"/>
        <xdr:cNvSpPr txBox="1">
          <a:spLocks noChangeArrowheads="1"/>
        </xdr:cNvSpPr>
      </xdr:nvSpPr>
      <xdr:spPr bwMode="auto">
        <a:xfrm>
          <a:off x="1152525" y="857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44" name="Text Box 622"/>
        <xdr:cNvSpPr txBox="1">
          <a:spLocks noChangeArrowheads="1"/>
        </xdr:cNvSpPr>
      </xdr:nvSpPr>
      <xdr:spPr bwMode="auto">
        <a:xfrm>
          <a:off x="1152525" y="857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45" name="Text Box 623"/>
        <xdr:cNvSpPr txBox="1">
          <a:spLocks noChangeArrowheads="1"/>
        </xdr:cNvSpPr>
      </xdr:nvSpPr>
      <xdr:spPr bwMode="auto">
        <a:xfrm>
          <a:off x="1152525" y="876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46" name="Text Box 624"/>
        <xdr:cNvSpPr txBox="1">
          <a:spLocks noChangeArrowheads="1"/>
        </xdr:cNvSpPr>
      </xdr:nvSpPr>
      <xdr:spPr bwMode="auto">
        <a:xfrm>
          <a:off x="1152525" y="876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47" name="Text Box 625"/>
        <xdr:cNvSpPr txBox="1">
          <a:spLocks noChangeArrowheads="1"/>
        </xdr:cNvSpPr>
      </xdr:nvSpPr>
      <xdr:spPr bwMode="auto">
        <a:xfrm>
          <a:off x="1152525" y="876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48" name="Text Box 626"/>
        <xdr:cNvSpPr txBox="1">
          <a:spLocks noChangeArrowheads="1"/>
        </xdr:cNvSpPr>
      </xdr:nvSpPr>
      <xdr:spPr bwMode="auto">
        <a:xfrm>
          <a:off x="1152525" y="876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49" name="Text Box 627"/>
        <xdr:cNvSpPr txBox="1">
          <a:spLocks noChangeArrowheads="1"/>
        </xdr:cNvSpPr>
      </xdr:nvSpPr>
      <xdr:spPr bwMode="auto">
        <a:xfrm>
          <a:off x="1152525" y="895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50" name="Text Box 628"/>
        <xdr:cNvSpPr txBox="1">
          <a:spLocks noChangeArrowheads="1"/>
        </xdr:cNvSpPr>
      </xdr:nvSpPr>
      <xdr:spPr bwMode="auto">
        <a:xfrm>
          <a:off x="1152525" y="895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51" name="Text Box 629"/>
        <xdr:cNvSpPr txBox="1">
          <a:spLocks noChangeArrowheads="1"/>
        </xdr:cNvSpPr>
      </xdr:nvSpPr>
      <xdr:spPr bwMode="auto">
        <a:xfrm>
          <a:off x="1152525" y="895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52" name="Text Box 630"/>
        <xdr:cNvSpPr txBox="1">
          <a:spLocks noChangeArrowheads="1"/>
        </xdr:cNvSpPr>
      </xdr:nvSpPr>
      <xdr:spPr bwMode="auto">
        <a:xfrm>
          <a:off x="1152525" y="895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53" name="Text Box 631"/>
        <xdr:cNvSpPr txBox="1">
          <a:spLocks noChangeArrowheads="1"/>
        </xdr:cNvSpPr>
      </xdr:nvSpPr>
      <xdr:spPr bwMode="auto">
        <a:xfrm>
          <a:off x="1152525" y="914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54" name="Text Box 632"/>
        <xdr:cNvSpPr txBox="1">
          <a:spLocks noChangeArrowheads="1"/>
        </xdr:cNvSpPr>
      </xdr:nvSpPr>
      <xdr:spPr bwMode="auto">
        <a:xfrm>
          <a:off x="1152525" y="914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55" name="Text Box 633"/>
        <xdr:cNvSpPr txBox="1">
          <a:spLocks noChangeArrowheads="1"/>
        </xdr:cNvSpPr>
      </xdr:nvSpPr>
      <xdr:spPr bwMode="auto">
        <a:xfrm>
          <a:off x="1152525" y="914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56" name="Text Box 634"/>
        <xdr:cNvSpPr txBox="1">
          <a:spLocks noChangeArrowheads="1"/>
        </xdr:cNvSpPr>
      </xdr:nvSpPr>
      <xdr:spPr bwMode="auto">
        <a:xfrm>
          <a:off x="1152525" y="914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57" name="Text Box 635"/>
        <xdr:cNvSpPr txBox="1">
          <a:spLocks noChangeArrowheads="1"/>
        </xdr:cNvSpPr>
      </xdr:nvSpPr>
      <xdr:spPr bwMode="auto">
        <a:xfrm>
          <a:off x="1152525" y="933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58" name="Text Box 636"/>
        <xdr:cNvSpPr txBox="1">
          <a:spLocks noChangeArrowheads="1"/>
        </xdr:cNvSpPr>
      </xdr:nvSpPr>
      <xdr:spPr bwMode="auto">
        <a:xfrm>
          <a:off x="1152525" y="933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59" name="Text Box 637"/>
        <xdr:cNvSpPr txBox="1">
          <a:spLocks noChangeArrowheads="1"/>
        </xdr:cNvSpPr>
      </xdr:nvSpPr>
      <xdr:spPr bwMode="auto">
        <a:xfrm>
          <a:off x="1152525" y="933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60" name="Text Box 638"/>
        <xdr:cNvSpPr txBox="1">
          <a:spLocks noChangeArrowheads="1"/>
        </xdr:cNvSpPr>
      </xdr:nvSpPr>
      <xdr:spPr bwMode="auto">
        <a:xfrm>
          <a:off x="1152525" y="933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61" name="Text Box 639"/>
        <xdr:cNvSpPr txBox="1">
          <a:spLocks noChangeArrowheads="1"/>
        </xdr:cNvSpPr>
      </xdr:nvSpPr>
      <xdr:spPr bwMode="auto">
        <a:xfrm>
          <a:off x="1152525" y="952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62" name="Text Box 640"/>
        <xdr:cNvSpPr txBox="1">
          <a:spLocks noChangeArrowheads="1"/>
        </xdr:cNvSpPr>
      </xdr:nvSpPr>
      <xdr:spPr bwMode="auto">
        <a:xfrm>
          <a:off x="1152525" y="952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63" name="Text Box 641"/>
        <xdr:cNvSpPr txBox="1">
          <a:spLocks noChangeArrowheads="1"/>
        </xdr:cNvSpPr>
      </xdr:nvSpPr>
      <xdr:spPr bwMode="auto">
        <a:xfrm>
          <a:off x="1152525" y="952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64" name="Text Box 642"/>
        <xdr:cNvSpPr txBox="1">
          <a:spLocks noChangeArrowheads="1"/>
        </xdr:cNvSpPr>
      </xdr:nvSpPr>
      <xdr:spPr bwMode="auto">
        <a:xfrm>
          <a:off x="1152525" y="952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65" name="Text Box 643"/>
        <xdr:cNvSpPr txBox="1">
          <a:spLocks noChangeArrowheads="1"/>
        </xdr:cNvSpPr>
      </xdr:nvSpPr>
      <xdr:spPr bwMode="auto">
        <a:xfrm>
          <a:off x="1152525" y="971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66" name="Text Box 644"/>
        <xdr:cNvSpPr txBox="1">
          <a:spLocks noChangeArrowheads="1"/>
        </xdr:cNvSpPr>
      </xdr:nvSpPr>
      <xdr:spPr bwMode="auto">
        <a:xfrm>
          <a:off x="1152525" y="971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67" name="Text Box 645"/>
        <xdr:cNvSpPr txBox="1">
          <a:spLocks noChangeArrowheads="1"/>
        </xdr:cNvSpPr>
      </xdr:nvSpPr>
      <xdr:spPr bwMode="auto">
        <a:xfrm>
          <a:off x="1152525" y="971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68" name="Text Box 646"/>
        <xdr:cNvSpPr txBox="1">
          <a:spLocks noChangeArrowheads="1"/>
        </xdr:cNvSpPr>
      </xdr:nvSpPr>
      <xdr:spPr bwMode="auto">
        <a:xfrm>
          <a:off x="1152525" y="971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69" name="Text Box 647"/>
        <xdr:cNvSpPr txBox="1">
          <a:spLocks noChangeArrowheads="1"/>
        </xdr:cNvSpPr>
      </xdr:nvSpPr>
      <xdr:spPr bwMode="auto">
        <a:xfrm>
          <a:off x="1152525" y="990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70" name="Text Box 648"/>
        <xdr:cNvSpPr txBox="1">
          <a:spLocks noChangeArrowheads="1"/>
        </xdr:cNvSpPr>
      </xdr:nvSpPr>
      <xdr:spPr bwMode="auto">
        <a:xfrm>
          <a:off x="1152525" y="990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71" name="Text Box 649"/>
        <xdr:cNvSpPr txBox="1">
          <a:spLocks noChangeArrowheads="1"/>
        </xdr:cNvSpPr>
      </xdr:nvSpPr>
      <xdr:spPr bwMode="auto">
        <a:xfrm>
          <a:off x="1152525" y="990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72" name="Text Box 650"/>
        <xdr:cNvSpPr txBox="1">
          <a:spLocks noChangeArrowheads="1"/>
        </xdr:cNvSpPr>
      </xdr:nvSpPr>
      <xdr:spPr bwMode="auto">
        <a:xfrm>
          <a:off x="1152525" y="990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73" name="Text Box 651"/>
        <xdr:cNvSpPr txBox="1">
          <a:spLocks noChangeArrowheads="1"/>
        </xdr:cNvSpPr>
      </xdr:nvSpPr>
      <xdr:spPr bwMode="auto">
        <a:xfrm>
          <a:off x="1152525" y="1009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74" name="Text Box 652"/>
        <xdr:cNvSpPr txBox="1">
          <a:spLocks noChangeArrowheads="1"/>
        </xdr:cNvSpPr>
      </xdr:nvSpPr>
      <xdr:spPr bwMode="auto">
        <a:xfrm>
          <a:off x="1152525" y="1009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75" name="Text Box 653"/>
        <xdr:cNvSpPr txBox="1">
          <a:spLocks noChangeArrowheads="1"/>
        </xdr:cNvSpPr>
      </xdr:nvSpPr>
      <xdr:spPr bwMode="auto">
        <a:xfrm>
          <a:off x="1152525" y="1009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76" name="Text Box 654"/>
        <xdr:cNvSpPr txBox="1">
          <a:spLocks noChangeArrowheads="1"/>
        </xdr:cNvSpPr>
      </xdr:nvSpPr>
      <xdr:spPr bwMode="auto">
        <a:xfrm>
          <a:off x="1152525" y="1009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77" name="Text Box 655"/>
        <xdr:cNvSpPr txBox="1">
          <a:spLocks noChangeArrowheads="1"/>
        </xdr:cNvSpPr>
      </xdr:nvSpPr>
      <xdr:spPr bwMode="auto">
        <a:xfrm>
          <a:off x="1152525" y="1028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78" name="Text Box 656"/>
        <xdr:cNvSpPr txBox="1">
          <a:spLocks noChangeArrowheads="1"/>
        </xdr:cNvSpPr>
      </xdr:nvSpPr>
      <xdr:spPr bwMode="auto">
        <a:xfrm>
          <a:off x="1152525" y="1028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79" name="Text Box 657"/>
        <xdr:cNvSpPr txBox="1">
          <a:spLocks noChangeArrowheads="1"/>
        </xdr:cNvSpPr>
      </xdr:nvSpPr>
      <xdr:spPr bwMode="auto">
        <a:xfrm>
          <a:off x="1152525" y="1028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80" name="Text Box 658"/>
        <xdr:cNvSpPr txBox="1">
          <a:spLocks noChangeArrowheads="1"/>
        </xdr:cNvSpPr>
      </xdr:nvSpPr>
      <xdr:spPr bwMode="auto">
        <a:xfrm>
          <a:off x="1152525" y="1028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81" name="Text Box 659"/>
        <xdr:cNvSpPr txBox="1">
          <a:spLocks noChangeArrowheads="1"/>
        </xdr:cNvSpPr>
      </xdr:nvSpPr>
      <xdr:spPr bwMode="auto">
        <a:xfrm>
          <a:off x="1152525" y="1047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82" name="Text Box 660"/>
        <xdr:cNvSpPr txBox="1">
          <a:spLocks noChangeArrowheads="1"/>
        </xdr:cNvSpPr>
      </xdr:nvSpPr>
      <xdr:spPr bwMode="auto">
        <a:xfrm>
          <a:off x="1152525" y="1047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83" name="Text Box 661"/>
        <xdr:cNvSpPr txBox="1">
          <a:spLocks noChangeArrowheads="1"/>
        </xdr:cNvSpPr>
      </xdr:nvSpPr>
      <xdr:spPr bwMode="auto">
        <a:xfrm>
          <a:off x="1152525" y="1047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84" name="Text Box 662"/>
        <xdr:cNvSpPr txBox="1">
          <a:spLocks noChangeArrowheads="1"/>
        </xdr:cNvSpPr>
      </xdr:nvSpPr>
      <xdr:spPr bwMode="auto">
        <a:xfrm>
          <a:off x="1152525" y="1047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85" name="Text Box 663"/>
        <xdr:cNvSpPr txBox="1">
          <a:spLocks noChangeArrowheads="1"/>
        </xdr:cNvSpPr>
      </xdr:nvSpPr>
      <xdr:spPr bwMode="auto">
        <a:xfrm>
          <a:off x="1152525" y="1066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86" name="Text Box 664"/>
        <xdr:cNvSpPr txBox="1">
          <a:spLocks noChangeArrowheads="1"/>
        </xdr:cNvSpPr>
      </xdr:nvSpPr>
      <xdr:spPr bwMode="auto">
        <a:xfrm>
          <a:off x="1152525" y="1066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87" name="Text Box 665"/>
        <xdr:cNvSpPr txBox="1">
          <a:spLocks noChangeArrowheads="1"/>
        </xdr:cNvSpPr>
      </xdr:nvSpPr>
      <xdr:spPr bwMode="auto">
        <a:xfrm>
          <a:off x="1152525" y="1066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88" name="Text Box 666"/>
        <xdr:cNvSpPr txBox="1">
          <a:spLocks noChangeArrowheads="1"/>
        </xdr:cNvSpPr>
      </xdr:nvSpPr>
      <xdr:spPr bwMode="auto">
        <a:xfrm>
          <a:off x="1152525" y="1066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89" name="Text Box 667"/>
        <xdr:cNvSpPr txBox="1">
          <a:spLocks noChangeArrowheads="1"/>
        </xdr:cNvSpPr>
      </xdr:nvSpPr>
      <xdr:spPr bwMode="auto">
        <a:xfrm>
          <a:off x="1152525" y="1085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90" name="Text Box 668"/>
        <xdr:cNvSpPr txBox="1">
          <a:spLocks noChangeArrowheads="1"/>
        </xdr:cNvSpPr>
      </xdr:nvSpPr>
      <xdr:spPr bwMode="auto">
        <a:xfrm>
          <a:off x="1152525" y="1085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91" name="Text Box 669"/>
        <xdr:cNvSpPr txBox="1">
          <a:spLocks noChangeArrowheads="1"/>
        </xdr:cNvSpPr>
      </xdr:nvSpPr>
      <xdr:spPr bwMode="auto">
        <a:xfrm>
          <a:off x="1152525" y="1085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92" name="Text Box 670"/>
        <xdr:cNvSpPr txBox="1">
          <a:spLocks noChangeArrowheads="1"/>
        </xdr:cNvSpPr>
      </xdr:nvSpPr>
      <xdr:spPr bwMode="auto">
        <a:xfrm>
          <a:off x="1152525" y="1085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93" name="Text Box 671"/>
        <xdr:cNvSpPr txBox="1">
          <a:spLocks noChangeArrowheads="1"/>
        </xdr:cNvSpPr>
      </xdr:nvSpPr>
      <xdr:spPr bwMode="auto">
        <a:xfrm>
          <a:off x="1152525" y="1104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94" name="Text Box 672"/>
        <xdr:cNvSpPr txBox="1">
          <a:spLocks noChangeArrowheads="1"/>
        </xdr:cNvSpPr>
      </xdr:nvSpPr>
      <xdr:spPr bwMode="auto">
        <a:xfrm>
          <a:off x="1152525" y="1104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95" name="Text Box 673"/>
        <xdr:cNvSpPr txBox="1">
          <a:spLocks noChangeArrowheads="1"/>
        </xdr:cNvSpPr>
      </xdr:nvSpPr>
      <xdr:spPr bwMode="auto">
        <a:xfrm>
          <a:off x="1152525" y="1104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96" name="Text Box 674"/>
        <xdr:cNvSpPr txBox="1">
          <a:spLocks noChangeArrowheads="1"/>
        </xdr:cNvSpPr>
      </xdr:nvSpPr>
      <xdr:spPr bwMode="auto">
        <a:xfrm>
          <a:off x="1152525" y="1104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97" name="Text Box 675"/>
        <xdr:cNvSpPr txBox="1">
          <a:spLocks noChangeArrowheads="1"/>
        </xdr:cNvSpPr>
      </xdr:nvSpPr>
      <xdr:spPr bwMode="auto">
        <a:xfrm>
          <a:off x="1152525" y="1123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98" name="Text Box 676"/>
        <xdr:cNvSpPr txBox="1">
          <a:spLocks noChangeArrowheads="1"/>
        </xdr:cNvSpPr>
      </xdr:nvSpPr>
      <xdr:spPr bwMode="auto">
        <a:xfrm>
          <a:off x="1152525" y="1123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99" name="Text Box 677"/>
        <xdr:cNvSpPr txBox="1">
          <a:spLocks noChangeArrowheads="1"/>
        </xdr:cNvSpPr>
      </xdr:nvSpPr>
      <xdr:spPr bwMode="auto">
        <a:xfrm>
          <a:off x="1152525" y="1123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00" name="Text Box 678"/>
        <xdr:cNvSpPr txBox="1">
          <a:spLocks noChangeArrowheads="1"/>
        </xdr:cNvSpPr>
      </xdr:nvSpPr>
      <xdr:spPr bwMode="auto">
        <a:xfrm>
          <a:off x="1152525" y="1123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01" name="Text Box 679"/>
        <xdr:cNvSpPr txBox="1">
          <a:spLocks noChangeArrowheads="1"/>
        </xdr:cNvSpPr>
      </xdr:nvSpPr>
      <xdr:spPr bwMode="auto">
        <a:xfrm>
          <a:off x="1152525" y="1143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02" name="Text Box 680"/>
        <xdr:cNvSpPr txBox="1">
          <a:spLocks noChangeArrowheads="1"/>
        </xdr:cNvSpPr>
      </xdr:nvSpPr>
      <xdr:spPr bwMode="auto">
        <a:xfrm>
          <a:off x="1152525" y="1143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03" name="Text Box 681"/>
        <xdr:cNvSpPr txBox="1">
          <a:spLocks noChangeArrowheads="1"/>
        </xdr:cNvSpPr>
      </xdr:nvSpPr>
      <xdr:spPr bwMode="auto">
        <a:xfrm>
          <a:off x="1152525" y="1143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04" name="Text Box 682"/>
        <xdr:cNvSpPr txBox="1">
          <a:spLocks noChangeArrowheads="1"/>
        </xdr:cNvSpPr>
      </xdr:nvSpPr>
      <xdr:spPr bwMode="auto">
        <a:xfrm>
          <a:off x="1152525" y="1143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05" name="Text Box 683"/>
        <xdr:cNvSpPr txBox="1">
          <a:spLocks noChangeArrowheads="1"/>
        </xdr:cNvSpPr>
      </xdr:nvSpPr>
      <xdr:spPr bwMode="auto">
        <a:xfrm>
          <a:off x="1152525" y="1162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06" name="Text Box 684"/>
        <xdr:cNvSpPr txBox="1">
          <a:spLocks noChangeArrowheads="1"/>
        </xdr:cNvSpPr>
      </xdr:nvSpPr>
      <xdr:spPr bwMode="auto">
        <a:xfrm>
          <a:off x="1152525" y="1162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07" name="Text Box 685"/>
        <xdr:cNvSpPr txBox="1">
          <a:spLocks noChangeArrowheads="1"/>
        </xdr:cNvSpPr>
      </xdr:nvSpPr>
      <xdr:spPr bwMode="auto">
        <a:xfrm>
          <a:off x="1152525" y="1162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08" name="Text Box 686"/>
        <xdr:cNvSpPr txBox="1">
          <a:spLocks noChangeArrowheads="1"/>
        </xdr:cNvSpPr>
      </xdr:nvSpPr>
      <xdr:spPr bwMode="auto">
        <a:xfrm>
          <a:off x="1152525" y="1162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09" name="Text Box 687"/>
        <xdr:cNvSpPr txBox="1">
          <a:spLocks noChangeArrowheads="1"/>
        </xdr:cNvSpPr>
      </xdr:nvSpPr>
      <xdr:spPr bwMode="auto">
        <a:xfrm>
          <a:off x="1152525" y="1181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10" name="Text Box 688"/>
        <xdr:cNvSpPr txBox="1">
          <a:spLocks noChangeArrowheads="1"/>
        </xdr:cNvSpPr>
      </xdr:nvSpPr>
      <xdr:spPr bwMode="auto">
        <a:xfrm>
          <a:off x="1152525" y="1181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11" name="Text Box 689"/>
        <xdr:cNvSpPr txBox="1">
          <a:spLocks noChangeArrowheads="1"/>
        </xdr:cNvSpPr>
      </xdr:nvSpPr>
      <xdr:spPr bwMode="auto">
        <a:xfrm>
          <a:off x="1152525" y="1181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12" name="Text Box 690"/>
        <xdr:cNvSpPr txBox="1">
          <a:spLocks noChangeArrowheads="1"/>
        </xdr:cNvSpPr>
      </xdr:nvSpPr>
      <xdr:spPr bwMode="auto">
        <a:xfrm>
          <a:off x="1152525" y="1181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13" name="Text Box 691"/>
        <xdr:cNvSpPr txBox="1">
          <a:spLocks noChangeArrowheads="1"/>
        </xdr:cNvSpPr>
      </xdr:nvSpPr>
      <xdr:spPr bwMode="auto">
        <a:xfrm>
          <a:off x="1152525" y="1200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14" name="Text Box 692"/>
        <xdr:cNvSpPr txBox="1">
          <a:spLocks noChangeArrowheads="1"/>
        </xdr:cNvSpPr>
      </xdr:nvSpPr>
      <xdr:spPr bwMode="auto">
        <a:xfrm>
          <a:off x="1152525" y="1200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15" name="Text Box 693"/>
        <xdr:cNvSpPr txBox="1">
          <a:spLocks noChangeArrowheads="1"/>
        </xdr:cNvSpPr>
      </xdr:nvSpPr>
      <xdr:spPr bwMode="auto">
        <a:xfrm>
          <a:off x="1152525" y="1200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16" name="Text Box 694"/>
        <xdr:cNvSpPr txBox="1">
          <a:spLocks noChangeArrowheads="1"/>
        </xdr:cNvSpPr>
      </xdr:nvSpPr>
      <xdr:spPr bwMode="auto">
        <a:xfrm>
          <a:off x="1152525" y="1200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17" name="Text Box 695"/>
        <xdr:cNvSpPr txBox="1">
          <a:spLocks noChangeArrowheads="1"/>
        </xdr:cNvSpPr>
      </xdr:nvSpPr>
      <xdr:spPr bwMode="auto">
        <a:xfrm>
          <a:off x="1152525" y="1219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18" name="Text Box 696"/>
        <xdr:cNvSpPr txBox="1">
          <a:spLocks noChangeArrowheads="1"/>
        </xdr:cNvSpPr>
      </xdr:nvSpPr>
      <xdr:spPr bwMode="auto">
        <a:xfrm>
          <a:off x="1152525" y="1219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19" name="Text Box 697"/>
        <xdr:cNvSpPr txBox="1">
          <a:spLocks noChangeArrowheads="1"/>
        </xdr:cNvSpPr>
      </xdr:nvSpPr>
      <xdr:spPr bwMode="auto">
        <a:xfrm>
          <a:off x="1152525" y="1219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20" name="Text Box 698"/>
        <xdr:cNvSpPr txBox="1">
          <a:spLocks noChangeArrowheads="1"/>
        </xdr:cNvSpPr>
      </xdr:nvSpPr>
      <xdr:spPr bwMode="auto">
        <a:xfrm>
          <a:off x="1152525" y="1219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21" name="Text Box 699"/>
        <xdr:cNvSpPr txBox="1">
          <a:spLocks noChangeArrowheads="1"/>
        </xdr:cNvSpPr>
      </xdr:nvSpPr>
      <xdr:spPr bwMode="auto">
        <a:xfrm>
          <a:off x="1152525" y="1238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22" name="Text Box 700"/>
        <xdr:cNvSpPr txBox="1">
          <a:spLocks noChangeArrowheads="1"/>
        </xdr:cNvSpPr>
      </xdr:nvSpPr>
      <xdr:spPr bwMode="auto">
        <a:xfrm>
          <a:off x="1152525" y="1238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23" name="Text Box 701"/>
        <xdr:cNvSpPr txBox="1">
          <a:spLocks noChangeArrowheads="1"/>
        </xdr:cNvSpPr>
      </xdr:nvSpPr>
      <xdr:spPr bwMode="auto">
        <a:xfrm>
          <a:off x="1152525" y="1238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24" name="Text Box 702"/>
        <xdr:cNvSpPr txBox="1">
          <a:spLocks noChangeArrowheads="1"/>
        </xdr:cNvSpPr>
      </xdr:nvSpPr>
      <xdr:spPr bwMode="auto">
        <a:xfrm>
          <a:off x="1152525" y="1238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25" name="Text Box 703"/>
        <xdr:cNvSpPr txBox="1">
          <a:spLocks noChangeArrowheads="1"/>
        </xdr:cNvSpPr>
      </xdr:nvSpPr>
      <xdr:spPr bwMode="auto">
        <a:xfrm>
          <a:off x="1152525" y="1257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26" name="Text Box 704"/>
        <xdr:cNvSpPr txBox="1">
          <a:spLocks noChangeArrowheads="1"/>
        </xdr:cNvSpPr>
      </xdr:nvSpPr>
      <xdr:spPr bwMode="auto">
        <a:xfrm>
          <a:off x="1152525" y="1257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27" name="Text Box 705"/>
        <xdr:cNvSpPr txBox="1">
          <a:spLocks noChangeArrowheads="1"/>
        </xdr:cNvSpPr>
      </xdr:nvSpPr>
      <xdr:spPr bwMode="auto">
        <a:xfrm>
          <a:off x="1152525" y="1257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28" name="Text Box 706"/>
        <xdr:cNvSpPr txBox="1">
          <a:spLocks noChangeArrowheads="1"/>
        </xdr:cNvSpPr>
      </xdr:nvSpPr>
      <xdr:spPr bwMode="auto">
        <a:xfrm>
          <a:off x="1152525" y="1257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29" name="Text Box 707"/>
        <xdr:cNvSpPr txBox="1">
          <a:spLocks noChangeArrowheads="1"/>
        </xdr:cNvSpPr>
      </xdr:nvSpPr>
      <xdr:spPr bwMode="auto">
        <a:xfrm>
          <a:off x="1152525" y="1276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30" name="Text Box 708"/>
        <xdr:cNvSpPr txBox="1">
          <a:spLocks noChangeArrowheads="1"/>
        </xdr:cNvSpPr>
      </xdr:nvSpPr>
      <xdr:spPr bwMode="auto">
        <a:xfrm>
          <a:off x="1152525" y="1276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31" name="Text Box 709"/>
        <xdr:cNvSpPr txBox="1">
          <a:spLocks noChangeArrowheads="1"/>
        </xdr:cNvSpPr>
      </xdr:nvSpPr>
      <xdr:spPr bwMode="auto">
        <a:xfrm>
          <a:off x="1152525" y="1276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32" name="Text Box 710"/>
        <xdr:cNvSpPr txBox="1">
          <a:spLocks noChangeArrowheads="1"/>
        </xdr:cNvSpPr>
      </xdr:nvSpPr>
      <xdr:spPr bwMode="auto">
        <a:xfrm>
          <a:off x="1152525" y="1276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33" name="Text Box 711"/>
        <xdr:cNvSpPr txBox="1">
          <a:spLocks noChangeArrowheads="1"/>
        </xdr:cNvSpPr>
      </xdr:nvSpPr>
      <xdr:spPr bwMode="auto">
        <a:xfrm>
          <a:off x="1152525" y="1295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34" name="Text Box 712"/>
        <xdr:cNvSpPr txBox="1">
          <a:spLocks noChangeArrowheads="1"/>
        </xdr:cNvSpPr>
      </xdr:nvSpPr>
      <xdr:spPr bwMode="auto">
        <a:xfrm>
          <a:off x="1152525" y="1295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35" name="Text Box 713"/>
        <xdr:cNvSpPr txBox="1">
          <a:spLocks noChangeArrowheads="1"/>
        </xdr:cNvSpPr>
      </xdr:nvSpPr>
      <xdr:spPr bwMode="auto">
        <a:xfrm>
          <a:off x="1152525" y="1295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36" name="Text Box 714"/>
        <xdr:cNvSpPr txBox="1">
          <a:spLocks noChangeArrowheads="1"/>
        </xdr:cNvSpPr>
      </xdr:nvSpPr>
      <xdr:spPr bwMode="auto">
        <a:xfrm>
          <a:off x="1152525" y="1295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37" name="Text Box 715"/>
        <xdr:cNvSpPr txBox="1">
          <a:spLocks noChangeArrowheads="1"/>
        </xdr:cNvSpPr>
      </xdr:nvSpPr>
      <xdr:spPr bwMode="auto">
        <a:xfrm>
          <a:off x="1152525" y="1314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38" name="Text Box 716"/>
        <xdr:cNvSpPr txBox="1">
          <a:spLocks noChangeArrowheads="1"/>
        </xdr:cNvSpPr>
      </xdr:nvSpPr>
      <xdr:spPr bwMode="auto">
        <a:xfrm>
          <a:off x="1152525" y="1314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39" name="Text Box 717"/>
        <xdr:cNvSpPr txBox="1">
          <a:spLocks noChangeArrowheads="1"/>
        </xdr:cNvSpPr>
      </xdr:nvSpPr>
      <xdr:spPr bwMode="auto">
        <a:xfrm>
          <a:off x="1152525" y="1314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40" name="Text Box 718"/>
        <xdr:cNvSpPr txBox="1">
          <a:spLocks noChangeArrowheads="1"/>
        </xdr:cNvSpPr>
      </xdr:nvSpPr>
      <xdr:spPr bwMode="auto">
        <a:xfrm>
          <a:off x="1152525" y="1314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41" name="Text Box 719"/>
        <xdr:cNvSpPr txBox="1">
          <a:spLocks noChangeArrowheads="1"/>
        </xdr:cNvSpPr>
      </xdr:nvSpPr>
      <xdr:spPr bwMode="auto">
        <a:xfrm>
          <a:off x="1152525" y="1333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42" name="Text Box 720"/>
        <xdr:cNvSpPr txBox="1">
          <a:spLocks noChangeArrowheads="1"/>
        </xdr:cNvSpPr>
      </xdr:nvSpPr>
      <xdr:spPr bwMode="auto">
        <a:xfrm>
          <a:off x="1152525" y="1333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43" name="Text Box 721"/>
        <xdr:cNvSpPr txBox="1">
          <a:spLocks noChangeArrowheads="1"/>
        </xdr:cNvSpPr>
      </xdr:nvSpPr>
      <xdr:spPr bwMode="auto">
        <a:xfrm>
          <a:off x="1152525" y="1333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44" name="Text Box 722"/>
        <xdr:cNvSpPr txBox="1">
          <a:spLocks noChangeArrowheads="1"/>
        </xdr:cNvSpPr>
      </xdr:nvSpPr>
      <xdr:spPr bwMode="auto">
        <a:xfrm>
          <a:off x="1152525" y="1333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45" name="Text Box 723"/>
        <xdr:cNvSpPr txBox="1">
          <a:spLocks noChangeArrowheads="1"/>
        </xdr:cNvSpPr>
      </xdr:nvSpPr>
      <xdr:spPr bwMode="auto">
        <a:xfrm>
          <a:off x="1152525" y="1352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46" name="Text Box 724"/>
        <xdr:cNvSpPr txBox="1">
          <a:spLocks noChangeArrowheads="1"/>
        </xdr:cNvSpPr>
      </xdr:nvSpPr>
      <xdr:spPr bwMode="auto">
        <a:xfrm>
          <a:off x="1152525" y="1352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47" name="Text Box 725"/>
        <xdr:cNvSpPr txBox="1">
          <a:spLocks noChangeArrowheads="1"/>
        </xdr:cNvSpPr>
      </xdr:nvSpPr>
      <xdr:spPr bwMode="auto">
        <a:xfrm>
          <a:off x="1152525" y="1352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48" name="Text Box 726"/>
        <xdr:cNvSpPr txBox="1">
          <a:spLocks noChangeArrowheads="1"/>
        </xdr:cNvSpPr>
      </xdr:nvSpPr>
      <xdr:spPr bwMode="auto">
        <a:xfrm>
          <a:off x="1152525" y="1352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49" name="Text Box 727"/>
        <xdr:cNvSpPr txBox="1">
          <a:spLocks noChangeArrowheads="1"/>
        </xdr:cNvSpPr>
      </xdr:nvSpPr>
      <xdr:spPr bwMode="auto">
        <a:xfrm>
          <a:off x="1152525" y="1371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50" name="Text Box 728"/>
        <xdr:cNvSpPr txBox="1">
          <a:spLocks noChangeArrowheads="1"/>
        </xdr:cNvSpPr>
      </xdr:nvSpPr>
      <xdr:spPr bwMode="auto">
        <a:xfrm>
          <a:off x="1152525" y="1371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51" name="Text Box 729"/>
        <xdr:cNvSpPr txBox="1">
          <a:spLocks noChangeArrowheads="1"/>
        </xdr:cNvSpPr>
      </xdr:nvSpPr>
      <xdr:spPr bwMode="auto">
        <a:xfrm>
          <a:off x="1152525" y="1371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52" name="Text Box 730"/>
        <xdr:cNvSpPr txBox="1">
          <a:spLocks noChangeArrowheads="1"/>
        </xdr:cNvSpPr>
      </xdr:nvSpPr>
      <xdr:spPr bwMode="auto">
        <a:xfrm>
          <a:off x="1152525" y="1371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53" name="Text Box 731"/>
        <xdr:cNvSpPr txBox="1">
          <a:spLocks noChangeArrowheads="1"/>
        </xdr:cNvSpPr>
      </xdr:nvSpPr>
      <xdr:spPr bwMode="auto">
        <a:xfrm>
          <a:off x="1152525" y="1390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54" name="Text Box 732"/>
        <xdr:cNvSpPr txBox="1">
          <a:spLocks noChangeArrowheads="1"/>
        </xdr:cNvSpPr>
      </xdr:nvSpPr>
      <xdr:spPr bwMode="auto">
        <a:xfrm>
          <a:off x="1152525" y="1390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55" name="Text Box 733"/>
        <xdr:cNvSpPr txBox="1">
          <a:spLocks noChangeArrowheads="1"/>
        </xdr:cNvSpPr>
      </xdr:nvSpPr>
      <xdr:spPr bwMode="auto">
        <a:xfrm>
          <a:off x="1152525" y="1390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56" name="Text Box 734"/>
        <xdr:cNvSpPr txBox="1">
          <a:spLocks noChangeArrowheads="1"/>
        </xdr:cNvSpPr>
      </xdr:nvSpPr>
      <xdr:spPr bwMode="auto">
        <a:xfrm>
          <a:off x="1152525" y="1390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57" name="Text Box 735"/>
        <xdr:cNvSpPr txBox="1">
          <a:spLocks noChangeArrowheads="1"/>
        </xdr:cNvSpPr>
      </xdr:nvSpPr>
      <xdr:spPr bwMode="auto">
        <a:xfrm>
          <a:off x="1152525" y="1409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58" name="Text Box 736"/>
        <xdr:cNvSpPr txBox="1">
          <a:spLocks noChangeArrowheads="1"/>
        </xdr:cNvSpPr>
      </xdr:nvSpPr>
      <xdr:spPr bwMode="auto">
        <a:xfrm>
          <a:off x="1152525" y="1409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59" name="Text Box 737"/>
        <xdr:cNvSpPr txBox="1">
          <a:spLocks noChangeArrowheads="1"/>
        </xdr:cNvSpPr>
      </xdr:nvSpPr>
      <xdr:spPr bwMode="auto">
        <a:xfrm>
          <a:off x="1152525" y="1409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60" name="Text Box 738"/>
        <xdr:cNvSpPr txBox="1">
          <a:spLocks noChangeArrowheads="1"/>
        </xdr:cNvSpPr>
      </xdr:nvSpPr>
      <xdr:spPr bwMode="auto">
        <a:xfrm>
          <a:off x="1152525" y="1409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61" name="Text Box 739"/>
        <xdr:cNvSpPr txBox="1">
          <a:spLocks noChangeArrowheads="1"/>
        </xdr:cNvSpPr>
      </xdr:nvSpPr>
      <xdr:spPr bwMode="auto">
        <a:xfrm>
          <a:off x="1152525" y="1428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62" name="Text Box 740"/>
        <xdr:cNvSpPr txBox="1">
          <a:spLocks noChangeArrowheads="1"/>
        </xdr:cNvSpPr>
      </xdr:nvSpPr>
      <xdr:spPr bwMode="auto">
        <a:xfrm>
          <a:off x="1152525" y="1428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63" name="Text Box 741"/>
        <xdr:cNvSpPr txBox="1">
          <a:spLocks noChangeArrowheads="1"/>
        </xdr:cNvSpPr>
      </xdr:nvSpPr>
      <xdr:spPr bwMode="auto">
        <a:xfrm>
          <a:off x="1152525" y="1428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64" name="Text Box 742"/>
        <xdr:cNvSpPr txBox="1">
          <a:spLocks noChangeArrowheads="1"/>
        </xdr:cNvSpPr>
      </xdr:nvSpPr>
      <xdr:spPr bwMode="auto">
        <a:xfrm>
          <a:off x="1152525" y="1428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65" name="Text Box 743"/>
        <xdr:cNvSpPr txBox="1">
          <a:spLocks noChangeArrowheads="1"/>
        </xdr:cNvSpPr>
      </xdr:nvSpPr>
      <xdr:spPr bwMode="auto">
        <a:xfrm>
          <a:off x="1152525" y="1447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66" name="Text Box 744"/>
        <xdr:cNvSpPr txBox="1">
          <a:spLocks noChangeArrowheads="1"/>
        </xdr:cNvSpPr>
      </xdr:nvSpPr>
      <xdr:spPr bwMode="auto">
        <a:xfrm>
          <a:off x="1152525" y="1447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67" name="Text Box 745"/>
        <xdr:cNvSpPr txBox="1">
          <a:spLocks noChangeArrowheads="1"/>
        </xdr:cNvSpPr>
      </xdr:nvSpPr>
      <xdr:spPr bwMode="auto">
        <a:xfrm>
          <a:off x="1152525" y="1447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68" name="Text Box 746"/>
        <xdr:cNvSpPr txBox="1">
          <a:spLocks noChangeArrowheads="1"/>
        </xdr:cNvSpPr>
      </xdr:nvSpPr>
      <xdr:spPr bwMode="auto">
        <a:xfrm>
          <a:off x="1152525" y="1447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69" name="Text Box 747"/>
        <xdr:cNvSpPr txBox="1">
          <a:spLocks noChangeArrowheads="1"/>
        </xdr:cNvSpPr>
      </xdr:nvSpPr>
      <xdr:spPr bwMode="auto">
        <a:xfrm>
          <a:off x="1152525" y="1466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70" name="Text Box 748"/>
        <xdr:cNvSpPr txBox="1">
          <a:spLocks noChangeArrowheads="1"/>
        </xdr:cNvSpPr>
      </xdr:nvSpPr>
      <xdr:spPr bwMode="auto">
        <a:xfrm>
          <a:off x="1152525" y="1466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71" name="Text Box 749"/>
        <xdr:cNvSpPr txBox="1">
          <a:spLocks noChangeArrowheads="1"/>
        </xdr:cNvSpPr>
      </xdr:nvSpPr>
      <xdr:spPr bwMode="auto">
        <a:xfrm>
          <a:off x="1152525" y="1466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72" name="Text Box 750"/>
        <xdr:cNvSpPr txBox="1">
          <a:spLocks noChangeArrowheads="1"/>
        </xdr:cNvSpPr>
      </xdr:nvSpPr>
      <xdr:spPr bwMode="auto">
        <a:xfrm>
          <a:off x="1152525" y="1466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73" name="Text Box 751"/>
        <xdr:cNvSpPr txBox="1">
          <a:spLocks noChangeArrowheads="1"/>
        </xdr:cNvSpPr>
      </xdr:nvSpPr>
      <xdr:spPr bwMode="auto">
        <a:xfrm>
          <a:off x="1152525" y="1485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74" name="Text Box 752"/>
        <xdr:cNvSpPr txBox="1">
          <a:spLocks noChangeArrowheads="1"/>
        </xdr:cNvSpPr>
      </xdr:nvSpPr>
      <xdr:spPr bwMode="auto">
        <a:xfrm>
          <a:off x="1152525" y="1485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75" name="Text Box 753"/>
        <xdr:cNvSpPr txBox="1">
          <a:spLocks noChangeArrowheads="1"/>
        </xdr:cNvSpPr>
      </xdr:nvSpPr>
      <xdr:spPr bwMode="auto">
        <a:xfrm>
          <a:off x="1152525" y="1485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76" name="Text Box 754"/>
        <xdr:cNvSpPr txBox="1">
          <a:spLocks noChangeArrowheads="1"/>
        </xdr:cNvSpPr>
      </xdr:nvSpPr>
      <xdr:spPr bwMode="auto">
        <a:xfrm>
          <a:off x="1152525" y="1485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77" name="Text Box 755"/>
        <xdr:cNvSpPr txBox="1">
          <a:spLocks noChangeArrowheads="1"/>
        </xdr:cNvSpPr>
      </xdr:nvSpPr>
      <xdr:spPr bwMode="auto">
        <a:xfrm>
          <a:off x="1152525" y="1504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78" name="Text Box 756"/>
        <xdr:cNvSpPr txBox="1">
          <a:spLocks noChangeArrowheads="1"/>
        </xdr:cNvSpPr>
      </xdr:nvSpPr>
      <xdr:spPr bwMode="auto">
        <a:xfrm>
          <a:off x="1152525" y="1504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79" name="Text Box 757"/>
        <xdr:cNvSpPr txBox="1">
          <a:spLocks noChangeArrowheads="1"/>
        </xdr:cNvSpPr>
      </xdr:nvSpPr>
      <xdr:spPr bwMode="auto">
        <a:xfrm>
          <a:off x="1152525" y="1504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80" name="Text Box 758"/>
        <xdr:cNvSpPr txBox="1">
          <a:spLocks noChangeArrowheads="1"/>
        </xdr:cNvSpPr>
      </xdr:nvSpPr>
      <xdr:spPr bwMode="auto">
        <a:xfrm>
          <a:off x="1152525" y="1504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81" name="Text Box 759"/>
        <xdr:cNvSpPr txBox="1">
          <a:spLocks noChangeArrowheads="1"/>
        </xdr:cNvSpPr>
      </xdr:nvSpPr>
      <xdr:spPr bwMode="auto">
        <a:xfrm>
          <a:off x="1152525" y="1524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82" name="Text Box 760"/>
        <xdr:cNvSpPr txBox="1">
          <a:spLocks noChangeArrowheads="1"/>
        </xdr:cNvSpPr>
      </xdr:nvSpPr>
      <xdr:spPr bwMode="auto">
        <a:xfrm>
          <a:off x="1152525" y="1524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83" name="Text Box 761"/>
        <xdr:cNvSpPr txBox="1">
          <a:spLocks noChangeArrowheads="1"/>
        </xdr:cNvSpPr>
      </xdr:nvSpPr>
      <xdr:spPr bwMode="auto">
        <a:xfrm>
          <a:off x="1152525" y="1524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84" name="Text Box 762"/>
        <xdr:cNvSpPr txBox="1">
          <a:spLocks noChangeArrowheads="1"/>
        </xdr:cNvSpPr>
      </xdr:nvSpPr>
      <xdr:spPr bwMode="auto">
        <a:xfrm>
          <a:off x="1152525" y="1524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85" name="Text Box 763"/>
        <xdr:cNvSpPr txBox="1">
          <a:spLocks noChangeArrowheads="1"/>
        </xdr:cNvSpPr>
      </xdr:nvSpPr>
      <xdr:spPr bwMode="auto">
        <a:xfrm>
          <a:off x="1152525" y="1543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86" name="Text Box 764"/>
        <xdr:cNvSpPr txBox="1">
          <a:spLocks noChangeArrowheads="1"/>
        </xdr:cNvSpPr>
      </xdr:nvSpPr>
      <xdr:spPr bwMode="auto">
        <a:xfrm>
          <a:off x="1152525" y="1543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87" name="Text Box 765"/>
        <xdr:cNvSpPr txBox="1">
          <a:spLocks noChangeArrowheads="1"/>
        </xdr:cNvSpPr>
      </xdr:nvSpPr>
      <xdr:spPr bwMode="auto">
        <a:xfrm>
          <a:off x="1152525" y="1543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88" name="Text Box 766"/>
        <xdr:cNvSpPr txBox="1">
          <a:spLocks noChangeArrowheads="1"/>
        </xdr:cNvSpPr>
      </xdr:nvSpPr>
      <xdr:spPr bwMode="auto">
        <a:xfrm>
          <a:off x="1152525" y="1543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89" name="Text Box 767"/>
        <xdr:cNvSpPr txBox="1">
          <a:spLocks noChangeArrowheads="1"/>
        </xdr:cNvSpPr>
      </xdr:nvSpPr>
      <xdr:spPr bwMode="auto">
        <a:xfrm>
          <a:off x="1152525" y="1562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90" name="Text Box 768"/>
        <xdr:cNvSpPr txBox="1">
          <a:spLocks noChangeArrowheads="1"/>
        </xdr:cNvSpPr>
      </xdr:nvSpPr>
      <xdr:spPr bwMode="auto">
        <a:xfrm>
          <a:off x="1152525" y="1562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91" name="Text Box 769"/>
        <xdr:cNvSpPr txBox="1">
          <a:spLocks noChangeArrowheads="1"/>
        </xdr:cNvSpPr>
      </xdr:nvSpPr>
      <xdr:spPr bwMode="auto">
        <a:xfrm>
          <a:off x="1152525" y="1562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92" name="Text Box 770"/>
        <xdr:cNvSpPr txBox="1">
          <a:spLocks noChangeArrowheads="1"/>
        </xdr:cNvSpPr>
      </xdr:nvSpPr>
      <xdr:spPr bwMode="auto">
        <a:xfrm>
          <a:off x="1152525" y="1562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93" name="Text Box 771"/>
        <xdr:cNvSpPr txBox="1">
          <a:spLocks noChangeArrowheads="1"/>
        </xdr:cNvSpPr>
      </xdr:nvSpPr>
      <xdr:spPr bwMode="auto">
        <a:xfrm>
          <a:off x="1152525" y="1581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94" name="Text Box 772"/>
        <xdr:cNvSpPr txBox="1">
          <a:spLocks noChangeArrowheads="1"/>
        </xdr:cNvSpPr>
      </xdr:nvSpPr>
      <xdr:spPr bwMode="auto">
        <a:xfrm>
          <a:off x="1152525" y="1581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95" name="Text Box 773"/>
        <xdr:cNvSpPr txBox="1">
          <a:spLocks noChangeArrowheads="1"/>
        </xdr:cNvSpPr>
      </xdr:nvSpPr>
      <xdr:spPr bwMode="auto">
        <a:xfrm>
          <a:off x="1152525" y="1581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96" name="Text Box 774"/>
        <xdr:cNvSpPr txBox="1">
          <a:spLocks noChangeArrowheads="1"/>
        </xdr:cNvSpPr>
      </xdr:nvSpPr>
      <xdr:spPr bwMode="auto">
        <a:xfrm>
          <a:off x="1152525" y="1581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97" name="Text Box 775"/>
        <xdr:cNvSpPr txBox="1">
          <a:spLocks noChangeArrowheads="1"/>
        </xdr:cNvSpPr>
      </xdr:nvSpPr>
      <xdr:spPr bwMode="auto">
        <a:xfrm>
          <a:off x="1152525" y="1600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98" name="Text Box 776"/>
        <xdr:cNvSpPr txBox="1">
          <a:spLocks noChangeArrowheads="1"/>
        </xdr:cNvSpPr>
      </xdr:nvSpPr>
      <xdr:spPr bwMode="auto">
        <a:xfrm>
          <a:off x="1152525" y="1600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99" name="Text Box 777"/>
        <xdr:cNvSpPr txBox="1">
          <a:spLocks noChangeArrowheads="1"/>
        </xdr:cNvSpPr>
      </xdr:nvSpPr>
      <xdr:spPr bwMode="auto">
        <a:xfrm>
          <a:off x="1152525" y="1600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00" name="Text Box 778"/>
        <xdr:cNvSpPr txBox="1">
          <a:spLocks noChangeArrowheads="1"/>
        </xdr:cNvSpPr>
      </xdr:nvSpPr>
      <xdr:spPr bwMode="auto">
        <a:xfrm>
          <a:off x="1152525" y="1600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01" name="Text Box 779"/>
        <xdr:cNvSpPr txBox="1">
          <a:spLocks noChangeArrowheads="1"/>
        </xdr:cNvSpPr>
      </xdr:nvSpPr>
      <xdr:spPr bwMode="auto">
        <a:xfrm>
          <a:off x="1152525" y="1619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02" name="Text Box 780"/>
        <xdr:cNvSpPr txBox="1">
          <a:spLocks noChangeArrowheads="1"/>
        </xdr:cNvSpPr>
      </xdr:nvSpPr>
      <xdr:spPr bwMode="auto">
        <a:xfrm>
          <a:off x="1152525" y="1619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03" name="Text Box 781"/>
        <xdr:cNvSpPr txBox="1">
          <a:spLocks noChangeArrowheads="1"/>
        </xdr:cNvSpPr>
      </xdr:nvSpPr>
      <xdr:spPr bwMode="auto">
        <a:xfrm>
          <a:off x="1152525" y="1619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04" name="Text Box 782"/>
        <xdr:cNvSpPr txBox="1">
          <a:spLocks noChangeArrowheads="1"/>
        </xdr:cNvSpPr>
      </xdr:nvSpPr>
      <xdr:spPr bwMode="auto">
        <a:xfrm>
          <a:off x="1152525" y="1619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05" name="Text Box 783"/>
        <xdr:cNvSpPr txBox="1">
          <a:spLocks noChangeArrowheads="1"/>
        </xdr:cNvSpPr>
      </xdr:nvSpPr>
      <xdr:spPr bwMode="auto">
        <a:xfrm>
          <a:off x="1152525" y="1638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06" name="Text Box 784"/>
        <xdr:cNvSpPr txBox="1">
          <a:spLocks noChangeArrowheads="1"/>
        </xdr:cNvSpPr>
      </xdr:nvSpPr>
      <xdr:spPr bwMode="auto">
        <a:xfrm>
          <a:off x="1152525" y="1638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07" name="Text Box 785"/>
        <xdr:cNvSpPr txBox="1">
          <a:spLocks noChangeArrowheads="1"/>
        </xdr:cNvSpPr>
      </xdr:nvSpPr>
      <xdr:spPr bwMode="auto">
        <a:xfrm>
          <a:off x="1152525" y="1638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08" name="Text Box 786"/>
        <xdr:cNvSpPr txBox="1">
          <a:spLocks noChangeArrowheads="1"/>
        </xdr:cNvSpPr>
      </xdr:nvSpPr>
      <xdr:spPr bwMode="auto">
        <a:xfrm>
          <a:off x="1152525" y="1638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09" name="Text Box 787"/>
        <xdr:cNvSpPr txBox="1">
          <a:spLocks noChangeArrowheads="1"/>
        </xdr:cNvSpPr>
      </xdr:nvSpPr>
      <xdr:spPr bwMode="auto">
        <a:xfrm>
          <a:off x="1152525" y="1657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10" name="Text Box 788"/>
        <xdr:cNvSpPr txBox="1">
          <a:spLocks noChangeArrowheads="1"/>
        </xdr:cNvSpPr>
      </xdr:nvSpPr>
      <xdr:spPr bwMode="auto">
        <a:xfrm>
          <a:off x="1152525" y="1657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11" name="Text Box 789"/>
        <xdr:cNvSpPr txBox="1">
          <a:spLocks noChangeArrowheads="1"/>
        </xdr:cNvSpPr>
      </xdr:nvSpPr>
      <xdr:spPr bwMode="auto">
        <a:xfrm>
          <a:off x="1152525" y="1657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12" name="Text Box 790"/>
        <xdr:cNvSpPr txBox="1">
          <a:spLocks noChangeArrowheads="1"/>
        </xdr:cNvSpPr>
      </xdr:nvSpPr>
      <xdr:spPr bwMode="auto">
        <a:xfrm>
          <a:off x="1152525" y="1657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13" name="Text Box 791"/>
        <xdr:cNvSpPr txBox="1">
          <a:spLocks noChangeArrowheads="1"/>
        </xdr:cNvSpPr>
      </xdr:nvSpPr>
      <xdr:spPr bwMode="auto">
        <a:xfrm>
          <a:off x="1152525" y="1676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14" name="Text Box 792"/>
        <xdr:cNvSpPr txBox="1">
          <a:spLocks noChangeArrowheads="1"/>
        </xdr:cNvSpPr>
      </xdr:nvSpPr>
      <xdr:spPr bwMode="auto">
        <a:xfrm>
          <a:off x="1152525" y="1676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15" name="Text Box 793"/>
        <xdr:cNvSpPr txBox="1">
          <a:spLocks noChangeArrowheads="1"/>
        </xdr:cNvSpPr>
      </xdr:nvSpPr>
      <xdr:spPr bwMode="auto">
        <a:xfrm>
          <a:off x="1152525" y="1676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16" name="Text Box 794"/>
        <xdr:cNvSpPr txBox="1">
          <a:spLocks noChangeArrowheads="1"/>
        </xdr:cNvSpPr>
      </xdr:nvSpPr>
      <xdr:spPr bwMode="auto">
        <a:xfrm>
          <a:off x="1152525" y="1676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17" name="Text Box 795"/>
        <xdr:cNvSpPr txBox="1">
          <a:spLocks noChangeArrowheads="1"/>
        </xdr:cNvSpPr>
      </xdr:nvSpPr>
      <xdr:spPr bwMode="auto">
        <a:xfrm>
          <a:off x="1152525" y="1695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18" name="Text Box 796"/>
        <xdr:cNvSpPr txBox="1">
          <a:spLocks noChangeArrowheads="1"/>
        </xdr:cNvSpPr>
      </xdr:nvSpPr>
      <xdr:spPr bwMode="auto">
        <a:xfrm>
          <a:off x="1152525" y="1695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19" name="Text Box 797"/>
        <xdr:cNvSpPr txBox="1">
          <a:spLocks noChangeArrowheads="1"/>
        </xdr:cNvSpPr>
      </xdr:nvSpPr>
      <xdr:spPr bwMode="auto">
        <a:xfrm>
          <a:off x="1152525" y="1695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20" name="Text Box 798"/>
        <xdr:cNvSpPr txBox="1">
          <a:spLocks noChangeArrowheads="1"/>
        </xdr:cNvSpPr>
      </xdr:nvSpPr>
      <xdr:spPr bwMode="auto">
        <a:xfrm>
          <a:off x="1152525" y="1695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21" name="Text Box 799"/>
        <xdr:cNvSpPr txBox="1">
          <a:spLocks noChangeArrowheads="1"/>
        </xdr:cNvSpPr>
      </xdr:nvSpPr>
      <xdr:spPr bwMode="auto">
        <a:xfrm>
          <a:off x="1152525" y="1714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22" name="Text Box 800"/>
        <xdr:cNvSpPr txBox="1">
          <a:spLocks noChangeArrowheads="1"/>
        </xdr:cNvSpPr>
      </xdr:nvSpPr>
      <xdr:spPr bwMode="auto">
        <a:xfrm>
          <a:off x="1152525" y="1714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23" name="Text Box 801"/>
        <xdr:cNvSpPr txBox="1">
          <a:spLocks noChangeArrowheads="1"/>
        </xdr:cNvSpPr>
      </xdr:nvSpPr>
      <xdr:spPr bwMode="auto">
        <a:xfrm>
          <a:off x="1152525" y="1714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24" name="Text Box 802"/>
        <xdr:cNvSpPr txBox="1">
          <a:spLocks noChangeArrowheads="1"/>
        </xdr:cNvSpPr>
      </xdr:nvSpPr>
      <xdr:spPr bwMode="auto">
        <a:xfrm>
          <a:off x="1152525" y="1714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25" name="Text Box 803"/>
        <xdr:cNvSpPr txBox="1">
          <a:spLocks noChangeArrowheads="1"/>
        </xdr:cNvSpPr>
      </xdr:nvSpPr>
      <xdr:spPr bwMode="auto">
        <a:xfrm>
          <a:off x="1152525" y="1733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26" name="Text Box 804"/>
        <xdr:cNvSpPr txBox="1">
          <a:spLocks noChangeArrowheads="1"/>
        </xdr:cNvSpPr>
      </xdr:nvSpPr>
      <xdr:spPr bwMode="auto">
        <a:xfrm>
          <a:off x="1152525" y="1733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27" name="Text Box 805"/>
        <xdr:cNvSpPr txBox="1">
          <a:spLocks noChangeArrowheads="1"/>
        </xdr:cNvSpPr>
      </xdr:nvSpPr>
      <xdr:spPr bwMode="auto">
        <a:xfrm>
          <a:off x="1152525" y="1733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28" name="Text Box 806"/>
        <xdr:cNvSpPr txBox="1">
          <a:spLocks noChangeArrowheads="1"/>
        </xdr:cNvSpPr>
      </xdr:nvSpPr>
      <xdr:spPr bwMode="auto">
        <a:xfrm>
          <a:off x="1152525" y="1733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29" name="Text Box 807"/>
        <xdr:cNvSpPr txBox="1">
          <a:spLocks noChangeArrowheads="1"/>
        </xdr:cNvSpPr>
      </xdr:nvSpPr>
      <xdr:spPr bwMode="auto">
        <a:xfrm>
          <a:off x="1152525" y="1752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30" name="Text Box 808"/>
        <xdr:cNvSpPr txBox="1">
          <a:spLocks noChangeArrowheads="1"/>
        </xdr:cNvSpPr>
      </xdr:nvSpPr>
      <xdr:spPr bwMode="auto">
        <a:xfrm>
          <a:off x="1152525" y="1752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31" name="Text Box 809"/>
        <xdr:cNvSpPr txBox="1">
          <a:spLocks noChangeArrowheads="1"/>
        </xdr:cNvSpPr>
      </xdr:nvSpPr>
      <xdr:spPr bwMode="auto">
        <a:xfrm>
          <a:off x="1152525" y="1752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32" name="Text Box 810"/>
        <xdr:cNvSpPr txBox="1">
          <a:spLocks noChangeArrowheads="1"/>
        </xdr:cNvSpPr>
      </xdr:nvSpPr>
      <xdr:spPr bwMode="auto">
        <a:xfrm>
          <a:off x="1152525" y="1752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33" name="Text Box 811"/>
        <xdr:cNvSpPr txBox="1">
          <a:spLocks noChangeArrowheads="1"/>
        </xdr:cNvSpPr>
      </xdr:nvSpPr>
      <xdr:spPr bwMode="auto">
        <a:xfrm>
          <a:off x="1152525" y="1771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34" name="Text Box 812"/>
        <xdr:cNvSpPr txBox="1">
          <a:spLocks noChangeArrowheads="1"/>
        </xdr:cNvSpPr>
      </xdr:nvSpPr>
      <xdr:spPr bwMode="auto">
        <a:xfrm>
          <a:off x="1152525" y="1771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35" name="Text Box 813"/>
        <xdr:cNvSpPr txBox="1">
          <a:spLocks noChangeArrowheads="1"/>
        </xdr:cNvSpPr>
      </xdr:nvSpPr>
      <xdr:spPr bwMode="auto">
        <a:xfrm>
          <a:off x="1152525" y="1771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36" name="Text Box 814"/>
        <xdr:cNvSpPr txBox="1">
          <a:spLocks noChangeArrowheads="1"/>
        </xdr:cNvSpPr>
      </xdr:nvSpPr>
      <xdr:spPr bwMode="auto">
        <a:xfrm>
          <a:off x="1152525" y="1771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37" name="Text Box 815"/>
        <xdr:cNvSpPr txBox="1">
          <a:spLocks noChangeArrowheads="1"/>
        </xdr:cNvSpPr>
      </xdr:nvSpPr>
      <xdr:spPr bwMode="auto">
        <a:xfrm>
          <a:off x="1152525" y="1790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38" name="Text Box 816"/>
        <xdr:cNvSpPr txBox="1">
          <a:spLocks noChangeArrowheads="1"/>
        </xdr:cNvSpPr>
      </xdr:nvSpPr>
      <xdr:spPr bwMode="auto">
        <a:xfrm>
          <a:off x="1152525" y="1790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39" name="Text Box 817"/>
        <xdr:cNvSpPr txBox="1">
          <a:spLocks noChangeArrowheads="1"/>
        </xdr:cNvSpPr>
      </xdr:nvSpPr>
      <xdr:spPr bwMode="auto">
        <a:xfrm>
          <a:off x="1152525" y="1790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40" name="Text Box 818"/>
        <xdr:cNvSpPr txBox="1">
          <a:spLocks noChangeArrowheads="1"/>
        </xdr:cNvSpPr>
      </xdr:nvSpPr>
      <xdr:spPr bwMode="auto">
        <a:xfrm>
          <a:off x="1152525" y="1790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41" name="Text Box 819"/>
        <xdr:cNvSpPr txBox="1">
          <a:spLocks noChangeArrowheads="1"/>
        </xdr:cNvSpPr>
      </xdr:nvSpPr>
      <xdr:spPr bwMode="auto">
        <a:xfrm>
          <a:off x="1152525" y="1809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42" name="Text Box 820"/>
        <xdr:cNvSpPr txBox="1">
          <a:spLocks noChangeArrowheads="1"/>
        </xdr:cNvSpPr>
      </xdr:nvSpPr>
      <xdr:spPr bwMode="auto">
        <a:xfrm>
          <a:off x="1152525" y="1809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43" name="Text Box 821"/>
        <xdr:cNvSpPr txBox="1">
          <a:spLocks noChangeArrowheads="1"/>
        </xdr:cNvSpPr>
      </xdr:nvSpPr>
      <xdr:spPr bwMode="auto">
        <a:xfrm>
          <a:off x="1152525" y="1809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44" name="Text Box 822"/>
        <xdr:cNvSpPr txBox="1">
          <a:spLocks noChangeArrowheads="1"/>
        </xdr:cNvSpPr>
      </xdr:nvSpPr>
      <xdr:spPr bwMode="auto">
        <a:xfrm>
          <a:off x="1152525" y="1809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45" name="Text Box 823"/>
        <xdr:cNvSpPr txBox="1">
          <a:spLocks noChangeArrowheads="1"/>
        </xdr:cNvSpPr>
      </xdr:nvSpPr>
      <xdr:spPr bwMode="auto">
        <a:xfrm>
          <a:off x="1152525" y="1828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46" name="Text Box 824"/>
        <xdr:cNvSpPr txBox="1">
          <a:spLocks noChangeArrowheads="1"/>
        </xdr:cNvSpPr>
      </xdr:nvSpPr>
      <xdr:spPr bwMode="auto">
        <a:xfrm>
          <a:off x="1152525" y="1828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47" name="Text Box 825"/>
        <xdr:cNvSpPr txBox="1">
          <a:spLocks noChangeArrowheads="1"/>
        </xdr:cNvSpPr>
      </xdr:nvSpPr>
      <xdr:spPr bwMode="auto">
        <a:xfrm>
          <a:off x="1152525" y="1828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48" name="Text Box 826"/>
        <xdr:cNvSpPr txBox="1">
          <a:spLocks noChangeArrowheads="1"/>
        </xdr:cNvSpPr>
      </xdr:nvSpPr>
      <xdr:spPr bwMode="auto">
        <a:xfrm>
          <a:off x="1152525" y="1828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49" name="Text Box 827"/>
        <xdr:cNvSpPr txBox="1">
          <a:spLocks noChangeArrowheads="1"/>
        </xdr:cNvSpPr>
      </xdr:nvSpPr>
      <xdr:spPr bwMode="auto">
        <a:xfrm>
          <a:off x="1152525" y="1847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50" name="Text Box 828"/>
        <xdr:cNvSpPr txBox="1">
          <a:spLocks noChangeArrowheads="1"/>
        </xdr:cNvSpPr>
      </xdr:nvSpPr>
      <xdr:spPr bwMode="auto">
        <a:xfrm>
          <a:off x="1152525" y="1847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51" name="Text Box 829"/>
        <xdr:cNvSpPr txBox="1">
          <a:spLocks noChangeArrowheads="1"/>
        </xdr:cNvSpPr>
      </xdr:nvSpPr>
      <xdr:spPr bwMode="auto">
        <a:xfrm>
          <a:off x="1152525" y="1847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52" name="Text Box 830"/>
        <xdr:cNvSpPr txBox="1">
          <a:spLocks noChangeArrowheads="1"/>
        </xdr:cNvSpPr>
      </xdr:nvSpPr>
      <xdr:spPr bwMode="auto">
        <a:xfrm>
          <a:off x="1152525" y="1847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53" name="Text Box 831"/>
        <xdr:cNvSpPr txBox="1">
          <a:spLocks noChangeArrowheads="1"/>
        </xdr:cNvSpPr>
      </xdr:nvSpPr>
      <xdr:spPr bwMode="auto">
        <a:xfrm>
          <a:off x="1152525" y="1866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54" name="Text Box 832"/>
        <xdr:cNvSpPr txBox="1">
          <a:spLocks noChangeArrowheads="1"/>
        </xdr:cNvSpPr>
      </xdr:nvSpPr>
      <xdr:spPr bwMode="auto">
        <a:xfrm>
          <a:off x="1152525" y="1866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55" name="Text Box 833"/>
        <xdr:cNvSpPr txBox="1">
          <a:spLocks noChangeArrowheads="1"/>
        </xdr:cNvSpPr>
      </xdr:nvSpPr>
      <xdr:spPr bwMode="auto">
        <a:xfrm>
          <a:off x="1152525" y="1866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56" name="Text Box 834"/>
        <xdr:cNvSpPr txBox="1">
          <a:spLocks noChangeArrowheads="1"/>
        </xdr:cNvSpPr>
      </xdr:nvSpPr>
      <xdr:spPr bwMode="auto">
        <a:xfrm>
          <a:off x="1152525" y="1866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57" name="Text Box 835"/>
        <xdr:cNvSpPr txBox="1">
          <a:spLocks noChangeArrowheads="1"/>
        </xdr:cNvSpPr>
      </xdr:nvSpPr>
      <xdr:spPr bwMode="auto">
        <a:xfrm>
          <a:off x="1152525" y="1885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58" name="Text Box 836"/>
        <xdr:cNvSpPr txBox="1">
          <a:spLocks noChangeArrowheads="1"/>
        </xdr:cNvSpPr>
      </xdr:nvSpPr>
      <xdr:spPr bwMode="auto">
        <a:xfrm>
          <a:off x="1152525" y="1885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59" name="Text Box 837"/>
        <xdr:cNvSpPr txBox="1">
          <a:spLocks noChangeArrowheads="1"/>
        </xdr:cNvSpPr>
      </xdr:nvSpPr>
      <xdr:spPr bwMode="auto">
        <a:xfrm>
          <a:off x="1152525" y="1885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60" name="Text Box 838"/>
        <xdr:cNvSpPr txBox="1">
          <a:spLocks noChangeArrowheads="1"/>
        </xdr:cNvSpPr>
      </xdr:nvSpPr>
      <xdr:spPr bwMode="auto">
        <a:xfrm>
          <a:off x="1152525" y="1885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61" name="Text Box 839"/>
        <xdr:cNvSpPr txBox="1">
          <a:spLocks noChangeArrowheads="1"/>
        </xdr:cNvSpPr>
      </xdr:nvSpPr>
      <xdr:spPr bwMode="auto">
        <a:xfrm>
          <a:off x="1152525" y="1905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62" name="Text Box 840"/>
        <xdr:cNvSpPr txBox="1">
          <a:spLocks noChangeArrowheads="1"/>
        </xdr:cNvSpPr>
      </xdr:nvSpPr>
      <xdr:spPr bwMode="auto">
        <a:xfrm>
          <a:off x="1152525" y="1905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63" name="Text Box 841"/>
        <xdr:cNvSpPr txBox="1">
          <a:spLocks noChangeArrowheads="1"/>
        </xdr:cNvSpPr>
      </xdr:nvSpPr>
      <xdr:spPr bwMode="auto">
        <a:xfrm>
          <a:off x="1152525" y="1905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64" name="Text Box 842"/>
        <xdr:cNvSpPr txBox="1">
          <a:spLocks noChangeArrowheads="1"/>
        </xdr:cNvSpPr>
      </xdr:nvSpPr>
      <xdr:spPr bwMode="auto">
        <a:xfrm>
          <a:off x="1152525" y="1905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65" name="Text Box 843"/>
        <xdr:cNvSpPr txBox="1">
          <a:spLocks noChangeArrowheads="1"/>
        </xdr:cNvSpPr>
      </xdr:nvSpPr>
      <xdr:spPr bwMode="auto">
        <a:xfrm>
          <a:off x="1152525" y="1924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66" name="Text Box 844"/>
        <xdr:cNvSpPr txBox="1">
          <a:spLocks noChangeArrowheads="1"/>
        </xdr:cNvSpPr>
      </xdr:nvSpPr>
      <xdr:spPr bwMode="auto">
        <a:xfrm>
          <a:off x="1152525" y="1924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67" name="Text Box 845"/>
        <xdr:cNvSpPr txBox="1">
          <a:spLocks noChangeArrowheads="1"/>
        </xdr:cNvSpPr>
      </xdr:nvSpPr>
      <xdr:spPr bwMode="auto">
        <a:xfrm>
          <a:off x="1152525" y="1924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68" name="Text Box 846"/>
        <xdr:cNvSpPr txBox="1">
          <a:spLocks noChangeArrowheads="1"/>
        </xdr:cNvSpPr>
      </xdr:nvSpPr>
      <xdr:spPr bwMode="auto">
        <a:xfrm>
          <a:off x="1152525" y="1924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69" name="Text Box 847"/>
        <xdr:cNvSpPr txBox="1">
          <a:spLocks noChangeArrowheads="1"/>
        </xdr:cNvSpPr>
      </xdr:nvSpPr>
      <xdr:spPr bwMode="auto">
        <a:xfrm>
          <a:off x="1152525" y="1943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70" name="Text Box 848"/>
        <xdr:cNvSpPr txBox="1">
          <a:spLocks noChangeArrowheads="1"/>
        </xdr:cNvSpPr>
      </xdr:nvSpPr>
      <xdr:spPr bwMode="auto">
        <a:xfrm>
          <a:off x="1152525" y="1943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71" name="Text Box 849"/>
        <xdr:cNvSpPr txBox="1">
          <a:spLocks noChangeArrowheads="1"/>
        </xdr:cNvSpPr>
      </xdr:nvSpPr>
      <xdr:spPr bwMode="auto">
        <a:xfrm>
          <a:off x="1152525" y="1943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72" name="Text Box 850"/>
        <xdr:cNvSpPr txBox="1">
          <a:spLocks noChangeArrowheads="1"/>
        </xdr:cNvSpPr>
      </xdr:nvSpPr>
      <xdr:spPr bwMode="auto">
        <a:xfrm>
          <a:off x="1152525" y="1943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73" name="Text Box 851"/>
        <xdr:cNvSpPr txBox="1">
          <a:spLocks noChangeArrowheads="1"/>
        </xdr:cNvSpPr>
      </xdr:nvSpPr>
      <xdr:spPr bwMode="auto">
        <a:xfrm>
          <a:off x="1152525" y="1962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74" name="Text Box 852"/>
        <xdr:cNvSpPr txBox="1">
          <a:spLocks noChangeArrowheads="1"/>
        </xdr:cNvSpPr>
      </xdr:nvSpPr>
      <xdr:spPr bwMode="auto">
        <a:xfrm>
          <a:off x="1152525" y="1962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75" name="Text Box 853"/>
        <xdr:cNvSpPr txBox="1">
          <a:spLocks noChangeArrowheads="1"/>
        </xdr:cNvSpPr>
      </xdr:nvSpPr>
      <xdr:spPr bwMode="auto">
        <a:xfrm>
          <a:off x="1152525" y="1962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76" name="Text Box 854"/>
        <xdr:cNvSpPr txBox="1">
          <a:spLocks noChangeArrowheads="1"/>
        </xdr:cNvSpPr>
      </xdr:nvSpPr>
      <xdr:spPr bwMode="auto">
        <a:xfrm>
          <a:off x="1152525" y="1962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77" name="Text Box 855"/>
        <xdr:cNvSpPr txBox="1">
          <a:spLocks noChangeArrowheads="1"/>
        </xdr:cNvSpPr>
      </xdr:nvSpPr>
      <xdr:spPr bwMode="auto">
        <a:xfrm>
          <a:off x="1152525" y="1981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78" name="Text Box 856"/>
        <xdr:cNvSpPr txBox="1">
          <a:spLocks noChangeArrowheads="1"/>
        </xdr:cNvSpPr>
      </xdr:nvSpPr>
      <xdr:spPr bwMode="auto">
        <a:xfrm>
          <a:off x="1152525" y="1981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79" name="Text Box 857"/>
        <xdr:cNvSpPr txBox="1">
          <a:spLocks noChangeArrowheads="1"/>
        </xdr:cNvSpPr>
      </xdr:nvSpPr>
      <xdr:spPr bwMode="auto">
        <a:xfrm>
          <a:off x="1152525" y="1981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80" name="Text Box 858"/>
        <xdr:cNvSpPr txBox="1">
          <a:spLocks noChangeArrowheads="1"/>
        </xdr:cNvSpPr>
      </xdr:nvSpPr>
      <xdr:spPr bwMode="auto">
        <a:xfrm>
          <a:off x="1152525" y="1981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81" name="Text Box 859"/>
        <xdr:cNvSpPr txBox="1">
          <a:spLocks noChangeArrowheads="1"/>
        </xdr:cNvSpPr>
      </xdr:nvSpPr>
      <xdr:spPr bwMode="auto">
        <a:xfrm>
          <a:off x="1152525" y="2000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82" name="Text Box 860"/>
        <xdr:cNvSpPr txBox="1">
          <a:spLocks noChangeArrowheads="1"/>
        </xdr:cNvSpPr>
      </xdr:nvSpPr>
      <xdr:spPr bwMode="auto">
        <a:xfrm>
          <a:off x="1152525" y="2000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83" name="Text Box 861"/>
        <xdr:cNvSpPr txBox="1">
          <a:spLocks noChangeArrowheads="1"/>
        </xdr:cNvSpPr>
      </xdr:nvSpPr>
      <xdr:spPr bwMode="auto">
        <a:xfrm>
          <a:off x="1152525" y="2000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84" name="Text Box 862"/>
        <xdr:cNvSpPr txBox="1">
          <a:spLocks noChangeArrowheads="1"/>
        </xdr:cNvSpPr>
      </xdr:nvSpPr>
      <xdr:spPr bwMode="auto">
        <a:xfrm>
          <a:off x="1152525" y="2000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85" name="Text Box 863"/>
        <xdr:cNvSpPr txBox="1">
          <a:spLocks noChangeArrowheads="1"/>
        </xdr:cNvSpPr>
      </xdr:nvSpPr>
      <xdr:spPr bwMode="auto">
        <a:xfrm>
          <a:off x="1152525" y="2019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86" name="Text Box 864"/>
        <xdr:cNvSpPr txBox="1">
          <a:spLocks noChangeArrowheads="1"/>
        </xdr:cNvSpPr>
      </xdr:nvSpPr>
      <xdr:spPr bwMode="auto">
        <a:xfrm>
          <a:off x="1152525" y="2019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87" name="Text Box 865"/>
        <xdr:cNvSpPr txBox="1">
          <a:spLocks noChangeArrowheads="1"/>
        </xdr:cNvSpPr>
      </xdr:nvSpPr>
      <xdr:spPr bwMode="auto">
        <a:xfrm>
          <a:off x="1152525" y="2019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88" name="Text Box 866"/>
        <xdr:cNvSpPr txBox="1">
          <a:spLocks noChangeArrowheads="1"/>
        </xdr:cNvSpPr>
      </xdr:nvSpPr>
      <xdr:spPr bwMode="auto">
        <a:xfrm>
          <a:off x="1152525" y="2019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89" name="Text Box 867"/>
        <xdr:cNvSpPr txBox="1">
          <a:spLocks noChangeArrowheads="1"/>
        </xdr:cNvSpPr>
      </xdr:nvSpPr>
      <xdr:spPr bwMode="auto">
        <a:xfrm>
          <a:off x="1152525" y="2038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90" name="Text Box 868"/>
        <xdr:cNvSpPr txBox="1">
          <a:spLocks noChangeArrowheads="1"/>
        </xdr:cNvSpPr>
      </xdr:nvSpPr>
      <xdr:spPr bwMode="auto">
        <a:xfrm>
          <a:off x="1152525" y="2038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91" name="Text Box 869"/>
        <xdr:cNvSpPr txBox="1">
          <a:spLocks noChangeArrowheads="1"/>
        </xdr:cNvSpPr>
      </xdr:nvSpPr>
      <xdr:spPr bwMode="auto">
        <a:xfrm>
          <a:off x="1152525" y="2038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92" name="Text Box 870"/>
        <xdr:cNvSpPr txBox="1">
          <a:spLocks noChangeArrowheads="1"/>
        </xdr:cNvSpPr>
      </xdr:nvSpPr>
      <xdr:spPr bwMode="auto">
        <a:xfrm>
          <a:off x="1152525" y="2038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93" name="Text Box 871"/>
        <xdr:cNvSpPr txBox="1">
          <a:spLocks noChangeArrowheads="1"/>
        </xdr:cNvSpPr>
      </xdr:nvSpPr>
      <xdr:spPr bwMode="auto">
        <a:xfrm>
          <a:off x="1152525" y="2057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94" name="Text Box 872"/>
        <xdr:cNvSpPr txBox="1">
          <a:spLocks noChangeArrowheads="1"/>
        </xdr:cNvSpPr>
      </xdr:nvSpPr>
      <xdr:spPr bwMode="auto">
        <a:xfrm>
          <a:off x="1152525" y="2057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95" name="Text Box 873"/>
        <xdr:cNvSpPr txBox="1">
          <a:spLocks noChangeArrowheads="1"/>
        </xdr:cNvSpPr>
      </xdr:nvSpPr>
      <xdr:spPr bwMode="auto">
        <a:xfrm>
          <a:off x="1152525" y="2057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96" name="Text Box 874"/>
        <xdr:cNvSpPr txBox="1">
          <a:spLocks noChangeArrowheads="1"/>
        </xdr:cNvSpPr>
      </xdr:nvSpPr>
      <xdr:spPr bwMode="auto">
        <a:xfrm>
          <a:off x="1152525" y="2057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97" name="Text Box 875"/>
        <xdr:cNvSpPr txBox="1">
          <a:spLocks noChangeArrowheads="1"/>
        </xdr:cNvSpPr>
      </xdr:nvSpPr>
      <xdr:spPr bwMode="auto">
        <a:xfrm>
          <a:off x="1152525" y="2076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98" name="Text Box 876"/>
        <xdr:cNvSpPr txBox="1">
          <a:spLocks noChangeArrowheads="1"/>
        </xdr:cNvSpPr>
      </xdr:nvSpPr>
      <xdr:spPr bwMode="auto">
        <a:xfrm>
          <a:off x="1152525" y="2076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99" name="Text Box 877"/>
        <xdr:cNvSpPr txBox="1">
          <a:spLocks noChangeArrowheads="1"/>
        </xdr:cNvSpPr>
      </xdr:nvSpPr>
      <xdr:spPr bwMode="auto">
        <a:xfrm>
          <a:off x="1152525" y="2076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00" name="Text Box 878"/>
        <xdr:cNvSpPr txBox="1">
          <a:spLocks noChangeArrowheads="1"/>
        </xdr:cNvSpPr>
      </xdr:nvSpPr>
      <xdr:spPr bwMode="auto">
        <a:xfrm>
          <a:off x="1152525" y="2076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01" name="Text Box 879"/>
        <xdr:cNvSpPr txBox="1">
          <a:spLocks noChangeArrowheads="1"/>
        </xdr:cNvSpPr>
      </xdr:nvSpPr>
      <xdr:spPr bwMode="auto">
        <a:xfrm>
          <a:off x="1152525" y="2095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02" name="Text Box 880"/>
        <xdr:cNvSpPr txBox="1">
          <a:spLocks noChangeArrowheads="1"/>
        </xdr:cNvSpPr>
      </xdr:nvSpPr>
      <xdr:spPr bwMode="auto">
        <a:xfrm>
          <a:off x="1152525" y="2095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03" name="Text Box 881"/>
        <xdr:cNvSpPr txBox="1">
          <a:spLocks noChangeArrowheads="1"/>
        </xdr:cNvSpPr>
      </xdr:nvSpPr>
      <xdr:spPr bwMode="auto">
        <a:xfrm>
          <a:off x="1152525" y="2095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04" name="Text Box 882"/>
        <xdr:cNvSpPr txBox="1">
          <a:spLocks noChangeArrowheads="1"/>
        </xdr:cNvSpPr>
      </xdr:nvSpPr>
      <xdr:spPr bwMode="auto">
        <a:xfrm>
          <a:off x="1152525" y="2095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05" name="Text Box 883"/>
        <xdr:cNvSpPr txBox="1">
          <a:spLocks noChangeArrowheads="1"/>
        </xdr:cNvSpPr>
      </xdr:nvSpPr>
      <xdr:spPr bwMode="auto">
        <a:xfrm>
          <a:off x="1152525" y="2114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06" name="Text Box 884"/>
        <xdr:cNvSpPr txBox="1">
          <a:spLocks noChangeArrowheads="1"/>
        </xdr:cNvSpPr>
      </xdr:nvSpPr>
      <xdr:spPr bwMode="auto">
        <a:xfrm>
          <a:off x="1152525" y="2114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07" name="Text Box 885"/>
        <xdr:cNvSpPr txBox="1">
          <a:spLocks noChangeArrowheads="1"/>
        </xdr:cNvSpPr>
      </xdr:nvSpPr>
      <xdr:spPr bwMode="auto">
        <a:xfrm>
          <a:off x="1152525" y="2114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08" name="Text Box 886"/>
        <xdr:cNvSpPr txBox="1">
          <a:spLocks noChangeArrowheads="1"/>
        </xdr:cNvSpPr>
      </xdr:nvSpPr>
      <xdr:spPr bwMode="auto">
        <a:xfrm>
          <a:off x="1152525" y="2114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09" name="Text Box 887"/>
        <xdr:cNvSpPr txBox="1">
          <a:spLocks noChangeArrowheads="1"/>
        </xdr:cNvSpPr>
      </xdr:nvSpPr>
      <xdr:spPr bwMode="auto">
        <a:xfrm>
          <a:off x="1152525" y="2133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10" name="Text Box 888"/>
        <xdr:cNvSpPr txBox="1">
          <a:spLocks noChangeArrowheads="1"/>
        </xdr:cNvSpPr>
      </xdr:nvSpPr>
      <xdr:spPr bwMode="auto">
        <a:xfrm>
          <a:off x="1152525" y="2133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11" name="Text Box 889"/>
        <xdr:cNvSpPr txBox="1">
          <a:spLocks noChangeArrowheads="1"/>
        </xdr:cNvSpPr>
      </xdr:nvSpPr>
      <xdr:spPr bwMode="auto">
        <a:xfrm>
          <a:off x="1152525" y="2133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12" name="Text Box 890"/>
        <xdr:cNvSpPr txBox="1">
          <a:spLocks noChangeArrowheads="1"/>
        </xdr:cNvSpPr>
      </xdr:nvSpPr>
      <xdr:spPr bwMode="auto">
        <a:xfrm>
          <a:off x="1152525" y="2133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13" name="Text Box 891"/>
        <xdr:cNvSpPr txBox="1">
          <a:spLocks noChangeArrowheads="1"/>
        </xdr:cNvSpPr>
      </xdr:nvSpPr>
      <xdr:spPr bwMode="auto">
        <a:xfrm>
          <a:off x="1152525" y="2152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14" name="Text Box 892"/>
        <xdr:cNvSpPr txBox="1">
          <a:spLocks noChangeArrowheads="1"/>
        </xdr:cNvSpPr>
      </xdr:nvSpPr>
      <xdr:spPr bwMode="auto">
        <a:xfrm>
          <a:off x="1152525" y="2152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15" name="Text Box 893"/>
        <xdr:cNvSpPr txBox="1">
          <a:spLocks noChangeArrowheads="1"/>
        </xdr:cNvSpPr>
      </xdr:nvSpPr>
      <xdr:spPr bwMode="auto">
        <a:xfrm>
          <a:off x="1152525" y="2152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16" name="Text Box 894"/>
        <xdr:cNvSpPr txBox="1">
          <a:spLocks noChangeArrowheads="1"/>
        </xdr:cNvSpPr>
      </xdr:nvSpPr>
      <xdr:spPr bwMode="auto">
        <a:xfrm>
          <a:off x="1152525" y="2152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17" name="Text Box 895"/>
        <xdr:cNvSpPr txBox="1">
          <a:spLocks noChangeArrowheads="1"/>
        </xdr:cNvSpPr>
      </xdr:nvSpPr>
      <xdr:spPr bwMode="auto">
        <a:xfrm>
          <a:off x="1152525" y="2171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18" name="Text Box 896"/>
        <xdr:cNvSpPr txBox="1">
          <a:spLocks noChangeArrowheads="1"/>
        </xdr:cNvSpPr>
      </xdr:nvSpPr>
      <xdr:spPr bwMode="auto">
        <a:xfrm>
          <a:off x="1152525" y="2171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19" name="Text Box 897"/>
        <xdr:cNvSpPr txBox="1">
          <a:spLocks noChangeArrowheads="1"/>
        </xdr:cNvSpPr>
      </xdr:nvSpPr>
      <xdr:spPr bwMode="auto">
        <a:xfrm>
          <a:off x="1152525" y="2171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20" name="Text Box 898"/>
        <xdr:cNvSpPr txBox="1">
          <a:spLocks noChangeArrowheads="1"/>
        </xdr:cNvSpPr>
      </xdr:nvSpPr>
      <xdr:spPr bwMode="auto">
        <a:xfrm>
          <a:off x="1152525" y="2171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21" name="Text Box 899"/>
        <xdr:cNvSpPr txBox="1">
          <a:spLocks noChangeArrowheads="1"/>
        </xdr:cNvSpPr>
      </xdr:nvSpPr>
      <xdr:spPr bwMode="auto">
        <a:xfrm>
          <a:off x="1152525" y="2190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22" name="Text Box 900"/>
        <xdr:cNvSpPr txBox="1">
          <a:spLocks noChangeArrowheads="1"/>
        </xdr:cNvSpPr>
      </xdr:nvSpPr>
      <xdr:spPr bwMode="auto">
        <a:xfrm>
          <a:off x="1152525" y="2190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23" name="Text Box 901"/>
        <xdr:cNvSpPr txBox="1">
          <a:spLocks noChangeArrowheads="1"/>
        </xdr:cNvSpPr>
      </xdr:nvSpPr>
      <xdr:spPr bwMode="auto">
        <a:xfrm>
          <a:off x="1152525" y="2190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24" name="Text Box 902"/>
        <xdr:cNvSpPr txBox="1">
          <a:spLocks noChangeArrowheads="1"/>
        </xdr:cNvSpPr>
      </xdr:nvSpPr>
      <xdr:spPr bwMode="auto">
        <a:xfrm>
          <a:off x="1152525" y="2190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25" name="Text Box 903"/>
        <xdr:cNvSpPr txBox="1">
          <a:spLocks noChangeArrowheads="1"/>
        </xdr:cNvSpPr>
      </xdr:nvSpPr>
      <xdr:spPr bwMode="auto">
        <a:xfrm>
          <a:off x="1152525" y="2209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26" name="Text Box 904"/>
        <xdr:cNvSpPr txBox="1">
          <a:spLocks noChangeArrowheads="1"/>
        </xdr:cNvSpPr>
      </xdr:nvSpPr>
      <xdr:spPr bwMode="auto">
        <a:xfrm>
          <a:off x="1152525" y="2209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27" name="Text Box 905"/>
        <xdr:cNvSpPr txBox="1">
          <a:spLocks noChangeArrowheads="1"/>
        </xdr:cNvSpPr>
      </xdr:nvSpPr>
      <xdr:spPr bwMode="auto">
        <a:xfrm>
          <a:off x="1152525" y="2209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28" name="Text Box 906"/>
        <xdr:cNvSpPr txBox="1">
          <a:spLocks noChangeArrowheads="1"/>
        </xdr:cNvSpPr>
      </xdr:nvSpPr>
      <xdr:spPr bwMode="auto">
        <a:xfrm>
          <a:off x="1152525" y="2209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29" name="Text Box 907"/>
        <xdr:cNvSpPr txBox="1">
          <a:spLocks noChangeArrowheads="1"/>
        </xdr:cNvSpPr>
      </xdr:nvSpPr>
      <xdr:spPr bwMode="auto">
        <a:xfrm>
          <a:off x="1152525" y="2228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30" name="Text Box 908"/>
        <xdr:cNvSpPr txBox="1">
          <a:spLocks noChangeArrowheads="1"/>
        </xdr:cNvSpPr>
      </xdr:nvSpPr>
      <xdr:spPr bwMode="auto">
        <a:xfrm>
          <a:off x="1152525" y="2228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31" name="Text Box 909"/>
        <xdr:cNvSpPr txBox="1">
          <a:spLocks noChangeArrowheads="1"/>
        </xdr:cNvSpPr>
      </xdr:nvSpPr>
      <xdr:spPr bwMode="auto">
        <a:xfrm>
          <a:off x="1152525" y="2228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32" name="Text Box 910"/>
        <xdr:cNvSpPr txBox="1">
          <a:spLocks noChangeArrowheads="1"/>
        </xdr:cNvSpPr>
      </xdr:nvSpPr>
      <xdr:spPr bwMode="auto">
        <a:xfrm>
          <a:off x="1152525" y="2228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33" name="Text Box 911"/>
        <xdr:cNvSpPr txBox="1">
          <a:spLocks noChangeArrowheads="1"/>
        </xdr:cNvSpPr>
      </xdr:nvSpPr>
      <xdr:spPr bwMode="auto">
        <a:xfrm>
          <a:off x="1152525" y="2247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34" name="Text Box 912"/>
        <xdr:cNvSpPr txBox="1">
          <a:spLocks noChangeArrowheads="1"/>
        </xdr:cNvSpPr>
      </xdr:nvSpPr>
      <xdr:spPr bwMode="auto">
        <a:xfrm>
          <a:off x="1152525" y="2247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35" name="Text Box 913"/>
        <xdr:cNvSpPr txBox="1">
          <a:spLocks noChangeArrowheads="1"/>
        </xdr:cNvSpPr>
      </xdr:nvSpPr>
      <xdr:spPr bwMode="auto">
        <a:xfrm>
          <a:off x="1152525" y="2247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36" name="Text Box 914"/>
        <xdr:cNvSpPr txBox="1">
          <a:spLocks noChangeArrowheads="1"/>
        </xdr:cNvSpPr>
      </xdr:nvSpPr>
      <xdr:spPr bwMode="auto">
        <a:xfrm>
          <a:off x="1152525" y="2247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37" name="Text Box 915"/>
        <xdr:cNvSpPr txBox="1">
          <a:spLocks noChangeArrowheads="1"/>
        </xdr:cNvSpPr>
      </xdr:nvSpPr>
      <xdr:spPr bwMode="auto">
        <a:xfrm>
          <a:off x="1152525" y="2266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38" name="Text Box 916"/>
        <xdr:cNvSpPr txBox="1">
          <a:spLocks noChangeArrowheads="1"/>
        </xdr:cNvSpPr>
      </xdr:nvSpPr>
      <xdr:spPr bwMode="auto">
        <a:xfrm>
          <a:off x="1152525" y="2266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39" name="Text Box 917"/>
        <xdr:cNvSpPr txBox="1">
          <a:spLocks noChangeArrowheads="1"/>
        </xdr:cNvSpPr>
      </xdr:nvSpPr>
      <xdr:spPr bwMode="auto">
        <a:xfrm>
          <a:off x="1152525" y="2266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40" name="Text Box 918"/>
        <xdr:cNvSpPr txBox="1">
          <a:spLocks noChangeArrowheads="1"/>
        </xdr:cNvSpPr>
      </xdr:nvSpPr>
      <xdr:spPr bwMode="auto">
        <a:xfrm>
          <a:off x="1152525" y="2266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41" name="Text Box 919"/>
        <xdr:cNvSpPr txBox="1">
          <a:spLocks noChangeArrowheads="1"/>
        </xdr:cNvSpPr>
      </xdr:nvSpPr>
      <xdr:spPr bwMode="auto">
        <a:xfrm>
          <a:off x="1152525" y="2286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42" name="Text Box 920"/>
        <xdr:cNvSpPr txBox="1">
          <a:spLocks noChangeArrowheads="1"/>
        </xdr:cNvSpPr>
      </xdr:nvSpPr>
      <xdr:spPr bwMode="auto">
        <a:xfrm>
          <a:off x="1152525" y="2286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43" name="Text Box 921"/>
        <xdr:cNvSpPr txBox="1">
          <a:spLocks noChangeArrowheads="1"/>
        </xdr:cNvSpPr>
      </xdr:nvSpPr>
      <xdr:spPr bwMode="auto">
        <a:xfrm>
          <a:off x="1152525" y="2286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44" name="Text Box 922"/>
        <xdr:cNvSpPr txBox="1">
          <a:spLocks noChangeArrowheads="1"/>
        </xdr:cNvSpPr>
      </xdr:nvSpPr>
      <xdr:spPr bwMode="auto">
        <a:xfrm>
          <a:off x="1152525" y="2286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45" name="Text Box 923"/>
        <xdr:cNvSpPr txBox="1">
          <a:spLocks noChangeArrowheads="1"/>
        </xdr:cNvSpPr>
      </xdr:nvSpPr>
      <xdr:spPr bwMode="auto">
        <a:xfrm>
          <a:off x="1152525" y="2305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46" name="Text Box 924"/>
        <xdr:cNvSpPr txBox="1">
          <a:spLocks noChangeArrowheads="1"/>
        </xdr:cNvSpPr>
      </xdr:nvSpPr>
      <xdr:spPr bwMode="auto">
        <a:xfrm>
          <a:off x="1152525" y="2305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47" name="Text Box 925"/>
        <xdr:cNvSpPr txBox="1">
          <a:spLocks noChangeArrowheads="1"/>
        </xdr:cNvSpPr>
      </xdr:nvSpPr>
      <xdr:spPr bwMode="auto">
        <a:xfrm>
          <a:off x="1152525" y="2305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48" name="Text Box 926"/>
        <xdr:cNvSpPr txBox="1">
          <a:spLocks noChangeArrowheads="1"/>
        </xdr:cNvSpPr>
      </xdr:nvSpPr>
      <xdr:spPr bwMode="auto">
        <a:xfrm>
          <a:off x="1152525" y="2305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49" name="Text Box 927"/>
        <xdr:cNvSpPr txBox="1">
          <a:spLocks noChangeArrowheads="1"/>
        </xdr:cNvSpPr>
      </xdr:nvSpPr>
      <xdr:spPr bwMode="auto">
        <a:xfrm>
          <a:off x="1152525" y="2324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50" name="Text Box 928"/>
        <xdr:cNvSpPr txBox="1">
          <a:spLocks noChangeArrowheads="1"/>
        </xdr:cNvSpPr>
      </xdr:nvSpPr>
      <xdr:spPr bwMode="auto">
        <a:xfrm>
          <a:off x="1152525" y="2324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51" name="Text Box 929"/>
        <xdr:cNvSpPr txBox="1">
          <a:spLocks noChangeArrowheads="1"/>
        </xdr:cNvSpPr>
      </xdr:nvSpPr>
      <xdr:spPr bwMode="auto">
        <a:xfrm>
          <a:off x="1152525" y="2324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52" name="Text Box 930"/>
        <xdr:cNvSpPr txBox="1">
          <a:spLocks noChangeArrowheads="1"/>
        </xdr:cNvSpPr>
      </xdr:nvSpPr>
      <xdr:spPr bwMode="auto">
        <a:xfrm>
          <a:off x="1152525" y="2324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53" name="Text Box 931"/>
        <xdr:cNvSpPr txBox="1">
          <a:spLocks noChangeArrowheads="1"/>
        </xdr:cNvSpPr>
      </xdr:nvSpPr>
      <xdr:spPr bwMode="auto">
        <a:xfrm>
          <a:off x="1152525" y="2343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54" name="Text Box 932"/>
        <xdr:cNvSpPr txBox="1">
          <a:spLocks noChangeArrowheads="1"/>
        </xdr:cNvSpPr>
      </xdr:nvSpPr>
      <xdr:spPr bwMode="auto">
        <a:xfrm>
          <a:off x="1152525" y="2343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55" name="Text Box 933"/>
        <xdr:cNvSpPr txBox="1">
          <a:spLocks noChangeArrowheads="1"/>
        </xdr:cNvSpPr>
      </xdr:nvSpPr>
      <xdr:spPr bwMode="auto">
        <a:xfrm>
          <a:off x="1152525" y="2343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56" name="Text Box 934"/>
        <xdr:cNvSpPr txBox="1">
          <a:spLocks noChangeArrowheads="1"/>
        </xdr:cNvSpPr>
      </xdr:nvSpPr>
      <xdr:spPr bwMode="auto">
        <a:xfrm>
          <a:off x="1152525" y="2343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57" name="Text Box 935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58" name="Text Box 936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59" name="Text Box 937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60" name="Text Box 938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61" name="Text Box 939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62" name="Text Box 940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63" name="Text Box 941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64" name="Text Box 942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65" name="Text Box 943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66" name="Text Box 944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67" name="Text Box 945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68" name="Text Box 946"/>
        <xdr:cNvSpPr txBox="1">
          <a:spLocks noChangeArrowheads="1"/>
        </xdr:cNvSpPr>
      </xdr:nvSpPr>
      <xdr:spPr bwMode="auto">
        <a:xfrm>
          <a:off x="1152525" y="2362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69" name="Text Box 947"/>
        <xdr:cNvSpPr txBox="1">
          <a:spLocks noChangeArrowheads="1"/>
        </xdr:cNvSpPr>
      </xdr:nvSpPr>
      <xdr:spPr bwMode="auto">
        <a:xfrm>
          <a:off x="1152525" y="2381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70" name="Text Box 948"/>
        <xdr:cNvSpPr txBox="1">
          <a:spLocks noChangeArrowheads="1"/>
        </xdr:cNvSpPr>
      </xdr:nvSpPr>
      <xdr:spPr bwMode="auto">
        <a:xfrm>
          <a:off x="1152525" y="2381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71" name="Text Box 949"/>
        <xdr:cNvSpPr txBox="1">
          <a:spLocks noChangeArrowheads="1"/>
        </xdr:cNvSpPr>
      </xdr:nvSpPr>
      <xdr:spPr bwMode="auto">
        <a:xfrm>
          <a:off x="1152525" y="2381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72" name="Text Box 950"/>
        <xdr:cNvSpPr txBox="1">
          <a:spLocks noChangeArrowheads="1"/>
        </xdr:cNvSpPr>
      </xdr:nvSpPr>
      <xdr:spPr bwMode="auto">
        <a:xfrm>
          <a:off x="1152525" y="2381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73" name="Text Box 951"/>
        <xdr:cNvSpPr txBox="1">
          <a:spLocks noChangeArrowheads="1"/>
        </xdr:cNvSpPr>
      </xdr:nvSpPr>
      <xdr:spPr bwMode="auto">
        <a:xfrm>
          <a:off x="1152525" y="2400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74" name="Text Box 952"/>
        <xdr:cNvSpPr txBox="1">
          <a:spLocks noChangeArrowheads="1"/>
        </xdr:cNvSpPr>
      </xdr:nvSpPr>
      <xdr:spPr bwMode="auto">
        <a:xfrm>
          <a:off x="1152525" y="2400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75" name="Text Box 953"/>
        <xdr:cNvSpPr txBox="1">
          <a:spLocks noChangeArrowheads="1"/>
        </xdr:cNvSpPr>
      </xdr:nvSpPr>
      <xdr:spPr bwMode="auto">
        <a:xfrm>
          <a:off x="1152525" y="2400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76" name="Text Box 954"/>
        <xdr:cNvSpPr txBox="1">
          <a:spLocks noChangeArrowheads="1"/>
        </xdr:cNvSpPr>
      </xdr:nvSpPr>
      <xdr:spPr bwMode="auto">
        <a:xfrm>
          <a:off x="1152525" y="2400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77" name="Text Box 955"/>
        <xdr:cNvSpPr txBox="1">
          <a:spLocks noChangeArrowheads="1"/>
        </xdr:cNvSpPr>
      </xdr:nvSpPr>
      <xdr:spPr bwMode="auto">
        <a:xfrm>
          <a:off x="1152525" y="2419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78" name="Text Box 956"/>
        <xdr:cNvSpPr txBox="1">
          <a:spLocks noChangeArrowheads="1"/>
        </xdr:cNvSpPr>
      </xdr:nvSpPr>
      <xdr:spPr bwMode="auto">
        <a:xfrm>
          <a:off x="1152525" y="2419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79" name="Text Box 957"/>
        <xdr:cNvSpPr txBox="1">
          <a:spLocks noChangeArrowheads="1"/>
        </xdr:cNvSpPr>
      </xdr:nvSpPr>
      <xdr:spPr bwMode="auto">
        <a:xfrm>
          <a:off x="1152525" y="2419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80" name="Text Box 958"/>
        <xdr:cNvSpPr txBox="1">
          <a:spLocks noChangeArrowheads="1"/>
        </xdr:cNvSpPr>
      </xdr:nvSpPr>
      <xdr:spPr bwMode="auto">
        <a:xfrm>
          <a:off x="1152525" y="2419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81" name="Text Box 959"/>
        <xdr:cNvSpPr txBox="1">
          <a:spLocks noChangeArrowheads="1"/>
        </xdr:cNvSpPr>
      </xdr:nvSpPr>
      <xdr:spPr bwMode="auto">
        <a:xfrm>
          <a:off x="1152525" y="2438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82" name="Text Box 960"/>
        <xdr:cNvSpPr txBox="1">
          <a:spLocks noChangeArrowheads="1"/>
        </xdr:cNvSpPr>
      </xdr:nvSpPr>
      <xdr:spPr bwMode="auto">
        <a:xfrm>
          <a:off x="1152525" y="2438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83" name="Text Box 961"/>
        <xdr:cNvSpPr txBox="1">
          <a:spLocks noChangeArrowheads="1"/>
        </xdr:cNvSpPr>
      </xdr:nvSpPr>
      <xdr:spPr bwMode="auto">
        <a:xfrm>
          <a:off x="1152525" y="2438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84" name="Text Box 962"/>
        <xdr:cNvSpPr txBox="1">
          <a:spLocks noChangeArrowheads="1"/>
        </xdr:cNvSpPr>
      </xdr:nvSpPr>
      <xdr:spPr bwMode="auto">
        <a:xfrm>
          <a:off x="1152525" y="2438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85" name="Text Box 963"/>
        <xdr:cNvSpPr txBox="1">
          <a:spLocks noChangeArrowheads="1"/>
        </xdr:cNvSpPr>
      </xdr:nvSpPr>
      <xdr:spPr bwMode="auto">
        <a:xfrm>
          <a:off x="1152525" y="2457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86" name="Text Box 964"/>
        <xdr:cNvSpPr txBox="1">
          <a:spLocks noChangeArrowheads="1"/>
        </xdr:cNvSpPr>
      </xdr:nvSpPr>
      <xdr:spPr bwMode="auto">
        <a:xfrm>
          <a:off x="1152525" y="2457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87" name="Text Box 965"/>
        <xdr:cNvSpPr txBox="1">
          <a:spLocks noChangeArrowheads="1"/>
        </xdr:cNvSpPr>
      </xdr:nvSpPr>
      <xdr:spPr bwMode="auto">
        <a:xfrm>
          <a:off x="1152525" y="2457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88" name="Text Box 966"/>
        <xdr:cNvSpPr txBox="1">
          <a:spLocks noChangeArrowheads="1"/>
        </xdr:cNvSpPr>
      </xdr:nvSpPr>
      <xdr:spPr bwMode="auto">
        <a:xfrm>
          <a:off x="1152525" y="2457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89" name="Text Box 967"/>
        <xdr:cNvSpPr txBox="1">
          <a:spLocks noChangeArrowheads="1"/>
        </xdr:cNvSpPr>
      </xdr:nvSpPr>
      <xdr:spPr bwMode="auto">
        <a:xfrm>
          <a:off x="1152525" y="2476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90" name="Text Box 968"/>
        <xdr:cNvSpPr txBox="1">
          <a:spLocks noChangeArrowheads="1"/>
        </xdr:cNvSpPr>
      </xdr:nvSpPr>
      <xdr:spPr bwMode="auto">
        <a:xfrm>
          <a:off x="1152525" y="2476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91" name="Text Box 969"/>
        <xdr:cNvSpPr txBox="1">
          <a:spLocks noChangeArrowheads="1"/>
        </xdr:cNvSpPr>
      </xdr:nvSpPr>
      <xdr:spPr bwMode="auto">
        <a:xfrm>
          <a:off x="1152525" y="2476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92" name="Text Box 970"/>
        <xdr:cNvSpPr txBox="1">
          <a:spLocks noChangeArrowheads="1"/>
        </xdr:cNvSpPr>
      </xdr:nvSpPr>
      <xdr:spPr bwMode="auto">
        <a:xfrm>
          <a:off x="1152525" y="2476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93" name="Text Box 971"/>
        <xdr:cNvSpPr txBox="1">
          <a:spLocks noChangeArrowheads="1"/>
        </xdr:cNvSpPr>
      </xdr:nvSpPr>
      <xdr:spPr bwMode="auto">
        <a:xfrm>
          <a:off x="1152525" y="2495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94" name="Text Box 972"/>
        <xdr:cNvSpPr txBox="1">
          <a:spLocks noChangeArrowheads="1"/>
        </xdr:cNvSpPr>
      </xdr:nvSpPr>
      <xdr:spPr bwMode="auto">
        <a:xfrm>
          <a:off x="1152525" y="2495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95" name="Text Box 973"/>
        <xdr:cNvSpPr txBox="1">
          <a:spLocks noChangeArrowheads="1"/>
        </xdr:cNvSpPr>
      </xdr:nvSpPr>
      <xdr:spPr bwMode="auto">
        <a:xfrm>
          <a:off x="1152525" y="2495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96" name="Text Box 974"/>
        <xdr:cNvSpPr txBox="1">
          <a:spLocks noChangeArrowheads="1"/>
        </xdr:cNvSpPr>
      </xdr:nvSpPr>
      <xdr:spPr bwMode="auto">
        <a:xfrm>
          <a:off x="1152525" y="2495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97" name="Text Box 975"/>
        <xdr:cNvSpPr txBox="1">
          <a:spLocks noChangeArrowheads="1"/>
        </xdr:cNvSpPr>
      </xdr:nvSpPr>
      <xdr:spPr bwMode="auto">
        <a:xfrm>
          <a:off x="1152525" y="2514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98" name="Text Box 976"/>
        <xdr:cNvSpPr txBox="1">
          <a:spLocks noChangeArrowheads="1"/>
        </xdr:cNvSpPr>
      </xdr:nvSpPr>
      <xdr:spPr bwMode="auto">
        <a:xfrm>
          <a:off x="1152525" y="2514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99" name="Text Box 977"/>
        <xdr:cNvSpPr txBox="1">
          <a:spLocks noChangeArrowheads="1"/>
        </xdr:cNvSpPr>
      </xdr:nvSpPr>
      <xdr:spPr bwMode="auto">
        <a:xfrm>
          <a:off x="1152525" y="2514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00" name="Text Box 978"/>
        <xdr:cNvSpPr txBox="1">
          <a:spLocks noChangeArrowheads="1"/>
        </xdr:cNvSpPr>
      </xdr:nvSpPr>
      <xdr:spPr bwMode="auto">
        <a:xfrm>
          <a:off x="1152525" y="2514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01" name="Text Box 979"/>
        <xdr:cNvSpPr txBox="1">
          <a:spLocks noChangeArrowheads="1"/>
        </xdr:cNvSpPr>
      </xdr:nvSpPr>
      <xdr:spPr bwMode="auto">
        <a:xfrm>
          <a:off x="1152525" y="2533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02" name="Text Box 980"/>
        <xdr:cNvSpPr txBox="1">
          <a:spLocks noChangeArrowheads="1"/>
        </xdr:cNvSpPr>
      </xdr:nvSpPr>
      <xdr:spPr bwMode="auto">
        <a:xfrm>
          <a:off x="1152525" y="2533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03" name="Text Box 981"/>
        <xdr:cNvSpPr txBox="1">
          <a:spLocks noChangeArrowheads="1"/>
        </xdr:cNvSpPr>
      </xdr:nvSpPr>
      <xdr:spPr bwMode="auto">
        <a:xfrm>
          <a:off x="1152525" y="2533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04" name="Text Box 982"/>
        <xdr:cNvSpPr txBox="1">
          <a:spLocks noChangeArrowheads="1"/>
        </xdr:cNvSpPr>
      </xdr:nvSpPr>
      <xdr:spPr bwMode="auto">
        <a:xfrm>
          <a:off x="1152525" y="2533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05" name="Text Box 983"/>
        <xdr:cNvSpPr txBox="1">
          <a:spLocks noChangeArrowheads="1"/>
        </xdr:cNvSpPr>
      </xdr:nvSpPr>
      <xdr:spPr bwMode="auto">
        <a:xfrm>
          <a:off x="1152525" y="2552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06" name="Text Box 984"/>
        <xdr:cNvSpPr txBox="1">
          <a:spLocks noChangeArrowheads="1"/>
        </xdr:cNvSpPr>
      </xdr:nvSpPr>
      <xdr:spPr bwMode="auto">
        <a:xfrm>
          <a:off x="1152525" y="2552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07" name="Text Box 985"/>
        <xdr:cNvSpPr txBox="1">
          <a:spLocks noChangeArrowheads="1"/>
        </xdr:cNvSpPr>
      </xdr:nvSpPr>
      <xdr:spPr bwMode="auto">
        <a:xfrm>
          <a:off x="1152525" y="2552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08" name="Text Box 986"/>
        <xdr:cNvSpPr txBox="1">
          <a:spLocks noChangeArrowheads="1"/>
        </xdr:cNvSpPr>
      </xdr:nvSpPr>
      <xdr:spPr bwMode="auto">
        <a:xfrm>
          <a:off x="1152525" y="2552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09" name="Text Box 987"/>
        <xdr:cNvSpPr txBox="1">
          <a:spLocks noChangeArrowheads="1"/>
        </xdr:cNvSpPr>
      </xdr:nvSpPr>
      <xdr:spPr bwMode="auto">
        <a:xfrm>
          <a:off x="1152525" y="2571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10" name="Text Box 988"/>
        <xdr:cNvSpPr txBox="1">
          <a:spLocks noChangeArrowheads="1"/>
        </xdr:cNvSpPr>
      </xdr:nvSpPr>
      <xdr:spPr bwMode="auto">
        <a:xfrm>
          <a:off x="1152525" y="2571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11" name="Text Box 989"/>
        <xdr:cNvSpPr txBox="1">
          <a:spLocks noChangeArrowheads="1"/>
        </xdr:cNvSpPr>
      </xdr:nvSpPr>
      <xdr:spPr bwMode="auto">
        <a:xfrm>
          <a:off x="1152525" y="2571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12" name="Text Box 990"/>
        <xdr:cNvSpPr txBox="1">
          <a:spLocks noChangeArrowheads="1"/>
        </xdr:cNvSpPr>
      </xdr:nvSpPr>
      <xdr:spPr bwMode="auto">
        <a:xfrm>
          <a:off x="1152525" y="2571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13" name="Text Box 991"/>
        <xdr:cNvSpPr txBox="1">
          <a:spLocks noChangeArrowheads="1"/>
        </xdr:cNvSpPr>
      </xdr:nvSpPr>
      <xdr:spPr bwMode="auto">
        <a:xfrm>
          <a:off x="1152525" y="2590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14" name="Text Box 992"/>
        <xdr:cNvSpPr txBox="1">
          <a:spLocks noChangeArrowheads="1"/>
        </xdr:cNvSpPr>
      </xdr:nvSpPr>
      <xdr:spPr bwMode="auto">
        <a:xfrm>
          <a:off x="1152525" y="2590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15" name="Text Box 993"/>
        <xdr:cNvSpPr txBox="1">
          <a:spLocks noChangeArrowheads="1"/>
        </xdr:cNvSpPr>
      </xdr:nvSpPr>
      <xdr:spPr bwMode="auto">
        <a:xfrm>
          <a:off x="1152525" y="2590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16" name="Text Box 994"/>
        <xdr:cNvSpPr txBox="1">
          <a:spLocks noChangeArrowheads="1"/>
        </xdr:cNvSpPr>
      </xdr:nvSpPr>
      <xdr:spPr bwMode="auto">
        <a:xfrm>
          <a:off x="1152525" y="2590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17" name="Text Box 995"/>
        <xdr:cNvSpPr txBox="1">
          <a:spLocks noChangeArrowheads="1"/>
        </xdr:cNvSpPr>
      </xdr:nvSpPr>
      <xdr:spPr bwMode="auto">
        <a:xfrm>
          <a:off x="1152525" y="2609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18" name="Text Box 996"/>
        <xdr:cNvSpPr txBox="1">
          <a:spLocks noChangeArrowheads="1"/>
        </xdr:cNvSpPr>
      </xdr:nvSpPr>
      <xdr:spPr bwMode="auto">
        <a:xfrm>
          <a:off x="1152525" y="2609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19" name="Text Box 997"/>
        <xdr:cNvSpPr txBox="1">
          <a:spLocks noChangeArrowheads="1"/>
        </xdr:cNvSpPr>
      </xdr:nvSpPr>
      <xdr:spPr bwMode="auto">
        <a:xfrm>
          <a:off x="1152525" y="2609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20" name="Text Box 998"/>
        <xdr:cNvSpPr txBox="1">
          <a:spLocks noChangeArrowheads="1"/>
        </xdr:cNvSpPr>
      </xdr:nvSpPr>
      <xdr:spPr bwMode="auto">
        <a:xfrm>
          <a:off x="1152525" y="2609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21" name="Text Box 999"/>
        <xdr:cNvSpPr txBox="1">
          <a:spLocks noChangeArrowheads="1"/>
        </xdr:cNvSpPr>
      </xdr:nvSpPr>
      <xdr:spPr bwMode="auto">
        <a:xfrm>
          <a:off x="1152525" y="2628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22" name="Text Box 1000"/>
        <xdr:cNvSpPr txBox="1">
          <a:spLocks noChangeArrowheads="1"/>
        </xdr:cNvSpPr>
      </xdr:nvSpPr>
      <xdr:spPr bwMode="auto">
        <a:xfrm>
          <a:off x="1152525" y="2628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23" name="Text Box 1001"/>
        <xdr:cNvSpPr txBox="1">
          <a:spLocks noChangeArrowheads="1"/>
        </xdr:cNvSpPr>
      </xdr:nvSpPr>
      <xdr:spPr bwMode="auto">
        <a:xfrm>
          <a:off x="1152525" y="2628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24" name="Text Box 1002"/>
        <xdr:cNvSpPr txBox="1">
          <a:spLocks noChangeArrowheads="1"/>
        </xdr:cNvSpPr>
      </xdr:nvSpPr>
      <xdr:spPr bwMode="auto">
        <a:xfrm>
          <a:off x="1152525" y="2628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25" name="Text Box 1003"/>
        <xdr:cNvSpPr txBox="1">
          <a:spLocks noChangeArrowheads="1"/>
        </xdr:cNvSpPr>
      </xdr:nvSpPr>
      <xdr:spPr bwMode="auto">
        <a:xfrm>
          <a:off x="1152525" y="2647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26" name="Text Box 1004"/>
        <xdr:cNvSpPr txBox="1">
          <a:spLocks noChangeArrowheads="1"/>
        </xdr:cNvSpPr>
      </xdr:nvSpPr>
      <xdr:spPr bwMode="auto">
        <a:xfrm>
          <a:off x="1152525" y="2647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27" name="Text Box 1005"/>
        <xdr:cNvSpPr txBox="1">
          <a:spLocks noChangeArrowheads="1"/>
        </xdr:cNvSpPr>
      </xdr:nvSpPr>
      <xdr:spPr bwMode="auto">
        <a:xfrm>
          <a:off x="1152525" y="2647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28" name="Text Box 1006"/>
        <xdr:cNvSpPr txBox="1">
          <a:spLocks noChangeArrowheads="1"/>
        </xdr:cNvSpPr>
      </xdr:nvSpPr>
      <xdr:spPr bwMode="auto">
        <a:xfrm>
          <a:off x="1152525" y="2647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29" name="Text Box 1007"/>
        <xdr:cNvSpPr txBox="1">
          <a:spLocks noChangeArrowheads="1"/>
        </xdr:cNvSpPr>
      </xdr:nvSpPr>
      <xdr:spPr bwMode="auto">
        <a:xfrm>
          <a:off x="1152525" y="2667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30" name="Text Box 1008"/>
        <xdr:cNvSpPr txBox="1">
          <a:spLocks noChangeArrowheads="1"/>
        </xdr:cNvSpPr>
      </xdr:nvSpPr>
      <xdr:spPr bwMode="auto">
        <a:xfrm>
          <a:off x="1152525" y="2667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31" name="Text Box 1009"/>
        <xdr:cNvSpPr txBox="1">
          <a:spLocks noChangeArrowheads="1"/>
        </xdr:cNvSpPr>
      </xdr:nvSpPr>
      <xdr:spPr bwMode="auto">
        <a:xfrm>
          <a:off x="1152525" y="2667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32" name="Text Box 1010"/>
        <xdr:cNvSpPr txBox="1">
          <a:spLocks noChangeArrowheads="1"/>
        </xdr:cNvSpPr>
      </xdr:nvSpPr>
      <xdr:spPr bwMode="auto">
        <a:xfrm>
          <a:off x="1152525" y="2667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33" name="Text Box 1011"/>
        <xdr:cNvSpPr txBox="1">
          <a:spLocks noChangeArrowheads="1"/>
        </xdr:cNvSpPr>
      </xdr:nvSpPr>
      <xdr:spPr bwMode="auto">
        <a:xfrm>
          <a:off x="1152525" y="2686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34" name="Text Box 1012"/>
        <xdr:cNvSpPr txBox="1">
          <a:spLocks noChangeArrowheads="1"/>
        </xdr:cNvSpPr>
      </xdr:nvSpPr>
      <xdr:spPr bwMode="auto">
        <a:xfrm>
          <a:off x="1152525" y="2686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35" name="Text Box 1013"/>
        <xdr:cNvSpPr txBox="1">
          <a:spLocks noChangeArrowheads="1"/>
        </xdr:cNvSpPr>
      </xdr:nvSpPr>
      <xdr:spPr bwMode="auto">
        <a:xfrm>
          <a:off x="1152525" y="2686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36" name="Text Box 1014"/>
        <xdr:cNvSpPr txBox="1">
          <a:spLocks noChangeArrowheads="1"/>
        </xdr:cNvSpPr>
      </xdr:nvSpPr>
      <xdr:spPr bwMode="auto">
        <a:xfrm>
          <a:off x="1152525" y="2686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37" name="Text Box 1015"/>
        <xdr:cNvSpPr txBox="1">
          <a:spLocks noChangeArrowheads="1"/>
        </xdr:cNvSpPr>
      </xdr:nvSpPr>
      <xdr:spPr bwMode="auto">
        <a:xfrm>
          <a:off x="1152525" y="2705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38" name="Text Box 1016"/>
        <xdr:cNvSpPr txBox="1">
          <a:spLocks noChangeArrowheads="1"/>
        </xdr:cNvSpPr>
      </xdr:nvSpPr>
      <xdr:spPr bwMode="auto">
        <a:xfrm>
          <a:off x="1152525" y="2705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39" name="Text Box 1017"/>
        <xdr:cNvSpPr txBox="1">
          <a:spLocks noChangeArrowheads="1"/>
        </xdr:cNvSpPr>
      </xdr:nvSpPr>
      <xdr:spPr bwMode="auto">
        <a:xfrm>
          <a:off x="1152525" y="2705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40" name="Text Box 1018"/>
        <xdr:cNvSpPr txBox="1">
          <a:spLocks noChangeArrowheads="1"/>
        </xdr:cNvSpPr>
      </xdr:nvSpPr>
      <xdr:spPr bwMode="auto">
        <a:xfrm>
          <a:off x="1152525" y="2705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41" name="Text Box 1019"/>
        <xdr:cNvSpPr txBox="1">
          <a:spLocks noChangeArrowheads="1"/>
        </xdr:cNvSpPr>
      </xdr:nvSpPr>
      <xdr:spPr bwMode="auto">
        <a:xfrm>
          <a:off x="1152525" y="2724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42" name="Text Box 1020"/>
        <xdr:cNvSpPr txBox="1">
          <a:spLocks noChangeArrowheads="1"/>
        </xdr:cNvSpPr>
      </xdr:nvSpPr>
      <xdr:spPr bwMode="auto">
        <a:xfrm>
          <a:off x="1152525" y="2724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43" name="Text Box 1021"/>
        <xdr:cNvSpPr txBox="1">
          <a:spLocks noChangeArrowheads="1"/>
        </xdr:cNvSpPr>
      </xdr:nvSpPr>
      <xdr:spPr bwMode="auto">
        <a:xfrm>
          <a:off x="1152525" y="2724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44" name="Text Box 1022"/>
        <xdr:cNvSpPr txBox="1">
          <a:spLocks noChangeArrowheads="1"/>
        </xdr:cNvSpPr>
      </xdr:nvSpPr>
      <xdr:spPr bwMode="auto">
        <a:xfrm>
          <a:off x="1152525" y="2724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45" name="Text Box 1023"/>
        <xdr:cNvSpPr txBox="1">
          <a:spLocks noChangeArrowheads="1"/>
        </xdr:cNvSpPr>
      </xdr:nvSpPr>
      <xdr:spPr bwMode="auto">
        <a:xfrm>
          <a:off x="1152525" y="2743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46" name="Text Box 1024"/>
        <xdr:cNvSpPr txBox="1">
          <a:spLocks noChangeArrowheads="1"/>
        </xdr:cNvSpPr>
      </xdr:nvSpPr>
      <xdr:spPr bwMode="auto">
        <a:xfrm>
          <a:off x="1152525" y="2743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47" name="Text Box 1025"/>
        <xdr:cNvSpPr txBox="1">
          <a:spLocks noChangeArrowheads="1"/>
        </xdr:cNvSpPr>
      </xdr:nvSpPr>
      <xdr:spPr bwMode="auto">
        <a:xfrm>
          <a:off x="1152525" y="2743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48" name="Text Box 1026"/>
        <xdr:cNvSpPr txBox="1">
          <a:spLocks noChangeArrowheads="1"/>
        </xdr:cNvSpPr>
      </xdr:nvSpPr>
      <xdr:spPr bwMode="auto">
        <a:xfrm>
          <a:off x="1152525" y="2743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49" name="Text Box 1027"/>
        <xdr:cNvSpPr txBox="1">
          <a:spLocks noChangeArrowheads="1"/>
        </xdr:cNvSpPr>
      </xdr:nvSpPr>
      <xdr:spPr bwMode="auto">
        <a:xfrm>
          <a:off x="1152525" y="2762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50" name="Text Box 1028"/>
        <xdr:cNvSpPr txBox="1">
          <a:spLocks noChangeArrowheads="1"/>
        </xdr:cNvSpPr>
      </xdr:nvSpPr>
      <xdr:spPr bwMode="auto">
        <a:xfrm>
          <a:off x="1152525" y="2762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51" name="Text Box 1029"/>
        <xdr:cNvSpPr txBox="1">
          <a:spLocks noChangeArrowheads="1"/>
        </xdr:cNvSpPr>
      </xdr:nvSpPr>
      <xdr:spPr bwMode="auto">
        <a:xfrm>
          <a:off x="1152525" y="2762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52" name="Text Box 1030"/>
        <xdr:cNvSpPr txBox="1">
          <a:spLocks noChangeArrowheads="1"/>
        </xdr:cNvSpPr>
      </xdr:nvSpPr>
      <xdr:spPr bwMode="auto">
        <a:xfrm>
          <a:off x="1152525" y="2762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53" name="Text Box 1031"/>
        <xdr:cNvSpPr txBox="1">
          <a:spLocks noChangeArrowheads="1"/>
        </xdr:cNvSpPr>
      </xdr:nvSpPr>
      <xdr:spPr bwMode="auto">
        <a:xfrm>
          <a:off x="1152525" y="2781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54" name="Text Box 1032"/>
        <xdr:cNvSpPr txBox="1">
          <a:spLocks noChangeArrowheads="1"/>
        </xdr:cNvSpPr>
      </xdr:nvSpPr>
      <xdr:spPr bwMode="auto">
        <a:xfrm>
          <a:off x="1152525" y="2781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55" name="Text Box 1033"/>
        <xdr:cNvSpPr txBox="1">
          <a:spLocks noChangeArrowheads="1"/>
        </xdr:cNvSpPr>
      </xdr:nvSpPr>
      <xdr:spPr bwMode="auto">
        <a:xfrm>
          <a:off x="1152525" y="2781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56" name="Text Box 1034"/>
        <xdr:cNvSpPr txBox="1">
          <a:spLocks noChangeArrowheads="1"/>
        </xdr:cNvSpPr>
      </xdr:nvSpPr>
      <xdr:spPr bwMode="auto">
        <a:xfrm>
          <a:off x="1152525" y="2781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57" name="Text Box 1035"/>
        <xdr:cNvSpPr txBox="1">
          <a:spLocks noChangeArrowheads="1"/>
        </xdr:cNvSpPr>
      </xdr:nvSpPr>
      <xdr:spPr bwMode="auto">
        <a:xfrm>
          <a:off x="1152525" y="2800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58" name="Text Box 1036"/>
        <xdr:cNvSpPr txBox="1">
          <a:spLocks noChangeArrowheads="1"/>
        </xdr:cNvSpPr>
      </xdr:nvSpPr>
      <xdr:spPr bwMode="auto">
        <a:xfrm>
          <a:off x="1152525" y="2800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59" name="Text Box 1037"/>
        <xdr:cNvSpPr txBox="1">
          <a:spLocks noChangeArrowheads="1"/>
        </xdr:cNvSpPr>
      </xdr:nvSpPr>
      <xdr:spPr bwMode="auto">
        <a:xfrm>
          <a:off x="1152525" y="2800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60" name="Text Box 1038"/>
        <xdr:cNvSpPr txBox="1">
          <a:spLocks noChangeArrowheads="1"/>
        </xdr:cNvSpPr>
      </xdr:nvSpPr>
      <xdr:spPr bwMode="auto">
        <a:xfrm>
          <a:off x="1152525" y="2800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61" name="Text Box 1039"/>
        <xdr:cNvSpPr txBox="1">
          <a:spLocks noChangeArrowheads="1"/>
        </xdr:cNvSpPr>
      </xdr:nvSpPr>
      <xdr:spPr bwMode="auto">
        <a:xfrm>
          <a:off x="1152525" y="2819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62" name="Text Box 1040"/>
        <xdr:cNvSpPr txBox="1">
          <a:spLocks noChangeArrowheads="1"/>
        </xdr:cNvSpPr>
      </xdr:nvSpPr>
      <xdr:spPr bwMode="auto">
        <a:xfrm>
          <a:off x="1152525" y="2819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63" name="Text Box 1041"/>
        <xdr:cNvSpPr txBox="1">
          <a:spLocks noChangeArrowheads="1"/>
        </xdr:cNvSpPr>
      </xdr:nvSpPr>
      <xdr:spPr bwMode="auto">
        <a:xfrm>
          <a:off x="1152525" y="2819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64" name="Text Box 1042"/>
        <xdr:cNvSpPr txBox="1">
          <a:spLocks noChangeArrowheads="1"/>
        </xdr:cNvSpPr>
      </xdr:nvSpPr>
      <xdr:spPr bwMode="auto">
        <a:xfrm>
          <a:off x="1152525" y="2819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65" name="Text Box 1043"/>
        <xdr:cNvSpPr txBox="1">
          <a:spLocks noChangeArrowheads="1"/>
        </xdr:cNvSpPr>
      </xdr:nvSpPr>
      <xdr:spPr bwMode="auto">
        <a:xfrm>
          <a:off x="1152525" y="2838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66" name="Text Box 1044"/>
        <xdr:cNvSpPr txBox="1">
          <a:spLocks noChangeArrowheads="1"/>
        </xdr:cNvSpPr>
      </xdr:nvSpPr>
      <xdr:spPr bwMode="auto">
        <a:xfrm>
          <a:off x="1152525" y="2838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67" name="Text Box 1045"/>
        <xdr:cNvSpPr txBox="1">
          <a:spLocks noChangeArrowheads="1"/>
        </xdr:cNvSpPr>
      </xdr:nvSpPr>
      <xdr:spPr bwMode="auto">
        <a:xfrm>
          <a:off x="1152525" y="2838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68" name="Text Box 1046"/>
        <xdr:cNvSpPr txBox="1">
          <a:spLocks noChangeArrowheads="1"/>
        </xdr:cNvSpPr>
      </xdr:nvSpPr>
      <xdr:spPr bwMode="auto">
        <a:xfrm>
          <a:off x="1152525" y="2838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69" name="Text Box 1047"/>
        <xdr:cNvSpPr txBox="1">
          <a:spLocks noChangeArrowheads="1"/>
        </xdr:cNvSpPr>
      </xdr:nvSpPr>
      <xdr:spPr bwMode="auto">
        <a:xfrm>
          <a:off x="1152525" y="2857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70" name="Text Box 1048"/>
        <xdr:cNvSpPr txBox="1">
          <a:spLocks noChangeArrowheads="1"/>
        </xdr:cNvSpPr>
      </xdr:nvSpPr>
      <xdr:spPr bwMode="auto">
        <a:xfrm>
          <a:off x="1152525" y="2857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71" name="Text Box 1049"/>
        <xdr:cNvSpPr txBox="1">
          <a:spLocks noChangeArrowheads="1"/>
        </xdr:cNvSpPr>
      </xdr:nvSpPr>
      <xdr:spPr bwMode="auto">
        <a:xfrm>
          <a:off x="1152525" y="2857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72" name="Text Box 1050"/>
        <xdr:cNvSpPr txBox="1">
          <a:spLocks noChangeArrowheads="1"/>
        </xdr:cNvSpPr>
      </xdr:nvSpPr>
      <xdr:spPr bwMode="auto">
        <a:xfrm>
          <a:off x="1152525" y="2857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73" name="Text Box 1051"/>
        <xdr:cNvSpPr txBox="1">
          <a:spLocks noChangeArrowheads="1"/>
        </xdr:cNvSpPr>
      </xdr:nvSpPr>
      <xdr:spPr bwMode="auto">
        <a:xfrm>
          <a:off x="1152525" y="2876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74" name="Text Box 1052"/>
        <xdr:cNvSpPr txBox="1">
          <a:spLocks noChangeArrowheads="1"/>
        </xdr:cNvSpPr>
      </xdr:nvSpPr>
      <xdr:spPr bwMode="auto">
        <a:xfrm>
          <a:off x="1152525" y="2876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75" name="Text Box 1053"/>
        <xdr:cNvSpPr txBox="1">
          <a:spLocks noChangeArrowheads="1"/>
        </xdr:cNvSpPr>
      </xdr:nvSpPr>
      <xdr:spPr bwMode="auto">
        <a:xfrm>
          <a:off x="1152525" y="2876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76" name="Text Box 1054"/>
        <xdr:cNvSpPr txBox="1">
          <a:spLocks noChangeArrowheads="1"/>
        </xdr:cNvSpPr>
      </xdr:nvSpPr>
      <xdr:spPr bwMode="auto">
        <a:xfrm>
          <a:off x="1152525" y="2876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77" name="Text Box 1055"/>
        <xdr:cNvSpPr txBox="1">
          <a:spLocks noChangeArrowheads="1"/>
        </xdr:cNvSpPr>
      </xdr:nvSpPr>
      <xdr:spPr bwMode="auto">
        <a:xfrm>
          <a:off x="1152525" y="2895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78" name="Text Box 1056"/>
        <xdr:cNvSpPr txBox="1">
          <a:spLocks noChangeArrowheads="1"/>
        </xdr:cNvSpPr>
      </xdr:nvSpPr>
      <xdr:spPr bwMode="auto">
        <a:xfrm>
          <a:off x="1152525" y="2895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79" name="Text Box 1057"/>
        <xdr:cNvSpPr txBox="1">
          <a:spLocks noChangeArrowheads="1"/>
        </xdr:cNvSpPr>
      </xdr:nvSpPr>
      <xdr:spPr bwMode="auto">
        <a:xfrm>
          <a:off x="1152525" y="2895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80" name="Text Box 1058"/>
        <xdr:cNvSpPr txBox="1">
          <a:spLocks noChangeArrowheads="1"/>
        </xdr:cNvSpPr>
      </xdr:nvSpPr>
      <xdr:spPr bwMode="auto">
        <a:xfrm>
          <a:off x="1152525" y="2895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81" name="Text Box 1059"/>
        <xdr:cNvSpPr txBox="1">
          <a:spLocks noChangeArrowheads="1"/>
        </xdr:cNvSpPr>
      </xdr:nvSpPr>
      <xdr:spPr bwMode="auto">
        <a:xfrm>
          <a:off x="1152525" y="2914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82" name="Text Box 1060"/>
        <xdr:cNvSpPr txBox="1">
          <a:spLocks noChangeArrowheads="1"/>
        </xdr:cNvSpPr>
      </xdr:nvSpPr>
      <xdr:spPr bwMode="auto">
        <a:xfrm>
          <a:off x="1152525" y="2914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83" name="Text Box 1061"/>
        <xdr:cNvSpPr txBox="1">
          <a:spLocks noChangeArrowheads="1"/>
        </xdr:cNvSpPr>
      </xdr:nvSpPr>
      <xdr:spPr bwMode="auto">
        <a:xfrm>
          <a:off x="1152525" y="2914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84" name="Text Box 1062"/>
        <xdr:cNvSpPr txBox="1">
          <a:spLocks noChangeArrowheads="1"/>
        </xdr:cNvSpPr>
      </xdr:nvSpPr>
      <xdr:spPr bwMode="auto">
        <a:xfrm>
          <a:off x="1152525" y="2914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85" name="Text Box 1063"/>
        <xdr:cNvSpPr txBox="1">
          <a:spLocks noChangeArrowheads="1"/>
        </xdr:cNvSpPr>
      </xdr:nvSpPr>
      <xdr:spPr bwMode="auto">
        <a:xfrm>
          <a:off x="1152525" y="2933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86" name="Text Box 1064"/>
        <xdr:cNvSpPr txBox="1">
          <a:spLocks noChangeArrowheads="1"/>
        </xdr:cNvSpPr>
      </xdr:nvSpPr>
      <xdr:spPr bwMode="auto">
        <a:xfrm>
          <a:off x="1152525" y="2933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87" name="Text Box 1065"/>
        <xdr:cNvSpPr txBox="1">
          <a:spLocks noChangeArrowheads="1"/>
        </xdr:cNvSpPr>
      </xdr:nvSpPr>
      <xdr:spPr bwMode="auto">
        <a:xfrm>
          <a:off x="1152525" y="2933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88" name="Text Box 1066"/>
        <xdr:cNvSpPr txBox="1">
          <a:spLocks noChangeArrowheads="1"/>
        </xdr:cNvSpPr>
      </xdr:nvSpPr>
      <xdr:spPr bwMode="auto">
        <a:xfrm>
          <a:off x="1152525" y="2933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89" name="Text Box 1067"/>
        <xdr:cNvSpPr txBox="1">
          <a:spLocks noChangeArrowheads="1"/>
        </xdr:cNvSpPr>
      </xdr:nvSpPr>
      <xdr:spPr bwMode="auto">
        <a:xfrm>
          <a:off x="1152525" y="2952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90" name="Text Box 1068"/>
        <xdr:cNvSpPr txBox="1">
          <a:spLocks noChangeArrowheads="1"/>
        </xdr:cNvSpPr>
      </xdr:nvSpPr>
      <xdr:spPr bwMode="auto">
        <a:xfrm>
          <a:off x="1152525" y="2952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91" name="Text Box 1069"/>
        <xdr:cNvSpPr txBox="1">
          <a:spLocks noChangeArrowheads="1"/>
        </xdr:cNvSpPr>
      </xdr:nvSpPr>
      <xdr:spPr bwMode="auto">
        <a:xfrm>
          <a:off x="1152525" y="2952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92" name="Text Box 1070"/>
        <xdr:cNvSpPr txBox="1">
          <a:spLocks noChangeArrowheads="1"/>
        </xdr:cNvSpPr>
      </xdr:nvSpPr>
      <xdr:spPr bwMode="auto">
        <a:xfrm>
          <a:off x="1152525" y="2952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93" name="Text Box 1071"/>
        <xdr:cNvSpPr txBox="1">
          <a:spLocks noChangeArrowheads="1"/>
        </xdr:cNvSpPr>
      </xdr:nvSpPr>
      <xdr:spPr bwMode="auto">
        <a:xfrm>
          <a:off x="1152525" y="2971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94" name="Text Box 1072"/>
        <xdr:cNvSpPr txBox="1">
          <a:spLocks noChangeArrowheads="1"/>
        </xdr:cNvSpPr>
      </xdr:nvSpPr>
      <xdr:spPr bwMode="auto">
        <a:xfrm>
          <a:off x="1152525" y="2971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95" name="Text Box 1073"/>
        <xdr:cNvSpPr txBox="1">
          <a:spLocks noChangeArrowheads="1"/>
        </xdr:cNvSpPr>
      </xdr:nvSpPr>
      <xdr:spPr bwMode="auto">
        <a:xfrm>
          <a:off x="1152525" y="2971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96" name="Text Box 1074"/>
        <xdr:cNvSpPr txBox="1">
          <a:spLocks noChangeArrowheads="1"/>
        </xdr:cNvSpPr>
      </xdr:nvSpPr>
      <xdr:spPr bwMode="auto">
        <a:xfrm>
          <a:off x="1152525" y="2971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97" name="Text Box 1075"/>
        <xdr:cNvSpPr txBox="1">
          <a:spLocks noChangeArrowheads="1"/>
        </xdr:cNvSpPr>
      </xdr:nvSpPr>
      <xdr:spPr bwMode="auto">
        <a:xfrm>
          <a:off x="1152525" y="2990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98" name="Text Box 1076"/>
        <xdr:cNvSpPr txBox="1">
          <a:spLocks noChangeArrowheads="1"/>
        </xdr:cNvSpPr>
      </xdr:nvSpPr>
      <xdr:spPr bwMode="auto">
        <a:xfrm>
          <a:off x="1152525" y="2990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99" name="Text Box 1077"/>
        <xdr:cNvSpPr txBox="1">
          <a:spLocks noChangeArrowheads="1"/>
        </xdr:cNvSpPr>
      </xdr:nvSpPr>
      <xdr:spPr bwMode="auto">
        <a:xfrm>
          <a:off x="1152525" y="2990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00" name="Text Box 1078"/>
        <xdr:cNvSpPr txBox="1">
          <a:spLocks noChangeArrowheads="1"/>
        </xdr:cNvSpPr>
      </xdr:nvSpPr>
      <xdr:spPr bwMode="auto">
        <a:xfrm>
          <a:off x="1152525" y="2990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01" name="Text Box 1079"/>
        <xdr:cNvSpPr txBox="1">
          <a:spLocks noChangeArrowheads="1"/>
        </xdr:cNvSpPr>
      </xdr:nvSpPr>
      <xdr:spPr bwMode="auto">
        <a:xfrm>
          <a:off x="1152525" y="3009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02" name="Text Box 1080"/>
        <xdr:cNvSpPr txBox="1">
          <a:spLocks noChangeArrowheads="1"/>
        </xdr:cNvSpPr>
      </xdr:nvSpPr>
      <xdr:spPr bwMode="auto">
        <a:xfrm>
          <a:off x="1152525" y="3009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03" name="Text Box 1081"/>
        <xdr:cNvSpPr txBox="1">
          <a:spLocks noChangeArrowheads="1"/>
        </xdr:cNvSpPr>
      </xdr:nvSpPr>
      <xdr:spPr bwMode="auto">
        <a:xfrm>
          <a:off x="1152525" y="3009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04" name="Text Box 1082"/>
        <xdr:cNvSpPr txBox="1">
          <a:spLocks noChangeArrowheads="1"/>
        </xdr:cNvSpPr>
      </xdr:nvSpPr>
      <xdr:spPr bwMode="auto">
        <a:xfrm>
          <a:off x="1152525" y="3009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05" name="Text Box 1083"/>
        <xdr:cNvSpPr txBox="1">
          <a:spLocks noChangeArrowheads="1"/>
        </xdr:cNvSpPr>
      </xdr:nvSpPr>
      <xdr:spPr bwMode="auto">
        <a:xfrm>
          <a:off x="1152525" y="3028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06" name="Text Box 1084"/>
        <xdr:cNvSpPr txBox="1">
          <a:spLocks noChangeArrowheads="1"/>
        </xdr:cNvSpPr>
      </xdr:nvSpPr>
      <xdr:spPr bwMode="auto">
        <a:xfrm>
          <a:off x="1152525" y="3028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07" name="Text Box 1085"/>
        <xdr:cNvSpPr txBox="1">
          <a:spLocks noChangeArrowheads="1"/>
        </xdr:cNvSpPr>
      </xdr:nvSpPr>
      <xdr:spPr bwMode="auto">
        <a:xfrm>
          <a:off x="1152525" y="3028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08" name="Text Box 1086"/>
        <xdr:cNvSpPr txBox="1">
          <a:spLocks noChangeArrowheads="1"/>
        </xdr:cNvSpPr>
      </xdr:nvSpPr>
      <xdr:spPr bwMode="auto">
        <a:xfrm>
          <a:off x="1152525" y="3028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09" name="Text Box 1087"/>
        <xdr:cNvSpPr txBox="1">
          <a:spLocks noChangeArrowheads="1"/>
        </xdr:cNvSpPr>
      </xdr:nvSpPr>
      <xdr:spPr bwMode="auto">
        <a:xfrm>
          <a:off x="1152525" y="3048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10" name="Text Box 1088"/>
        <xdr:cNvSpPr txBox="1">
          <a:spLocks noChangeArrowheads="1"/>
        </xdr:cNvSpPr>
      </xdr:nvSpPr>
      <xdr:spPr bwMode="auto">
        <a:xfrm>
          <a:off x="1152525" y="3048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11" name="Text Box 1089"/>
        <xdr:cNvSpPr txBox="1">
          <a:spLocks noChangeArrowheads="1"/>
        </xdr:cNvSpPr>
      </xdr:nvSpPr>
      <xdr:spPr bwMode="auto">
        <a:xfrm>
          <a:off x="1152525" y="3048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12" name="Text Box 1090"/>
        <xdr:cNvSpPr txBox="1">
          <a:spLocks noChangeArrowheads="1"/>
        </xdr:cNvSpPr>
      </xdr:nvSpPr>
      <xdr:spPr bwMode="auto">
        <a:xfrm>
          <a:off x="1152525" y="3048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13" name="Text Box 1091"/>
        <xdr:cNvSpPr txBox="1">
          <a:spLocks noChangeArrowheads="1"/>
        </xdr:cNvSpPr>
      </xdr:nvSpPr>
      <xdr:spPr bwMode="auto">
        <a:xfrm>
          <a:off x="1152525" y="3067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14" name="Text Box 1092"/>
        <xdr:cNvSpPr txBox="1">
          <a:spLocks noChangeArrowheads="1"/>
        </xdr:cNvSpPr>
      </xdr:nvSpPr>
      <xdr:spPr bwMode="auto">
        <a:xfrm>
          <a:off x="1152525" y="3067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15" name="Text Box 1093"/>
        <xdr:cNvSpPr txBox="1">
          <a:spLocks noChangeArrowheads="1"/>
        </xdr:cNvSpPr>
      </xdr:nvSpPr>
      <xdr:spPr bwMode="auto">
        <a:xfrm>
          <a:off x="1152525" y="3067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16" name="Text Box 1094"/>
        <xdr:cNvSpPr txBox="1">
          <a:spLocks noChangeArrowheads="1"/>
        </xdr:cNvSpPr>
      </xdr:nvSpPr>
      <xdr:spPr bwMode="auto">
        <a:xfrm>
          <a:off x="1152525" y="3067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17" name="Text Box 1095"/>
        <xdr:cNvSpPr txBox="1">
          <a:spLocks noChangeArrowheads="1"/>
        </xdr:cNvSpPr>
      </xdr:nvSpPr>
      <xdr:spPr bwMode="auto">
        <a:xfrm>
          <a:off x="1152525" y="3086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18" name="Text Box 1096"/>
        <xdr:cNvSpPr txBox="1">
          <a:spLocks noChangeArrowheads="1"/>
        </xdr:cNvSpPr>
      </xdr:nvSpPr>
      <xdr:spPr bwMode="auto">
        <a:xfrm>
          <a:off x="1152525" y="3086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19" name="Text Box 1097"/>
        <xdr:cNvSpPr txBox="1">
          <a:spLocks noChangeArrowheads="1"/>
        </xdr:cNvSpPr>
      </xdr:nvSpPr>
      <xdr:spPr bwMode="auto">
        <a:xfrm>
          <a:off x="1152525" y="3086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20" name="Text Box 1098"/>
        <xdr:cNvSpPr txBox="1">
          <a:spLocks noChangeArrowheads="1"/>
        </xdr:cNvSpPr>
      </xdr:nvSpPr>
      <xdr:spPr bwMode="auto">
        <a:xfrm>
          <a:off x="1152525" y="3086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21" name="Text Box 1099"/>
        <xdr:cNvSpPr txBox="1">
          <a:spLocks noChangeArrowheads="1"/>
        </xdr:cNvSpPr>
      </xdr:nvSpPr>
      <xdr:spPr bwMode="auto">
        <a:xfrm>
          <a:off x="1152525" y="3105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22" name="Text Box 1100"/>
        <xdr:cNvSpPr txBox="1">
          <a:spLocks noChangeArrowheads="1"/>
        </xdr:cNvSpPr>
      </xdr:nvSpPr>
      <xdr:spPr bwMode="auto">
        <a:xfrm>
          <a:off x="1152525" y="3105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23" name="Text Box 1101"/>
        <xdr:cNvSpPr txBox="1">
          <a:spLocks noChangeArrowheads="1"/>
        </xdr:cNvSpPr>
      </xdr:nvSpPr>
      <xdr:spPr bwMode="auto">
        <a:xfrm>
          <a:off x="1152525" y="3105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24" name="Text Box 1102"/>
        <xdr:cNvSpPr txBox="1">
          <a:spLocks noChangeArrowheads="1"/>
        </xdr:cNvSpPr>
      </xdr:nvSpPr>
      <xdr:spPr bwMode="auto">
        <a:xfrm>
          <a:off x="1152525" y="31051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25" name="Text Box 1103"/>
        <xdr:cNvSpPr txBox="1">
          <a:spLocks noChangeArrowheads="1"/>
        </xdr:cNvSpPr>
      </xdr:nvSpPr>
      <xdr:spPr bwMode="auto">
        <a:xfrm>
          <a:off x="1152525" y="3124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26" name="Text Box 1104"/>
        <xdr:cNvSpPr txBox="1">
          <a:spLocks noChangeArrowheads="1"/>
        </xdr:cNvSpPr>
      </xdr:nvSpPr>
      <xdr:spPr bwMode="auto">
        <a:xfrm>
          <a:off x="1152525" y="3124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27" name="Text Box 1105"/>
        <xdr:cNvSpPr txBox="1">
          <a:spLocks noChangeArrowheads="1"/>
        </xdr:cNvSpPr>
      </xdr:nvSpPr>
      <xdr:spPr bwMode="auto">
        <a:xfrm>
          <a:off x="1152525" y="3124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28" name="Text Box 1106"/>
        <xdr:cNvSpPr txBox="1">
          <a:spLocks noChangeArrowheads="1"/>
        </xdr:cNvSpPr>
      </xdr:nvSpPr>
      <xdr:spPr bwMode="auto">
        <a:xfrm>
          <a:off x="1152525" y="31242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29" name="Text Box 1107"/>
        <xdr:cNvSpPr txBox="1">
          <a:spLocks noChangeArrowheads="1"/>
        </xdr:cNvSpPr>
      </xdr:nvSpPr>
      <xdr:spPr bwMode="auto">
        <a:xfrm>
          <a:off x="1152525" y="3143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30" name="Text Box 1108"/>
        <xdr:cNvSpPr txBox="1">
          <a:spLocks noChangeArrowheads="1"/>
        </xdr:cNvSpPr>
      </xdr:nvSpPr>
      <xdr:spPr bwMode="auto">
        <a:xfrm>
          <a:off x="1152525" y="3143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31" name="Text Box 1109"/>
        <xdr:cNvSpPr txBox="1">
          <a:spLocks noChangeArrowheads="1"/>
        </xdr:cNvSpPr>
      </xdr:nvSpPr>
      <xdr:spPr bwMode="auto">
        <a:xfrm>
          <a:off x="1152525" y="3143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32" name="Text Box 1110"/>
        <xdr:cNvSpPr txBox="1">
          <a:spLocks noChangeArrowheads="1"/>
        </xdr:cNvSpPr>
      </xdr:nvSpPr>
      <xdr:spPr bwMode="auto">
        <a:xfrm>
          <a:off x="1152525" y="31432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33" name="Text Box 1111"/>
        <xdr:cNvSpPr txBox="1">
          <a:spLocks noChangeArrowheads="1"/>
        </xdr:cNvSpPr>
      </xdr:nvSpPr>
      <xdr:spPr bwMode="auto">
        <a:xfrm>
          <a:off x="1152525" y="3162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34" name="Text Box 1112"/>
        <xdr:cNvSpPr txBox="1">
          <a:spLocks noChangeArrowheads="1"/>
        </xdr:cNvSpPr>
      </xdr:nvSpPr>
      <xdr:spPr bwMode="auto">
        <a:xfrm>
          <a:off x="1152525" y="3162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35" name="Text Box 1113"/>
        <xdr:cNvSpPr txBox="1">
          <a:spLocks noChangeArrowheads="1"/>
        </xdr:cNvSpPr>
      </xdr:nvSpPr>
      <xdr:spPr bwMode="auto">
        <a:xfrm>
          <a:off x="1152525" y="3162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36" name="Text Box 1114"/>
        <xdr:cNvSpPr txBox="1">
          <a:spLocks noChangeArrowheads="1"/>
        </xdr:cNvSpPr>
      </xdr:nvSpPr>
      <xdr:spPr bwMode="auto">
        <a:xfrm>
          <a:off x="1152525" y="31623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37" name="Text Box 1115"/>
        <xdr:cNvSpPr txBox="1">
          <a:spLocks noChangeArrowheads="1"/>
        </xdr:cNvSpPr>
      </xdr:nvSpPr>
      <xdr:spPr bwMode="auto">
        <a:xfrm>
          <a:off x="1152525" y="3181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38" name="Text Box 1116"/>
        <xdr:cNvSpPr txBox="1">
          <a:spLocks noChangeArrowheads="1"/>
        </xdr:cNvSpPr>
      </xdr:nvSpPr>
      <xdr:spPr bwMode="auto">
        <a:xfrm>
          <a:off x="1152525" y="3181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39" name="Text Box 1117"/>
        <xdr:cNvSpPr txBox="1">
          <a:spLocks noChangeArrowheads="1"/>
        </xdr:cNvSpPr>
      </xdr:nvSpPr>
      <xdr:spPr bwMode="auto">
        <a:xfrm>
          <a:off x="1152525" y="3181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40" name="Text Box 1118"/>
        <xdr:cNvSpPr txBox="1">
          <a:spLocks noChangeArrowheads="1"/>
        </xdr:cNvSpPr>
      </xdr:nvSpPr>
      <xdr:spPr bwMode="auto">
        <a:xfrm>
          <a:off x="1152525" y="31813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41" name="Text Box 1119"/>
        <xdr:cNvSpPr txBox="1">
          <a:spLocks noChangeArrowheads="1"/>
        </xdr:cNvSpPr>
      </xdr:nvSpPr>
      <xdr:spPr bwMode="auto">
        <a:xfrm>
          <a:off x="1152525" y="3200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42" name="Text Box 1120"/>
        <xdr:cNvSpPr txBox="1">
          <a:spLocks noChangeArrowheads="1"/>
        </xdr:cNvSpPr>
      </xdr:nvSpPr>
      <xdr:spPr bwMode="auto">
        <a:xfrm>
          <a:off x="1152525" y="3200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43" name="Text Box 1121"/>
        <xdr:cNvSpPr txBox="1">
          <a:spLocks noChangeArrowheads="1"/>
        </xdr:cNvSpPr>
      </xdr:nvSpPr>
      <xdr:spPr bwMode="auto">
        <a:xfrm>
          <a:off x="1152525" y="3200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44" name="Text Box 1122"/>
        <xdr:cNvSpPr txBox="1">
          <a:spLocks noChangeArrowheads="1"/>
        </xdr:cNvSpPr>
      </xdr:nvSpPr>
      <xdr:spPr bwMode="auto">
        <a:xfrm>
          <a:off x="1152525" y="32004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45" name="Text Box 1123"/>
        <xdr:cNvSpPr txBox="1">
          <a:spLocks noChangeArrowheads="1"/>
        </xdr:cNvSpPr>
      </xdr:nvSpPr>
      <xdr:spPr bwMode="auto">
        <a:xfrm>
          <a:off x="1152525" y="3219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46" name="Text Box 1124"/>
        <xdr:cNvSpPr txBox="1">
          <a:spLocks noChangeArrowheads="1"/>
        </xdr:cNvSpPr>
      </xdr:nvSpPr>
      <xdr:spPr bwMode="auto">
        <a:xfrm>
          <a:off x="1152525" y="3219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47" name="Text Box 1125"/>
        <xdr:cNvSpPr txBox="1">
          <a:spLocks noChangeArrowheads="1"/>
        </xdr:cNvSpPr>
      </xdr:nvSpPr>
      <xdr:spPr bwMode="auto">
        <a:xfrm>
          <a:off x="1152525" y="3219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48" name="Text Box 1126"/>
        <xdr:cNvSpPr txBox="1">
          <a:spLocks noChangeArrowheads="1"/>
        </xdr:cNvSpPr>
      </xdr:nvSpPr>
      <xdr:spPr bwMode="auto">
        <a:xfrm>
          <a:off x="1152525" y="32194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49" name="Text Box 1127"/>
        <xdr:cNvSpPr txBox="1">
          <a:spLocks noChangeArrowheads="1"/>
        </xdr:cNvSpPr>
      </xdr:nvSpPr>
      <xdr:spPr bwMode="auto">
        <a:xfrm>
          <a:off x="1152525" y="3238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50" name="Text Box 1128"/>
        <xdr:cNvSpPr txBox="1">
          <a:spLocks noChangeArrowheads="1"/>
        </xdr:cNvSpPr>
      </xdr:nvSpPr>
      <xdr:spPr bwMode="auto">
        <a:xfrm>
          <a:off x="1152525" y="3238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51" name="Text Box 1129"/>
        <xdr:cNvSpPr txBox="1">
          <a:spLocks noChangeArrowheads="1"/>
        </xdr:cNvSpPr>
      </xdr:nvSpPr>
      <xdr:spPr bwMode="auto">
        <a:xfrm>
          <a:off x="1152525" y="3238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52" name="Text Box 1130"/>
        <xdr:cNvSpPr txBox="1">
          <a:spLocks noChangeArrowheads="1"/>
        </xdr:cNvSpPr>
      </xdr:nvSpPr>
      <xdr:spPr bwMode="auto">
        <a:xfrm>
          <a:off x="1152525" y="32385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53" name="Text Box 1131"/>
        <xdr:cNvSpPr txBox="1">
          <a:spLocks noChangeArrowheads="1"/>
        </xdr:cNvSpPr>
      </xdr:nvSpPr>
      <xdr:spPr bwMode="auto">
        <a:xfrm>
          <a:off x="1152525" y="3257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54" name="Text Box 1132"/>
        <xdr:cNvSpPr txBox="1">
          <a:spLocks noChangeArrowheads="1"/>
        </xdr:cNvSpPr>
      </xdr:nvSpPr>
      <xdr:spPr bwMode="auto">
        <a:xfrm>
          <a:off x="1152525" y="3257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55" name="Text Box 1133"/>
        <xdr:cNvSpPr txBox="1">
          <a:spLocks noChangeArrowheads="1"/>
        </xdr:cNvSpPr>
      </xdr:nvSpPr>
      <xdr:spPr bwMode="auto">
        <a:xfrm>
          <a:off x="1152525" y="3257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56" name="Text Box 1134"/>
        <xdr:cNvSpPr txBox="1">
          <a:spLocks noChangeArrowheads="1"/>
        </xdr:cNvSpPr>
      </xdr:nvSpPr>
      <xdr:spPr bwMode="auto">
        <a:xfrm>
          <a:off x="1152525" y="3257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57" name="Text Box 1135"/>
        <xdr:cNvSpPr txBox="1">
          <a:spLocks noChangeArrowheads="1"/>
        </xdr:cNvSpPr>
      </xdr:nvSpPr>
      <xdr:spPr bwMode="auto">
        <a:xfrm>
          <a:off x="1152525" y="3276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58" name="Text Box 1136"/>
        <xdr:cNvSpPr txBox="1">
          <a:spLocks noChangeArrowheads="1"/>
        </xdr:cNvSpPr>
      </xdr:nvSpPr>
      <xdr:spPr bwMode="auto">
        <a:xfrm>
          <a:off x="1152525" y="3276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59" name="Text Box 1137"/>
        <xdr:cNvSpPr txBox="1">
          <a:spLocks noChangeArrowheads="1"/>
        </xdr:cNvSpPr>
      </xdr:nvSpPr>
      <xdr:spPr bwMode="auto">
        <a:xfrm>
          <a:off x="1152525" y="3276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60" name="Text Box 1138"/>
        <xdr:cNvSpPr txBox="1">
          <a:spLocks noChangeArrowheads="1"/>
        </xdr:cNvSpPr>
      </xdr:nvSpPr>
      <xdr:spPr bwMode="auto">
        <a:xfrm>
          <a:off x="1152525" y="32766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61" name="Text Box 1139"/>
        <xdr:cNvSpPr txBox="1">
          <a:spLocks noChangeArrowheads="1"/>
        </xdr:cNvSpPr>
      </xdr:nvSpPr>
      <xdr:spPr bwMode="auto">
        <a:xfrm>
          <a:off x="1152525" y="3295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62" name="Text Box 1140"/>
        <xdr:cNvSpPr txBox="1">
          <a:spLocks noChangeArrowheads="1"/>
        </xdr:cNvSpPr>
      </xdr:nvSpPr>
      <xdr:spPr bwMode="auto">
        <a:xfrm>
          <a:off x="1152525" y="3295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63" name="Text Box 1141"/>
        <xdr:cNvSpPr txBox="1">
          <a:spLocks noChangeArrowheads="1"/>
        </xdr:cNvSpPr>
      </xdr:nvSpPr>
      <xdr:spPr bwMode="auto">
        <a:xfrm>
          <a:off x="1152525" y="3295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64" name="Text Box 1142"/>
        <xdr:cNvSpPr txBox="1">
          <a:spLocks noChangeArrowheads="1"/>
        </xdr:cNvSpPr>
      </xdr:nvSpPr>
      <xdr:spPr bwMode="auto">
        <a:xfrm>
          <a:off x="1152525" y="32956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65" name="Text Box 1143"/>
        <xdr:cNvSpPr txBox="1">
          <a:spLocks noChangeArrowheads="1"/>
        </xdr:cNvSpPr>
      </xdr:nvSpPr>
      <xdr:spPr bwMode="auto">
        <a:xfrm>
          <a:off x="1152525" y="3314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66" name="Text Box 1144"/>
        <xdr:cNvSpPr txBox="1">
          <a:spLocks noChangeArrowheads="1"/>
        </xdr:cNvSpPr>
      </xdr:nvSpPr>
      <xdr:spPr bwMode="auto">
        <a:xfrm>
          <a:off x="1152525" y="3314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67" name="Text Box 1145"/>
        <xdr:cNvSpPr txBox="1">
          <a:spLocks noChangeArrowheads="1"/>
        </xdr:cNvSpPr>
      </xdr:nvSpPr>
      <xdr:spPr bwMode="auto">
        <a:xfrm>
          <a:off x="1152525" y="3314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68" name="Text Box 1146"/>
        <xdr:cNvSpPr txBox="1">
          <a:spLocks noChangeArrowheads="1"/>
        </xdr:cNvSpPr>
      </xdr:nvSpPr>
      <xdr:spPr bwMode="auto">
        <a:xfrm>
          <a:off x="1152525" y="33147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69" name="Text Box 1147"/>
        <xdr:cNvSpPr txBox="1">
          <a:spLocks noChangeArrowheads="1"/>
        </xdr:cNvSpPr>
      </xdr:nvSpPr>
      <xdr:spPr bwMode="auto">
        <a:xfrm>
          <a:off x="1152525" y="3333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70" name="Text Box 1148"/>
        <xdr:cNvSpPr txBox="1">
          <a:spLocks noChangeArrowheads="1"/>
        </xdr:cNvSpPr>
      </xdr:nvSpPr>
      <xdr:spPr bwMode="auto">
        <a:xfrm>
          <a:off x="1152525" y="3333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71" name="Text Box 1149"/>
        <xdr:cNvSpPr txBox="1">
          <a:spLocks noChangeArrowheads="1"/>
        </xdr:cNvSpPr>
      </xdr:nvSpPr>
      <xdr:spPr bwMode="auto">
        <a:xfrm>
          <a:off x="1152525" y="3333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72" name="Text Box 1150"/>
        <xdr:cNvSpPr txBox="1">
          <a:spLocks noChangeArrowheads="1"/>
        </xdr:cNvSpPr>
      </xdr:nvSpPr>
      <xdr:spPr bwMode="auto">
        <a:xfrm>
          <a:off x="1152525" y="33337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73" name="Text Box 1151"/>
        <xdr:cNvSpPr txBox="1">
          <a:spLocks noChangeArrowheads="1"/>
        </xdr:cNvSpPr>
      </xdr:nvSpPr>
      <xdr:spPr bwMode="auto">
        <a:xfrm>
          <a:off x="1152525" y="3352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74" name="Text Box 1152"/>
        <xdr:cNvSpPr txBox="1">
          <a:spLocks noChangeArrowheads="1"/>
        </xdr:cNvSpPr>
      </xdr:nvSpPr>
      <xdr:spPr bwMode="auto">
        <a:xfrm>
          <a:off x="1152525" y="3352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75" name="Text Box 1153"/>
        <xdr:cNvSpPr txBox="1">
          <a:spLocks noChangeArrowheads="1"/>
        </xdr:cNvSpPr>
      </xdr:nvSpPr>
      <xdr:spPr bwMode="auto">
        <a:xfrm>
          <a:off x="1152525" y="3352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76" name="Text Box 1154"/>
        <xdr:cNvSpPr txBox="1">
          <a:spLocks noChangeArrowheads="1"/>
        </xdr:cNvSpPr>
      </xdr:nvSpPr>
      <xdr:spPr bwMode="auto">
        <a:xfrm>
          <a:off x="1152525" y="33528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77" name="Text Box 1155"/>
        <xdr:cNvSpPr txBox="1">
          <a:spLocks noChangeArrowheads="1"/>
        </xdr:cNvSpPr>
      </xdr:nvSpPr>
      <xdr:spPr bwMode="auto">
        <a:xfrm>
          <a:off x="1152525" y="3371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78" name="Text Box 1156"/>
        <xdr:cNvSpPr txBox="1">
          <a:spLocks noChangeArrowheads="1"/>
        </xdr:cNvSpPr>
      </xdr:nvSpPr>
      <xdr:spPr bwMode="auto">
        <a:xfrm>
          <a:off x="1152525" y="3371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79" name="Text Box 1157"/>
        <xdr:cNvSpPr txBox="1">
          <a:spLocks noChangeArrowheads="1"/>
        </xdr:cNvSpPr>
      </xdr:nvSpPr>
      <xdr:spPr bwMode="auto">
        <a:xfrm>
          <a:off x="1152525" y="3371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80" name="Text Box 1158"/>
        <xdr:cNvSpPr txBox="1">
          <a:spLocks noChangeArrowheads="1"/>
        </xdr:cNvSpPr>
      </xdr:nvSpPr>
      <xdr:spPr bwMode="auto">
        <a:xfrm>
          <a:off x="1152525" y="33718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81" name="Text Box 1159"/>
        <xdr:cNvSpPr txBox="1">
          <a:spLocks noChangeArrowheads="1"/>
        </xdr:cNvSpPr>
      </xdr:nvSpPr>
      <xdr:spPr bwMode="auto">
        <a:xfrm>
          <a:off x="1152525" y="3390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82" name="Text Box 1160"/>
        <xdr:cNvSpPr txBox="1">
          <a:spLocks noChangeArrowheads="1"/>
        </xdr:cNvSpPr>
      </xdr:nvSpPr>
      <xdr:spPr bwMode="auto">
        <a:xfrm>
          <a:off x="1152525" y="3390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83" name="Text Box 1161"/>
        <xdr:cNvSpPr txBox="1">
          <a:spLocks noChangeArrowheads="1"/>
        </xdr:cNvSpPr>
      </xdr:nvSpPr>
      <xdr:spPr bwMode="auto">
        <a:xfrm>
          <a:off x="1152525" y="3390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84" name="Text Box 1162"/>
        <xdr:cNvSpPr txBox="1">
          <a:spLocks noChangeArrowheads="1"/>
        </xdr:cNvSpPr>
      </xdr:nvSpPr>
      <xdr:spPr bwMode="auto">
        <a:xfrm>
          <a:off x="1152525" y="33909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85" name="Text Box 1163"/>
        <xdr:cNvSpPr txBox="1">
          <a:spLocks noChangeArrowheads="1"/>
        </xdr:cNvSpPr>
      </xdr:nvSpPr>
      <xdr:spPr bwMode="auto">
        <a:xfrm>
          <a:off x="1152525" y="3409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86" name="Text Box 1164"/>
        <xdr:cNvSpPr txBox="1">
          <a:spLocks noChangeArrowheads="1"/>
        </xdr:cNvSpPr>
      </xdr:nvSpPr>
      <xdr:spPr bwMode="auto">
        <a:xfrm>
          <a:off x="1152525" y="3409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87" name="Text Box 1165"/>
        <xdr:cNvSpPr txBox="1">
          <a:spLocks noChangeArrowheads="1"/>
        </xdr:cNvSpPr>
      </xdr:nvSpPr>
      <xdr:spPr bwMode="auto">
        <a:xfrm>
          <a:off x="1152525" y="3409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88" name="Text Box 1166"/>
        <xdr:cNvSpPr txBox="1">
          <a:spLocks noChangeArrowheads="1"/>
        </xdr:cNvSpPr>
      </xdr:nvSpPr>
      <xdr:spPr bwMode="auto">
        <a:xfrm>
          <a:off x="1152525" y="34099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89" name="Text Box 1167"/>
        <xdr:cNvSpPr txBox="1">
          <a:spLocks noChangeArrowheads="1"/>
        </xdr:cNvSpPr>
      </xdr:nvSpPr>
      <xdr:spPr bwMode="auto">
        <a:xfrm>
          <a:off x="1152525" y="3429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90" name="Text Box 1168"/>
        <xdr:cNvSpPr txBox="1">
          <a:spLocks noChangeArrowheads="1"/>
        </xdr:cNvSpPr>
      </xdr:nvSpPr>
      <xdr:spPr bwMode="auto">
        <a:xfrm>
          <a:off x="1152525" y="3429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91" name="Text Box 1169"/>
        <xdr:cNvSpPr txBox="1">
          <a:spLocks noChangeArrowheads="1"/>
        </xdr:cNvSpPr>
      </xdr:nvSpPr>
      <xdr:spPr bwMode="auto">
        <a:xfrm>
          <a:off x="1152525" y="3429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92" name="Text Box 1170"/>
        <xdr:cNvSpPr txBox="1">
          <a:spLocks noChangeArrowheads="1"/>
        </xdr:cNvSpPr>
      </xdr:nvSpPr>
      <xdr:spPr bwMode="auto">
        <a:xfrm>
          <a:off x="1152525" y="34290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93" name="Text Box 1171"/>
        <xdr:cNvSpPr txBox="1">
          <a:spLocks noChangeArrowheads="1"/>
        </xdr:cNvSpPr>
      </xdr:nvSpPr>
      <xdr:spPr bwMode="auto">
        <a:xfrm>
          <a:off x="1152525" y="3448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94" name="Text Box 1172"/>
        <xdr:cNvSpPr txBox="1">
          <a:spLocks noChangeArrowheads="1"/>
        </xdr:cNvSpPr>
      </xdr:nvSpPr>
      <xdr:spPr bwMode="auto">
        <a:xfrm>
          <a:off x="1152525" y="3448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95" name="Text Box 1173"/>
        <xdr:cNvSpPr txBox="1">
          <a:spLocks noChangeArrowheads="1"/>
        </xdr:cNvSpPr>
      </xdr:nvSpPr>
      <xdr:spPr bwMode="auto">
        <a:xfrm>
          <a:off x="1152525" y="3448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96" name="Text Box 1174"/>
        <xdr:cNvSpPr txBox="1">
          <a:spLocks noChangeArrowheads="1"/>
        </xdr:cNvSpPr>
      </xdr:nvSpPr>
      <xdr:spPr bwMode="auto">
        <a:xfrm>
          <a:off x="1152525" y="3448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97" name="Text Box 11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98" name="Text Box 11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99" name="Text Box 11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00" name="Text Box 11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01" name="Text Box 11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02" name="Text Box 11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03" name="Text Box 11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04" name="Text Box 11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05" name="Text Box 11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06" name="Text Box 11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07" name="Text Box 11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08" name="Text Box 11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09" name="Text Box 11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10" name="Text Box 11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11" name="Text Box 11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12" name="Text Box 11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13" name="Text Box 11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14" name="Text Box 11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15" name="Text Box 11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16" name="Text Box 11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17" name="Text Box 11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18" name="Text Box 11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19" name="Text Box 11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20" name="Text Box 11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21" name="Text Box 11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22" name="Text Box 12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23" name="Text Box 12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24" name="Text Box 12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25" name="Text Box 12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26" name="Text Box 12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27" name="Text Box 12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28" name="Text Box 12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29" name="Text Box 12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30" name="Text Box 12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31" name="Text Box 12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32" name="Text Box 12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33" name="Text Box 12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34" name="Text Box 12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35" name="Text Box 12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36" name="Text Box 12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37" name="Text Box 12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38" name="Text Box 12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39" name="Text Box 12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40" name="Text Box 12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41" name="Text Box 12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42" name="Text Box 12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43" name="Text Box 12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44" name="Text Box 12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45" name="Text Box 12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46" name="Text Box 12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47" name="Text Box 12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48" name="Text Box 12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49" name="Text Box 12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50" name="Text Box 12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51" name="Text Box 12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52" name="Text Box 12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53" name="Text Box 12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54" name="Text Box 12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55" name="Text Box 12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56" name="Text Box 12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57" name="Text Box 12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58" name="Text Box 12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59" name="Text Box 12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60" name="Text Box 12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61" name="Text Box 12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62" name="Text Box 12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63" name="Text Box 12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64" name="Text Box 12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65" name="Text Box 12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66" name="Text Box 12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67" name="Text Box 12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68" name="Text Box 12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69" name="Text Box 12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70" name="Text Box 12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71" name="Text Box 12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72" name="Text Box 12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73" name="Text Box 12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74" name="Text Box 12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75" name="Text Box 12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76" name="Text Box 12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77" name="Text Box 12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78" name="Text Box 12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79" name="Text Box 12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80" name="Text Box 12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81" name="Text Box 12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82" name="Text Box 12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83" name="Text Box 12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84" name="Text Box 12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85" name="Text Box 12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86" name="Text Box 12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87" name="Text Box 12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88" name="Text Box 12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89" name="Text Box 12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90" name="Text Box 12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91" name="Text Box 12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92" name="Text Box 12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93" name="Text Box 12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94" name="Text Box 12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95" name="Text Box 12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96" name="Text Box 12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97" name="Text Box 12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98" name="Text Box 12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99" name="Text Box 12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00" name="Text Box 12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01" name="Text Box 12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02" name="Text Box 12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03" name="Text Box 12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04" name="Text Box 12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05" name="Text Box 12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06" name="Text Box 12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07" name="Text Box 12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08" name="Text Box 12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09" name="Text Box 12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10" name="Text Box 12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11" name="Text Box 12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12" name="Text Box 12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13" name="Text Box 12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14" name="Text Box 12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15" name="Text Box 12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16" name="Text Box 12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17" name="Text Box 12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18" name="Text Box 12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19" name="Text Box 12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20" name="Text Box 12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21" name="Text Box 12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22" name="Text Box 13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23" name="Text Box 13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24" name="Text Box 13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25" name="Text Box 13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26" name="Text Box 13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27" name="Text Box 13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28" name="Text Box 13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29" name="Text Box 13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30" name="Text Box 13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31" name="Text Box 13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32" name="Text Box 13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33" name="Text Box 13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34" name="Text Box 13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35" name="Text Box 13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36" name="Text Box 13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37" name="Text Box 13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38" name="Text Box 13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39" name="Text Box 13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40" name="Text Box 13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41" name="Text Box 13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42" name="Text Box 13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43" name="Text Box 13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44" name="Text Box 13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45" name="Text Box 13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46" name="Text Box 13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47" name="Text Box 13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48" name="Text Box 13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49" name="Text Box 13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50" name="Text Box 13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51" name="Text Box 13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52" name="Text Box 13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53" name="Text Box 13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54" name="Text Box 13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55" name="Text Box 13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56" name="Text Box 13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57" name="Text Box 13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58" name="Text Box 13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59" name="Text Box 13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60" name="Text Box 13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61" name="Text Box 13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62" name="Text Box 13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63" name="Text Box 13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64" name="Text Box 13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65" name="Text Box 13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66" name="Text Box 13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67" name="Text Box 13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68" name="Text Box 13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69" name="Text Box 13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70" name="Text Box 13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71" name="Text Box 13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72" name="Text Box 13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73" name="Text Box 13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74" name="Text Box 13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75" name="Text Box 13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76" name="Text Box 13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77" name="Text Box 13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78" name="Text Box 13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79" name="Text Box 13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80" name="Text Box 13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81" name="Text Box 13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82" name="Text Box 13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83" name="Text Box 13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84" name="Text Box 13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85" name="Text Box 13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86" name="Text Box 13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87" name="Text Box 13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88" name="Text Box 13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89" name="Text Box 13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90" name="Text Box 13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91" name="Text Box 13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92" name="Text Box 13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93" name="Text Box 13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94" name="Text Box 13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95" name="Text Box 13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96" name="Text Box 13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97" name="Text Box 13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98" name="Text Box 13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99" name="Text Box 13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00" name="Text Box 13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01" name="Text Box 13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02" name="Text Box 13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03" name="Text Box 13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04" name="Text Box 13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05" name="Text Box 13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06" name="Text Box 13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07" name="Text Box 13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08" name="Text Box 13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09" name="Text Box 13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10" name="Text Box 13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11" name="Text Box 13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12" name="Text Box 13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13" name="Text Box 13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14" name="Text Box 13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15" name="Text Box 13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16" name="Text Box 13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17" name="Text Box 13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18" name="Text Box 13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19" name="Text Box 13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20" name="Text Box 13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21" name="Text Box 13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22" name="Text Box 14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23" name="Text Box 14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24" name="Text Box 14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25" name="Text Box 14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26" name="Text Box 14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27" name="Text Box 14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28" name="Text Box 14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29" name="Text Box 14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30" name="Text Box 14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31" name="Text Box 14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32" name="Text Box 14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33" name="Text Box 14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34" name="Text Box 14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35" name="Text Box 14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36" name="Text Box 14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37" name="Text Box 14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38" name="Text Box 14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39" name="Text Box 14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40" name="Text Box 14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41" name="Text Box 14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42" name="Text Box 14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43" name="Text Box 14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44" name="Text Box 14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45" name="Text Box 14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46" name="Text Box 14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47" name="Text Box 14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48" name="Text Box 14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49" name="Text Box 14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50" name="Text Box 14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51" name="Text Box 14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52" name="Text Box 14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53" name="Text Box 14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54" name="Text Box 14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55" name="Text Box 14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56" name="Text Box 14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57" name="Text Box 14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58" name="Text Box 14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59" name="Text Box 14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60" name="Text Box 14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61" name="Text Box 14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62" name="Text Box 14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63" name="Text Box 14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64" name="Text Box 14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65" name="Text Box 14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66" name="Text Box 14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67" name="Text Box 14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68" name="Text Box 14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69" name="Text Box 14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70" name="Text Box 14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71" name="Text Box 14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72" name="Text Box 14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73" name="Text Box 14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74" name="Text Box 14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75" name="Text Box 14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76" name="Text Box 14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77" name="Text Box 14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78" name="Text Box 14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79" name="Text Box 14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80" name="Text Box 14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81" name="Text Box 14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82" name="Text Box 14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83" name="Text Box 14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84" name="Text Box 14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85" name="Text Box 14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86" name="Text Box 14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87" name="Text Box 14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88" name="Text Box 14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89" name="Text Box 14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90" name="Text Box 14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91" name="Text Box 14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92" name="Text Box 14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93" name="Text Box 14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94" name="Text Box 14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95" name="Text Box 14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96" name="Text Box 14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97" name="Text Box 14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98" name="Text Box 14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99" name="Text Box 14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00" name="Text Box 14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01" name="Text Box 14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02" name="Text Box 14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03" name="Text Box 14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04" name="Text Box 14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05" name="Text Box 14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06" name="Text Box 14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07" name="Text Box 14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08" name="Text Box 14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09" name="Text Box 14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10" name="Text Box 14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11" name="Text Box 14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12" name="Text Box 14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13" name="Text Box 14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14" name="Text Box 14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15" name="Text Box 14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16" name="Text Box 14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17" name="Text Box 14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18" name="Text Box 14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19" name="Text Box 14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20" name="Text Box 14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21" name="Text Box 14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22" name="Text Box 15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23" name="Text Box 15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24" name="Text Box 15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25" name="Text Box 15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26" name="Text Box 15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27" name="Text Box 15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28" name="Text Box 15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29" name="Text Box 15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30" name="Text Box 15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31" name="Text Box 15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32" name="Text Box 15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33" name="Text Box 15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34" name="Text Box 15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35" name="Text Box 15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36" name="Text Box 15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37" name="Text Box 15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38" name="Text Box 15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39" name="Text Box 15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40" name="Text Box 15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41" name="Text Box 15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42" name="Text Box 15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43" name="Text Box 15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44" name="Text Box 15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45" name="Text Box 15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46" name="Text Box 15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47" name="Text Box 15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48" name="Text Box 15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49" name="Text Box 15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50" name="Text Box 15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51" name="Text Box 15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52" name="Text Box 15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53" name="Text Box 15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54" name="Text Box 15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55" name="Text Box 15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56" name="Text Box 15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57" name="Text Box 15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58" name="Text Box 15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59" name="Text Box 15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60" name="Text Box 15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61" name="Text Box 15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62" name="Text Box 15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63" name="Text Box 15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64" name="Text Box 15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65" name="Text Box 15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66" name="Text Box 15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67" name="Text Box 15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68" name="Text Box 15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69" name="Text Box 15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70" name="Text Box 15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71" name="Text Box 15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72" name="Text Box 15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73" name="Text Box 15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74" name="Text Box 15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75" name="Text Box 15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76" name="Text Box 15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77" name="Text Box 15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78" name="Text Box 15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79" name="Text Box 15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80" name="Text Box 15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81" name="Text Box 15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82" name="Text Box 15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83" name="Text Box 15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84" name="Text Box 15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85" name="Text Box 15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86" name="Text Box 15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87" name="Text Box 15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88" name="Text Box 15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89" name="Text Box 15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90" name="Text Box 15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91" name="Text Box 15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92" name="Text Box 15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93" name="Text Box 15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94" name="Text Box 15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95" name="Text Box 15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96" name="Text Box 15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97" name="Text Box 15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98" name="Text Box 15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99" name="Text Box 15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00" name="Text Box 15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01" name="Text Box 15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02" name="Text Box 15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03" name="Text Box 15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04" name="Text Box 15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05" name="Text Box 15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06" name="Text Box 15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07" name="Text Box 15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08" name="Text Box 15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09" name="Text Box 15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10" name="Text Box 15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11" name="Text Box 15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12" name="Text Box 15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13" name="Text Box 15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14" name="Text Box 15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15" name="Text Box 15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16" name="Text Box 15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17" name="Text Box 15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18" name="Text Box 15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19" name="Text Box 15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20" name="Text Box 15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21" name="Text Box 15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22" name="Text Box 16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23" name="Text Box 16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24" name="Text Box 16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25" name="Text Box 16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26" name="Text Box 16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27" name="Text Box 16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28" name="Text Box 16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29" name="Text Box 16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30" name="Text Box 16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31" name="Text Box 16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32" name="Text Box 16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33" name="Text Box 16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34" name="Text Box 16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35" name="Text Box 16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36" name="Text Box 16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37" name="Text Box 16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38" name="Text Box 16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39" name="Text Box 16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40" name="Text Box 16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41" name="Text Box 16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42" name="Text Box 16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43" name="Text Box 16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44" name="Text Box 16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45" name="Text Box 16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46" name="Text Box 16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47" name="Text Box 16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48" name="Text Box 16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49" name="Text Box 16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50" name="Text Box 16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51" name="Text Box 16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52" name="Text Box 16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53" name="Text Box 16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54" name="Text Box 16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55" name="Text Box 16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56" name="Text Box 16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57" name="Text Box 16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58" name="Text Box 16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59" name="Text Box 16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60" name="Text Box 16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61" name="Text Box 16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62" name="Text Box 16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63" name="Text Box 16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64" name="Text Box 16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65" name="Text Box 16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66" name="Text Box 16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67" name="Text Box 16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68" name="Text Box 16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69" name="Text Box 16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70" name="Text Box 16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71" name="Text Box 16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72" name="Text Box 16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73" name="Text Box 16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74" name="Text Box 16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75" name="Text Box 16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76" name="Text Box 16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77" name="Text Box 16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78" name="Text Box 16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79" name="Text Box 16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80" name="Text Box 16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81" name="Text Box 16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82" name="Text Box 16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83" name="Text Box 16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84" name="Text Box 16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85" name="Text Box 16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86" name="Text Box 16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87" name="Text Box 16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88" name="Text Box 16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89" name="Text Box 16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90" name="Text Box 16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91" name="Text Box 16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92" name="Text Box 16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93" name="Text Box 16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94" name="Text Box 16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95" name="Text Box 16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96" name="Text Box 16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97" name="Text Box 16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98" name="Text Box 16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99" name="Text Box 16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00" name="Text Box 16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01" name="Text Box 16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02" name="Text Box 16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03" name="Text Box 16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04" name="Text Box 16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05" name="Text Box 16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06" name="Text Box 16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07" name="Text Box 16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08" name="Text Box 16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09" name="Text Box 16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10" name="Text Box 16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11" name="Text Box 16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12" name="Text Box 16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13" name="Text Box 16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14" name="Text Box 16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15" name="Text Box 16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16" name="Text Box 16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17" name="Text Box 16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18" name="Text Box 16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19" name="Text Box 16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20" name="Text Box 16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21" name="Text Box 16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22" name="Text Box 17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23" name="Text Box 17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24" name="Text Box 17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25" name="Text Box 17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26" name="Text Box 17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27" name="Text Box 17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28" name="Text Box 17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29" name="Text Box 17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30" name="Text Box 17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31" name="Text Box 17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32" name="Text Box 17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33" name="Text Box 17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34" name="Text Box 17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35" name="Text Box 17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36" name="Text Box 17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37" name="Text Box 17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38" name="Text Box 17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39" name="Text Box 17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40" name="Text Box 17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41" name="Text Box 17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42" name="Text Box 17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43" name="Text Box 17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44" name="Text Box 17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45" name="Text Box 17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46" name="Text Box 17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47" name="Text Box 17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48" name="Text Box 17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49" name="Text Box 17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50" name="Text Box 17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51" name="Text Box 17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52" name="Text Box 17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53" name="Text Box 17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54" name="Text Box 17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55" name="Text Box 17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56" name="Text Box 17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57" name="Text Box 17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58" name="Text Box 17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59" name="Text Box 17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60" name="Text Box 17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61" name="Text Box 17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62" name="Text Box 17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63" name="Text Box 17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64" name="Text Box 17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65" name="Text Box 17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66" name="Text Box 17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67" name="Text Box 17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68" name="Text Box 17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69" name="Text Box 17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70" name="Text Box 17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71" name="Text Box 17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72" name="Text Box 17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73" name="Text Box 17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74" name="Text Box 17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75" name="Text Box 17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76" name="Text Box 17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77" name="Text Box 17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78" name="Text Box 17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79" name="Text Box 17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80" name="Text Box 17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81" name="Text Box 17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82" name="Text Box 17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83" name="Text Box 17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84" name="Text Box 17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85" name="Text Box 17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86" name="Text Box 17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87" name="Text Box 17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88" name="Text Box 17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89" name="Text Box 17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90" name="Text Box 17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91" name="Text Box 17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92" name="Text Box 17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93" name="Text Box 17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94" name="Text Box 17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95" name="Text Box 17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96" name="Text Box 17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97" name="Text Box 17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98" name="Text Box 17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99" name="Text Box 17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00" name="Text Box 17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01" name="Text Box 17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02" name="Text Box 17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03" name="Text Box 17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04" name="Text Box 17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05" name="Text Box 17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06" name="Text Box 17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07" name="Text Box 17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08" name="Text Box 17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09" name="Text Box 17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10" name="Text Box 17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11" name="Text Box 17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12" name="Text Box 17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13" name="Text Box 17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14" name="Text Box 17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15" name="Text Box 17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16" name="Text Box 17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17" name="Text Box 17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18" name="Text Box 17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19" name="Text Box 17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20" name="Text Box 17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21" name="Text Box 17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22" name="Text Box 18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23" name="Text Box 18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24" name="Text Box 18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25" name="Text Box 18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26" name="Text Box 18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27" name="Text Box 18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28" name="Text Box 18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29" name="Text Box 18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30" name="Text Box 18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31" name="Text Box 18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32" name="Text Box 18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33" name="Text Box 18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34" name="Text Box 18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35" name="Text Box 18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36" name="Text Box 18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37" name="Text Box 18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38" name="Text Box 18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39" name="Text Box 18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40" name="Text Box 18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41" name="Text Box 18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42" name="Text Box 18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43" name="Text Box 18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44" name="Text Box 18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45" name="Text Box 18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46" name="Text Box 18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47" name="Text Box 18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48" name="Text Box 18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49" name="Text Box 18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50" name="Text Box 18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51" name="Text Box 18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52" name="Text Box 18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53" name="Text Box 18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54" name="Text Box 18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55" name="Text Box 18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56" name="Text Box 18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57" name="Text Box 18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58" name="Text Box 18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59" name="Text Box 18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60" name="Text Box 18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61" name="Text Box 18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62" name="Text Box 18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63" name="Text Box 18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64" name="Text Box 18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65" name="Text Box 18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66" name="Text Box 18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67" name="Text Box 18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68" name="Text Box 18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69" name="Text Box 18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70" name="Text Box 18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71" name="Text Box 18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72" name="Text Box 18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73" name="Text Box 18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74" name="Text Box 18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75" name="Text Box 18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76" name="Text Box 18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77" name="Text Box 18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78" name="Text Box 18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79" name="Text Box 18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80" name="Text Box 18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81" name="Text Box 18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82" name="Text Box 18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83" name="Text Box 18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84" name="Text Box 18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85" name="Text Box 18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86" name="Text Box 18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87" name="Text Box 18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88" name="Text Box 18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89" name="Text Box 18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90" name="Text Box 18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91" name="Text Box 18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92" name="Text Box 18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93" name="Text Box 18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94" name="Text Box 18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95" name="Text Box 18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96" name="Text Box 18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97" name="Text Box 18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98" name="Text Box 18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99" name="Text Box 18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00" name="Text Box 18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01" name="Text Box 18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02" name="Text Box 18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03" name="Text Box 18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04" name="Text Box 18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05" name="Text Box 18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06" name="Text Box 18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07" name="Text Box 18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08" name="Text Box 18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09" name="Text Box 18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10" name="Text Box 18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11" name="Text Box 18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12" name="Text Box 18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13" name="Text Box 18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14" name="Text Box 18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15" name="Text Box 18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16" name="Text Box 18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17" name="Text Box 18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18" name="Text Box 18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19" name="Text Box 18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20" name="Text Box 18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21" name="Text Box 18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22" name="Text Box 19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23" name="Text Box 19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24" name="Text Box 19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25" name="Text Box 19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26" name="Text Box 19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27" name="Text Box 19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28" name="Text Box 19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29" name="Text Box 19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30" name="Text Box 19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31" name="Text Box 19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32" name="Text Box 19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33" name="Text Box 19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34" name="Text Box 19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35" name="Text Box 19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36" name="Text Box 19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37" name="Text Box 19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38" name="Text Box 19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39" name="Text Box 19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40" name="Text Box 19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41" name="Text Box 19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42" name="Text Box 19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43" name="Text Box 19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44" name="Text Box 19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45" name="Text Box 19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46" name="Text Box 19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47" name="Text Box 19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48" name="Text Box 19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49" name="Text Box 19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50" name="Text Box 19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51" name="Text Box 19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52" name="Text Box 19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53" name="Text Box 19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54" name="Text Box 19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55" name="Text Box 19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56" name="Text Box 19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57" name="Text Box 19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58" name="Text Box 19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59" name="Text Box 19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60" name="Text Box 19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61" name="Text Box 19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62" name="Text Box 19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63" name="Text Box 19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64" name="Text Box 19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65" name="Text Box 19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66" name="Text Box 19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67" name="Text Box 19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68" name="Text Box 19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69" name="Text Box 19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70" name="Text Box 19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71" name="Text Box 19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72" name="Text Box 19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73" name="Text Box 19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74" name="Text Box 19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75" name="Text Box 19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76" name="Text Box 19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77" name="Text Box 19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78" name="Text Box 19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79" name="Text Box 19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80" name="Text Box 19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81" name="Text Box 19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82" name="Text Box 19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83" name="Text Box 19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84" name="Text Box 19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85" name="Text Box 19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86" name="Text Box 19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87" name="Text Box 19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88" name="Text Box 19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89" name="Text Box 19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90" name="Text Box 19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91" name="Text Box 19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92" name="Text Box 19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93" name="Text Box 19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94" name="Text Box 19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95" name="Text Box 19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96" name="Text Box 19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97" name="Text Box 19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98" name="Text Box 19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99" name="Text Box 19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00" name="Text Box 19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01" name="Text Box 19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02" name="Text Box 19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03" name="Text Box 19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04" name="Text Box 19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05" name="Text Box 19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06" name="Text Box 19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07" name="Text Box 19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08" name="Text Box 19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09" name="Text Box 19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10" name="Text Box 19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11" name="Text Box 19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12" name="Text Box 19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13" name="Text Box 19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14" name="Text Box 19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15" name="Text Box 19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16" name="Text Box 19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17" name="Text Box 19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18" name="Text Box 19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19" name="Text Box 19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20" name="Text Box 19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21" name="Text Box 19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22" name="Text Box 20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23" name="Text Box 20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24" name="Text Box 20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25" name="Text Box 20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26" name="Text Box 20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27" name="Text Box 20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28" name="Text Box 20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29" name="Text Box 20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30" name="Text Box 20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31" name="Text Box 20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32" name="Text Box 20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33" name="Text Box 20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34" name="Text Box 20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35" name="Text Box 20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36" name="Text Box 20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37" name="Text Box 20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38" name="Text Box 20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39" name="Text Box 20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40" name="Text Box 20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41" name="Text Box 20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42" name="Text Box 20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43" name="Text Box 20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44" name="Text Box 20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45" name="Text Box 20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46" name="Text Box 20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47" name="Text Box 20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48" name="Text Box 20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49" name="Text Box 20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50" name="Text Box 20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51" name="Text Box 20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52" name="Text Box 20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53" name="Text Box 20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54" name="Text Box 20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55" name="Text Box 20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56" name="Text Box 20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57" name="Text Box 20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58" name="Text Box 20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59" name="Text Box 20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60" name="Text Box 20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61" name="Text Box 20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62" name="Text Box 20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63" name="Text Box 20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64" name="Text Box 20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65" name="Text Box 20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66" name="Text Box 20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67" name="Text Box 20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68" name="Text Box 20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69" name="Text Box 20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70" name="Text Box 20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71" name="Text Box 20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72" name="Text Box 20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73" name="Text Box 20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74" name="Text Box 20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75" name="Text Box 20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76" name="Text Box 20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77" name="Text Box 20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78" name="Text Box 20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79" name="Text Box 20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80" name="Text Box 20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81" name="Text Box 20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82" name="Text Box 20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83" name="Text Box 20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84" name="Text Box 20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85" name="Text Box 20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86" name="Text Box 20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87" name="Text Box 20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88" name="Text Box 20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89" name="Text Box 20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90" name="Text Box 20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91" name="Text Box 20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92" name="Text Box 20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93" name="Text Box 20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94" name="Text Box 20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95" name="Text Box 20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96" name="Text Box 20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97" name="Text Box 20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98" name="Text Box 20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99" name="Text Box 20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00" name="Text Box 20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01" name="Text Box 20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02" name="Text Box 20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03" name="Text Box 20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04" name="Text Box 20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05" name="Text Box 20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06" name="Text Box 20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07" name="Text Box 20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08" name="Text Box 20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09" name="Text Box 20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10" name="Text Box 20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11" name="Text Box 20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12" name="Text Box 20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13" name="Text Box 20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14" name="Text Box 20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15" name="Text Box 20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16" name="Text Box 20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17" name="Text Box 20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18" name="Text Box 20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19" name="Text Box 20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20" name="Text Box 20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21" name="Text Box 20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22" name="Text Box 21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23" name="Text Box 21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24" name="Text Box 21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25" name="Text Box 21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26" name="Text Box 21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27" name="Text Box 21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28" name="Text Box 21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29" name="Text Box 21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30" name="Text Box 21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31" name="Text Box 21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32" name="Text Box 21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33" name="Text Box 21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34" name="Text Box 21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35" name="Text Box 21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36" name="Text Box 21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37" name="Text Box 21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38" name="Text Box 21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39" name="Text Box 21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40" name="Text Box 21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41" name="Text Box 21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42" name="Text Box 21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43" name="Text Box 21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44" name="Text Box 21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45" name="Text Box 21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46" name="Text Box 21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47" name="Text Box 21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48" name="Text Box 21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49" name="Text Box 21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50" name="Text Box 21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51" name="Text Box 21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52" name="Text Box 21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53" name="Text Box 21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54" name="Text Box 21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55" name="Text Box 21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56" name="Text Box 21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57" name="Text Box 21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58" name="Text Box 21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59" name="Text Box 21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60" name="Text Box 21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61" name="Text Box 21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62" name="Text Box 21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63" name="Text Box 21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64" name="Text Box 21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65" name="Text Box 21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66" name="Text Box 21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67" name="Text Box 21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68" name="Text Box 21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69" name="Text Box 21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70" name="Text Box 21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71" name="Text Box 21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72" name="Text Box 21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73" name="Text Box 21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74" name="Text Box 21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75" name="Text Box 21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76" name="Text Box 21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77" name="Text Box 21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78" name="Text Box 21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79" name="Text Box 21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80" name="Text Box 21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81" name="Text Box 21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82" name="Text Box 21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83" name="Text Box 21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84" name="Text Box 21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85" name="Text Box 21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86" name="Text Box 21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87" name="Text Box 21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88" name="Text Box 21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89" name="Text Box 21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90" name="Text Box 21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91" name="Text Box 21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92" name="Text Box 21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93" name="Text Box 21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94" name="Text Box 21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95" name="Text Box 21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96" name="Text Box 21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97" name="Text Box 21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98" name="Text Box 21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99" name="Text Box 21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00" name="Text Box 21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01" name="Text Box 21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02" name="Text Box 21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03" name="Text Box 21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04" name="Text Box 21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05" name="Text Box 21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06" name="Text Box 21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07" name="Text Box 21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08" name="Text Box 21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09" name="Text Box 21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10" name="Text Box 21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11" name="Text Box 21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12" name="Text Box 21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13" name="Text Box 21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14" name="Text Box 21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15" name="Text Box 21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16" name="Text Box 21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17" name="Text Box 21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18" name="Text Box 21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19" name="Text Box 21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20" name="Text Box 21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21" name="Text Box 21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22" name="Text Box 22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23" name="Text Box 22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24" name="Text Box 22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25" name="Text Box 22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26" name="Text Box 22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27" name="Text Box 22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28" name="Text Box 22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29" name="Text Box 22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30" name="Text Box 22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31" name="Text Box 22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32" name="Text Box 22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33" name="Text Box 22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34" name="Text Box 22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35" name="Text Box 22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36" name="Text Box 22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37" name="Text Box 22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38" name="Text Box 22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39" name="Text Box 22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40" name="Text Box 22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41" name="Text Box 22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42" name="Text Box 22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43" name="Text Box 22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44" name="Text Box 22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45" name="Text Box 22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46" name="Text Box 22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47" name="Text Box 22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48" name="Text Box 22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49" name="Text Box 22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50" name="Text Box 22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51" name="Text Box 22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52" name="Text Box 22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53" name="Text Box 22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54" name="Text Box 22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55" name="Text Box 22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56" name="Text Box 22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57" name="Text Box 22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58" name="Text Box 22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59" name="Text Box 22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60" name="Text Box 22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61" name="Text Box 22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62" name="Text Box 22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63" name="Text Box 22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64" name="Text Box 22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65" name="Text Box 22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66" name="Text Box 22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67" name="Text Box 22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68" name="Text Box 22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69" name="Text Box 22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70" name="Text Box 22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71" name="Text Box 22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72" name="Text Box 22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73" name="Text Box 22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74" name="Text Box 22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75" name="Text Box 22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76" name="Text Box 22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77" name="Text Box 22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78" name="Text Box 22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79" name="Text Box 22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80" name="Text Box 22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81" name="Text Box 22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82" name="Text Box 22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83" name="Text Box 22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84" name="Text Box 22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85" name="Text Box 22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86" name="Text Box 22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87" name="Text Box 22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88" name="Text Box 22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89" name="Text Box 22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90" name="Text Box 22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91" name="Text Box 22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92" name="Text Box 22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93" name="Text Box 22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94" name="Text Box 22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95" name="Text Box 22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96" name="Text Box 22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97" name="Text Box 22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98" name="Text Box 22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99" name="Text Box 22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00" name="Text Box 22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01" name="Text Box 22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02" name="Text Box 22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03" name="Text Box 22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04" name="Text Box 22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05" name="Text Box 22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06" name="Text Box 22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07" name="Text Box 22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08" name="Text Box 22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09" name="Text Box 22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10" name="Text Box 22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11" name="Text Box 22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12" name="Text Box 22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13" name="Text Box 22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14" name="Text Box 22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15" name="Text Box 22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16" name="Text Box 22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17" name="Text Box 22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18" name="Text Box 22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19" name="Text Box 22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20" name="Text Box 22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21" name="Text Box 22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22" name="Text Box 23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23" name="Text Box 23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24" name="Text Box 23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25" name="Text Box 23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26" name="Text Box 23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27" name="Text Box 23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28" name="Text Box 23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29" name="Text Box 23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30" name="Text Box 23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31" name="Text Box 23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32" name="Text Box 23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33" name="Text Box 23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34" name="Text Box 23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35" name="Text Box 23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36" name="Text Box 23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37" name="Text Box 23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38" name="Text Box 23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39" name="Text Box 23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40" name="Text Box 23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41" name="Text Box 23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42" name="Text Box 23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43" name="Text Box 23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44" name="Text Box 23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45" name="Text Box 23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46" name="Text Box 23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47" name="Text Box 23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48" name="Text Box 23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49" name="Text Box 23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50" name="Text Box 23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51" name="Text Box 23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52" name="Text Box 23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53" name="Text Box 23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54" name="Text Box 23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55" name="Text Box 23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56" name="Text Box 23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57" name="Text Box 23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58" name="Text Box 23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59" name="Text Box 23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60" name="Text Box 23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61" name="Text Box 23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62" name="Text Box 23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63" name="Text Box 23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64" name="Text Box 23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65" name="Text Box 23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66" name="Text Box 23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67" name="Text Box 23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68" name="Text Box 23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69" name="Text Box 23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70" name="Text Box 23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71" name="Text Box 23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72" name="Text Box 23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73" name="Text Box 23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74" name="Text Box 23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75" name="Text Box 23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76" name="Text Box 23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77" name="Text Box 23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78" name="Text Box 23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79" name="Text Box 23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80" name="Text Box 23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81" name="Text Box 23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82" name="Text Box 23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83" name="Text Box 23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84" name="Text Box 23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85" name="Text Box 23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86" name="Text Box 23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87" name="Text Box 23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88" name="Text Box 23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89" name="Text Box 23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90" name="Text Box 23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91" name="Text Box 23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92" name="Text Box 23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93" name="Text Box 23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94" name="Text Box 23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95" name="Text Box 23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96" name="Text Box 23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97" name="Text Box 23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98" name="Text Box 23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99" name="Text Box 23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00" name="Text Box 23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01" name="Text Box 23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02" name="Text Box 23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03" name="Text Box 23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04" name="Text Box 23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05" name="Text Box 23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06" name="Text Box 23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07" name="Text Box 23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08" name="Text Box 23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09" name="Text Box 23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10" name="Text Box 23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11" name="Text Box 23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12" name="Text Box 23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13" name="Text Box 23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14" name="Text Box 23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15" name="Text Box 23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16" name="Text Box 23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17" name="Text Box 23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18" name="Text Box 23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19" name="Text Box 23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20" name="Text Box 23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21" name="Text Box 23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22" name="Text Box 24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23" name="Text Box 24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24" name="Text Box 24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25" name="Text Box 24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26" name="Text Box 24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27" name="Text Box 24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28" name="Text Box 24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29" name="Text Box 24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30" name="Text Box 24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31" name="Text Box 24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32" name="Text Box 24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33" name="Text Box 24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34" name="Text Box 24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35" name="Text Box 24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36" name="Text Box 24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37" name="Text Box 24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38" name="Text Box 24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39" name="Text Box 24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40" name="Text Box 24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41" name="Text Box 24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42" name="Text Box 24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43" name="Text Box 24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44" name="Text Box 24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45" name="Text Box 24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46" name="Text Box 24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47" name="Text Box 24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48" name="Text Box 24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49" name="Text Box 24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50" name="Text Box 24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51" name="Text Box 24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52" name="Text Box 24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53" name="Text Box 24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54" name="Text Box 24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55" name="Text Box 24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56" name="Text Box 24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57" name="Text Box 24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58" name="Text Box 24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59" name="Text Box 24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60" name="Text Box 24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61" name="Text Box 24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62" name="Text Box 24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63" name="Text Box 24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64" name="Text Box 24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65" name="Text Box 24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66" name="Text Box 24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67" name="Text Box 24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68" name="Text Box 24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69" name="Text Box 24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70" name="Text Box 24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71" name="Text Box 24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72" name="Text Box 24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73" name="Text Box 24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74" name="Text Box 24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75" name="Text Box 24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76" name="Text Box 24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77" name="Text Box 24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78" name="Text Box 24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79" name="Text Box 24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80" name="Text Box 24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81" name="Text Box 24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82" name="Text Box 24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83" name="Text Box 24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84" name="Text Box 24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85" name="Text Box 24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86" name="Text Box 24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87" name="Text Box 24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88" name="Text Box 24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89" name="Text Box 24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90" name="Text Box 24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91" name="Text Box 24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92" name="Text Box 24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93" name="Text Box 24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94" name="Text Box 24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95" name="Text Box 24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96" name="Text Box 24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97" name="Text Box 24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98" name="Text Box 24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99" name="Text Box 24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00" name="Text Box 24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01" name="Text Box 24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02" name="Text Box 24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03" name="Text Box 24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04" name="Text Box 24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05" name="Text Box 24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06" name="Text Box 24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07" name="Text Box 24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08" name="Text Box 24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09" name="Text Box 24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10" name="Text Box 24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11" name="Text Box 24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12" name="Text Box 24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13" name="Text Box 24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14" name="Text Box 24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15" name="Text Box 24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16" name="Text Box 24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17" name="Text Box 24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18" name="Text Box 24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19" name="Text Box 24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20" name="Text Box 24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21" name="Text Box 24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22" name="Text Box 25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23" name="Text Box 25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24" name="Text Box 25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25" name="Text Box 25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26" name="Text Box 25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27" name="Text Box 25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28" name="Text Box 25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29" name="Text Box 25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30" name="Text Box 25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31" name="Text Box 25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32" name="Text Box 25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33" name="Text Box 25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34" name="Text Box 25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35" name="Text Box 25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36" name="Text Box 25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37" name="Text Box 25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38" name="Text Box 25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39" name="Text Box 25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40" name="Text Box 25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41" name="Text Box 25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42" name="Text Box 25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43" name="Text Box 25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44" name="Text Box 25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45" name="Text Box 25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46" name="Text Box 25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47" name="Text Box 25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48" name="Text Box 25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49" name="Text Box 25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50" name="Text Box 25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51" name="Text Box 25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52" name="Text Box 25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53" name="Text Box 25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54" name="Text Box 25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55" name="Text Box 25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56" name="Text Box 25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57" name="Text Box 25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58" name="Text Box 25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59" name="Text Box 25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60" name="Text Box 25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61" name="Text Box 25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62" name="Text Box 25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63" name="Text Box 25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64" name="Text Box 25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65" name="Text Box 25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66" name="Text Box 25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67" name="Text Box 25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68" name="Text Box 25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69" name="Text Box 25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70" name="Text Box 25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71" name="Text Box 25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72" name="Text Box 25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73" name="Text Box 25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74" name="Text Box 25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75" name="Text Box 25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76" name="Text Box 25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77" name="Text Box 25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78" name="Text Box 25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79" name="Text Box 25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80" name="Text Box 25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81" name="Text Box 25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82" name="Text Box 25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83" name="Text Box 25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84" name="Text Box 25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85" name="Text Box 25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86" name="Text Box 25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87" name="Text Box 25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88" name="Text Box 25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89" name="Text Box 25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90" name="Text Box 25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91" name="Text Box 25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92" name="Text Box 25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93" name="Text Box 25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94" name="Text Box 25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95" name="Text Box 25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96" name="Text Box 25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97" name="Text Box 25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98" name="Text Box 25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99" name="Text Box 25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00" name="Text Box 25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01" name="Text Box 25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02" name="Text Box 25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03" name="Text Box 25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04" name="Text Box 25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05" name="Text Box 25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06" name="Text Box 25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07" name="Text Box 25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08" name="Text Box 25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09" name="Text Box 25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10" name="Text Box 25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11" name="Text Box 25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12" name="Text Box 25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13" name="Text Box 25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14" name="Text Box 25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15" name="Text Box 25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16" name="Text Box 25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17" name="Text Box 25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18" name="Text Box 25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19" name="Text Box 25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20" name="Text Box 25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21" name="Text Box 25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22" name="Text Box 26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23" name="Text Box 26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24" name="Text Box 26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25" name="Text Box 26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26" name="Text Box 26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27" name="Text Box 26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28" name="Text Box 26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29" name="Text Box 26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30" name="Text Box 26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31" name="Text Box 26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32" name="Text Box 26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33" name="Text Box 26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34" name="Text Box 26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35" name="Text Box 26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36" name="Text Box 26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37" name="Text Box 26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38" name="Text Box 26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39" name="Text Box 26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40" name="Text Box 26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41" name="Text Box 26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42" name="Text Box 26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43" name="Text Box 26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44" name="Text Box 26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45" name="Text Box 26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46" name="Text Box 26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47" name="Text Box 26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48" name="Text Box 26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49" name="Text Box 26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50" name="Text Box 26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51" name="Text Box 26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52" name="Text Box 26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53" name="Text Box 26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54" name="Text Box 26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55" name="Text Box 26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56" name="Text Box 26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57" name="Text Box 26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58" name="Text Box 26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59" name="Text Box 26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60" name="Text Box 26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61" name="Text Box 26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62" name="Text Box 26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63" name="Text Box 26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64" name="Text Box 26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65" name="Text Box 26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66" name="Text Box 26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67" name="Text Box 26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68" name="Text Box 26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69" name="Text Box 26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70" name="Text Box 26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71" name="Text Box 26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72" name="Text Box 26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73" name="Text Box 26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74" name="Text Box 26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75" name="Text Box 26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76" name="Text Box 26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77" name="Text Box 26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78" name="Text Box 26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79" name="Text Box 26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80" name="Text Box 26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81" name="Text Box 26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82" name="Text Box 26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83" name="Text Box 26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84" name="Text Box 26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85" name="Text Box 26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86" name="Text Box 26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87" name="Text Box 26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88" name="Text Box 26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89" name="Text Box 26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90" name="Text Box 26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91" name="Text Box 26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92" name="Text Box 26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93" name="Text Box 26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94" name="Text Box 26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95" name="Text Box 26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96" name="Text Box 26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97" name="Text Box 26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98" name="Text Box 26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99" name="Text Box 26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00" name="Text Box 26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01" name="Text Box 26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02" name="Text Box 26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03" name="Text Box 26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04" name="Text Box 26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05" name="Text Box 26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06" name="Text Box 26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07" name="Text Box 26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08" name="Text Box 26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09" name="Text Box 26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10" name="Text Box 26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11" name="Text Box 26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12" name="Text Box 26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13" name="Text Box 26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14" name="Text Box 26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15" name="Text Box 26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16" name="Text Box 26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17" name="Text Box 26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18" name="Text Box 26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19" name="Text Box 26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20" name="Text Box 26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21" name="Text Box 26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22" name="Text Box 27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23" name="Text Box 27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24" name="Text Box 27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25" name="Text Box 27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26" name="Text Box 27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27" name="Text Box 27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28" name="Text Box 27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29" name="Text Box 27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30" name="Text Box 27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31" name="Text Box 27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32" name="Text Box 27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33" name="Text Box 27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34" name="Text Box 27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35" name="Text Box 27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36" name="Text Box 27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37" name="Text Box 27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38" name="Text Box 27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39" name="Text Box 27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40" name="Text Box 27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41" name="Text Box 27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42" name="Text Box 27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43" name="Text Box 27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44" name="Text Box 27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45" name="Text Box 27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46" name="Text Box 27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47" name="Text Box 27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48" name="Text Box 27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49" name="Text Box 27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50" name="Text Box 27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51" name="Text Box 27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52" name="Text Box 27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53" name="Text Box 27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54" name="Text Box 27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55" name="Text Box 27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56" name="Text Box 27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57" name="Text Box 27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58" name="Text Box 27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59" name="Text Box 27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60" name="Text Box 27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61" name="Text Box 27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62" name="Text Box 27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63" name="Text Box 27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64" name="Text Box 27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65" name="Text Box 27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66" name="Text Box 27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67" name="Text Box 27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68" name="Text Box 27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69" name="Text Box 27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70" name="Text Box 27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71" name="Text Box 27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72" name="Text Box 27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73" name="Text Box 27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74" name="Text Box 27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75" name="Text Box 27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76" name="Text Box 27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77" name="Text Box 27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78" name="Text Box 27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79" name="Text Box 27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80" name="Text Box 27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81" name="Text Box 27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82" name="Text Box 27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83" name="Text Box 27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84" name="Text Box 27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85" name="Text Box 27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86" name="Text Box 27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87" name="Text Box 27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88" name="Text Box 27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89" name="Text Box 27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90" name="Text Box 27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91" name="Text Box 27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92" name="Text Box 27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93" name="Text Box 27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94" name="Text Box 27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95" name="Text Box 27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96" name="Text Box 27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97" name="Text Box 27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98" name="Text Box 27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99" name="Text Box 27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00" name="Text Box 27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01" name="Text Box 27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02" name="Text Box 27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03" name="Text Box 27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04" name="Text Box 27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05" name="Text Box 27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06" name="Text Box 27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07" name="Text Box 27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08" name="Text Box 27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09" name="Text Box 27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10" name="Text Box 27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11" name="Text Box 27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12" name="Text Box 27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13" name="Text Box 27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14" name="Text Box 27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15" name="Text Box 27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16" name="Text Box 27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17" name="Text Box 27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18" name="Text Box 27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19" name="Text Box 27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20" name="Text Box 27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21" name="Text Box 27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22" name="Text Box 28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23" name="Text Box 28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24" name="Text Box 28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25" name="Text Box 28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26" name="Text Box 28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27" name="Text Box 28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28" name="Text Box 28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29" name="Text Box 28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30" name="Text Box 28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31" name="Text Box 28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32" name="Text Box 28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33" name="Text Box 28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34" name="Text Box 28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35" name="Text Box 28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36" name="Text Box 28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37" name="Text Box 28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38" name="Text Box 28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39" name="Text Box 28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40" name="Text Box 28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41" name="Text Box 28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42" name="Text Box 28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43" name="Text Box 28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44" name="Text Box 28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45" name="Text Box 28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46" name="Text Box 28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47" name="Text Box 28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48" name="Text Box 28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49" name="Text Box 28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50" name="Text Box 28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51" name="Text Box 28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52" name="Text Box 28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53" name="Text Box 28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54" name="Text Box 28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55" name="Text Box 28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56" name="Text Box 28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57" name="Text Box 28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58" name="Text Box 28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59" name="Text Box 28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60" name="Text Box 28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61" name="Text Box 28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62" name="Text Box 28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63" name="Text Box 28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64" name="Text Box 28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65" name="Text Box 28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66" name="Text Box 28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67" name="Text Box 28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68" name="Text Box 28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69" name="Text Box 28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70" name="Text Box 28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71" name="Text Box 28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72" name="Text Box 28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73" name="Text Box 28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74" name="Text Box 28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75" name="Text Box 28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76" name="Text Box 28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77" name="Text Box 28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78" name="Text Box 28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79" name="Text Box 28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80" name="Text Box 28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81" name="Text Box 28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82" name="Text Box 28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83" name="Text Box 28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84" name="Text Box 28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85" name="Text Box 28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86" name="Text Box 28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87" name="Text Box 28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88" name="Text Box 28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89" name="Text Box 28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90" name="Text Box 28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91" name="Text Box 28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92" name="Text Box 28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93" name="Text Box 28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94" name="Text Box 28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95" name="Text Box 28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96" name="Text Box 28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97" name="Text Box 28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98" name="Text Box 28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99" name="Text Box 28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00" name="Text Box 28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01" name="Text Box 28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02" name="Text Box 28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03" name="Text Box 28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04" name="Text Box 28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05" name="Text Box 28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06" name="Text Box 28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07" name="Text Box 28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08" name="Text Box 28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09" name="Text Box 28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10" name="Text Box 28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11" name="Text Box 28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12" name="Text Box 28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13" name="Text Box 28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14" name="Text Box 28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15" name="Text Box 28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16" name="Text Box 28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17" name="Text Box 28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18" name="Text Box 28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19" name="Text Box 28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20" name="Text Box 28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21" name="Text Box 289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22" name="Text Box 290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23" name="Text Box 290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24" name="Text Box 290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25" name="Text Box 290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26" name="Text Box 290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27" name="Text Box 290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28" name="Text Box 290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29" name="Text Box 290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30" name="Text Box 290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31" name="Text Box 290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32" name="Text Box 291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33" name="Text Box 291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34" name="Text Box 291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35" name="Text Box 291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36" name="Text Box 291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37" name="Text Box 291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38" name="Text Box 291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39" name="Text Box 291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40" name="Text Box 291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41" name="Text Box 291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42" name="Text Box 292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43" name="Text Box 292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44" name="Text Box 292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45" name="Text Box 292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46" name="Text Box 292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47" name="Text Box 292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48" name="Text Box 292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49" name="Text Box 292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50" name="Text Box 292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51" name="Text Box 292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52" name="Text Box 293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53" name="Text Box 293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54" name="Text Box 293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55" name="Text Box 293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56" name="Text Box 293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57" name="Text Box 293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58" name="Text Box 293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59" name="Text Box 293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60" name="Text Box 293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61" name="Text Box 293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62" name="Text Box 294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63" name="Text Box 294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64" name="Text Box 294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65" name="Text Box 294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66" name="Text Box 294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67" name="Text Box 294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68" name="Text Box 294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69" name="Text Box 294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70" name="Text Box 294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71" name="Text Box 294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72" name="Text Box 295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73" name="Text Box 295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74" name="Text Box 295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75" name="Text Box 295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76" name="Text Box 295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77" name="Text Box 295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78" name="Text Box 295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79" name="Text Box 295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80" name="Text Box 295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81" name="Text Box 295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82" name="Text Box 296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83" name="Text Box 296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84" name="Text Box 296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85" name="Text Box 296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86" name="Text Box 296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87" name="Text Box 296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88" name="Text Box 296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89" name="Text Box 296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90" name="Text Box 296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91" name="Text Box 296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92" name="Text Box 297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93" name="Text Box 297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94" name="Text Box 297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95" name="Text Box 297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96" name="Text Box 297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97" name="Text Box 297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98" name="Text Box 297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99" name="Text Box 297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00" name="Text Box 297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01" name="Text Box 297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02" name="Text Box 298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03" name="Text Box 298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04" name="Text Box 298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05" name="Text Box 298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06" name="Text Box 298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07" name="Text Box 298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08" name="Text Box 298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09" name="Text Box 298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10" name="Text Box 298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11" name="Text Box 2989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12" name="Text Box 2990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13" name="Text Box 2991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14" name="Text Box 2992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15" name="Text Box 2993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16" name="Text Box 2994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17" name="Text Box 2995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18" name="Text Box 2996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19" name="Text Box 2997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20" name="Text Box 2998"/>
        <xdr:cNvSpPr txBox="1">
          <a:spLocks noChangeArrowheads="1"/>
        </xdr:cNvSpPr>
      </xdr:nvSpPr>
      <xdr:spPr bwMode="auto">
        <a:xfrm>
          <a:off x="1152525" y="346710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2990" name="Text Box 11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2991" name="Text Box 11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2992" name="Text Box 11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2993" name="Text Box 11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2994" name="Text Box 11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2995" name="Text Box 11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2996" name="Text Box 11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2997" name="Text Box 11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2998" name="Text Box 11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2999" name="Text Box 11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00" name="Text Box 11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01" name="Text Box 11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02" name="Text Box 11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03" name="Text Box 11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04" name="Text Box 11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05" name="Text Box 11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06" name="Text Box 11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07" name="Text Box 11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08" name="Text Box 11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09" name="Text Box 11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10" name="Text Box 11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11" name="Text Box 11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12" name="Text Box 11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13" name="Text Box 11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14" name="Text Box 11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15" name="Text Box 11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16" name="Text Box 11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17" name="Text Box 11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18" name="Text Box 11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19" name="Text Box 12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20" name="Text Box 12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21" name="Text Box 12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22" name="Text Box 12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23" name="Text Box 12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24" name="Text Box 12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25" name="Text Box 12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26" name="Text Box 12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27" name="Text Box 12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28" name="Text Box 12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29" name="Text Box 12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30" name="Text Box 12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31" name="Text Box 12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32" name="Text Box 12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33" name="Text Box 12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34" name="Text Box 12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35" name="Text Box 12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36" name="Text Box 12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37" name="Text Box 12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38" name="Text Box 12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39" name="Text Box 12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40" name="Text Box 12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41" name="Text Box 12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42" name="Text Box 12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43" name="Text Box 12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44" name="Text Box 12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45" name="Text Box 12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46" name="Text Box 12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47" name="Text Box 12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48" name="Text Box 12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49" name="Text Box 12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50" name="Text Box 12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51" name="Text Box 12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52" name="Text Box 12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53" name="Text Box 12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54" name="Text Box 12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55" name="Text Box 12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56" name="Text Box 12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57" name="Text Box 12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58" name="Text Box 12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59" name="Text Box 12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60" name="Text Box 12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61" name="Text Box 12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62" name="Text Box 12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63" name="Text Box 12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64" name="Text Box 12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65" name="Text Box 12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66" name="Text Box 12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67" name="Text Box 12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68" name="Text Box 12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69" name="Text Box 12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70" name="Text Box 12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71" name="Text Box 12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72" name="Text Box 12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73" name="Text Box 12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74" name="Text Box 12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75" name="Text Box 12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76" name="Text Box 12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77" name="Text Box 12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78" name="Text Box 12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79" name="Text Box 12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80" name="Text Box 12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81" name="Text Box 12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82" name="Text Box 12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83" name="Text Box 12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84" name="Text Box 12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85" name="Text Box 12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86" name="Text Box 12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87" name="Text Box 12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88" name="Text Box 12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89" name="Text Box 12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90" name="Text Box 12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91" name="Text Box 12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92" name="Text Box 12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93" name="Text Box 12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94" name="Text Box 12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95" name="Text Box 12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96" name="Text Box 12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97" name="Text Box 12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98" name="Text Box 12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099" name="Text Box 12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00" name="Text Box 12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01" name="Text Box 12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02" name="Text Box 12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03" name="Text Box 12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04" name="Text Box 12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05" name="Text Box 12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06" name="Text Box 12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07" name="Text Box 12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08" name="Text Box 12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09" name="Text Box 12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10" name="Text Box 12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11" name="Text Box 12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12" name="Text Box 12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13" name="Text Box 12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14" name="Text Box 12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15" name="Text Box 12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16" name="Text Box 12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17" name="Text Box 12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18" name="Text Box 12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19" name="Text Box 13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20" name="Text Box 13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21" name="Text Box 13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22" name="Text Box 13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23" name="Text Box 13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24" name="Text Box 13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25" name="Text Box 13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26" name="Text Box 13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27" name="Text Box 13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28" name="Text Box 13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29" name="Text Box 13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30" name="Text Box 13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31" name="Text Box 13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32" name="Text Box 13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33" name="Text Box 13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34" name="Text Box 13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35" name="Text Box 13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36" name="Text Box 13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37" name="Text Box 13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38" name="Text Box 13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39" name="Text Box 13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40" name="Text Box 13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41" name="Text Box 13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42" name="Text Box 13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43" name="Text Box 13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44" name="Text Box 13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45" name="Text Box 13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46" name="Text Box 13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47" name="Text Box 13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48" name="Text Box 13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49" name="Text Box 13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50" name="Text Box 13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51" name="Text Box 13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52" name="Text Box 13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53" name="Text Box 13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54" name="Text Box 13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55" name="Text Box 13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56" name="Text Box 13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57" name="Text Box 13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58" name="Text Box 13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59" name="Text Box 13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60" name="Text Box 13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61" name="Text Box 13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62" name="Text Box 13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63" name="Text Box 13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64" name="Text Box 13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65" name="Text Box 13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66" name="Text Box 13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67" name="Text Box 13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68" name="Text Box 13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69" name="Text Box 13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70" name="Text Box 13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71" name="Text Box 13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72" name="Text Box 13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73" name="Text Box 13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74" name="Text Box 13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75" name="Text Box 13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76" name="Text Box 13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77" name="Text Box 13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78" name="Text Box 13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79" name="Text Box 13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80" name="Text Box 13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81" name="Text Box 13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82" name="Text Box 13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83" name="Text Box 13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84" name="Text Box 13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85" name="Text Box 13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86" name="Text Box 13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87" name="Text Box 13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88" name="Text Box 13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89" name="Text Box 13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90" name="Text Box 13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91" name="Text Box 13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92" name="Text Box 13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93" name="Text Box 13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94" name="Text Box 13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95" name="Text Box 13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96" name="Text Box 13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97" name="Text Box 13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98" name="Text Box 13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199" name="Text Box 13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00" name="Text Box 13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01" name="Text Box 13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02" name="Text Box 13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03" name="Text Box 13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04" name="Text Box 13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05" name="Text Box 13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06" name="Text Box 13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07" name="Text Box 13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08" name="Text Box 13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09" name="Text Box 13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10" name="Text Box 13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11" name="Text Box 13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12" name="Text Box 13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13" name="Text Box 13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14" name="Text Box 13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15" name="Text Box 13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16" name="Text Box 13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17" name="Text Box 13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18" name="Text Box 13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19" name="Text Box 14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20" name="Text Box 14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21" name="Text Box 14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22" name="Text Box 14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23" name="Text Box 14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24" name="Text Box 14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25" name="Text Box 14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26" name="Text Box 14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27" name="Text Box 14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28" name="Text Box 14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29" name="Text Box 14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30" name="Text Box 14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31" name="Text Box 14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32" name="Text Box 14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33" name="Text Box 14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34" name="Text Box 14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35" name="Text Box 14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36" name="Text Box 14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37" name="Text Box 14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38" name="Text Box 14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39" name="Text Box 14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40" name="Text Box 14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41" name="Text Box 14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42" name="Text Box 14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43" name="Text Box 14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44" name="Text Box 14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45" name="Text Box 14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46" name="Text Box 14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47" name="Text Box 14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48" name="Text Box 14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49" name="Text Box 14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50" name="Text Box 14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51" name="Text Box 14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52" name="Text Box 14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53" name="Text Box 14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54" name="Text Box 14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55" name="Text Box 14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56" name="Text Box 14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57" name="Text Box 14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58" name="Text Box 14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59" name="Text Box 14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60" name="Text Box 14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61" name="Text Box 14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62" name="Text Box 14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63" name="Text Box 14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64" name="Text Box 14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65" name="Text Box 14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66" name="Text Box 14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67" name="Text Box 14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68" name="Text Box 14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69" name="Text Box 14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70" name="Text Box 14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71" name="Text Box 14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72" name="Text Box 14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73" name="Text Box 14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74" name="Text Box 14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75" name="Text Box 14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76" name="Text Box 14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77" name="Text Box 14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78" name="Text Box 14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79" name="Text Box 14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80" name="Text Box 14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81" name="Text Box 14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82" name="Text Box 14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83" name="Text Box 14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84" name="Text Box 14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85" name="Text Box 14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86" name="Text Box 14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87" name="Text Box 14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88" name="Text Box 14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89" name="Text Box 14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90" name="Text Box 14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91" name="Text Box 14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92" name="Text Box 14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93" name="Text Box 14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94" name="Text Box 14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95" name="Text Box 14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96" name="Text Box 14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97" name="Text Box 14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98" name="Text Box 14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299" name="Text Box 14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00" name="Text Box 14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01" name="Text Box 14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02" name="Text Box 14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03" name="Text Box 14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04" name="Text Box 14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05" name="Text Box 14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06" name="Text Box 14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07" name="Text Box 14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08" name="Text Box 14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09" name="Text Box 14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10" name="Text Box 14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11" name="Text Box 14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12" name="Text Box 14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13" name="Text Box 14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14" name="Text Box 14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15" name="Text Box 14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16" name="Text Box 14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17" name="Text Box 14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18" name="Text Box 14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19" name="Text Box 15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20" name="Text Box 15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21" name="Text Box 15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22" name="Text Box 15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23" name="Text Box 15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24" name="Text Box 15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25" name="Text Box 15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26" name="Text Box 15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27" name="Text Box 15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28" name="Text Box 15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29" name="Text Box 15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30" name="Text Box 15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31" name="Text Box 15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32" name="Text Box 15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33" name="Text Box 15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34" name="Text Box 15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35" name="Text Box 15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36" name="Text Box 15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37" name="Text Box 15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38" name="Text Box 15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39" name="Text Box 15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40" name="Text Box 15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41" name="Text Box 15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42" name="Text Box 15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43" name="Text Box 15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44" name="Text Box 15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45" name="Text Box 15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46" name="Text Box 15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47" name="Text Box 15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48" name="Text Box 15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49" name="Text Box 15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50" name="Text Box 15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51" name="Text Box 15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52" name="Text Box 15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53" name="Text Box 15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54" name="Text Box 15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55" name="Text Box 15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56" name="Text Box 15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57" name="Text Box 15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58" name="Text Box 15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59" name="Text Box 15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60" name="Text Box 15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61" name="Text Box 15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62" name="Text Box 15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63" name="Text Box 15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64" name="Text Box 15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65" name="Text Box 15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66" name="Text Box 15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67" name="Text Box 15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68" name="Text Box 15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69" name="Text Box 15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70" name="Text Box 15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71" name="Text Box 15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72" name="Text Box 15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73" name="Text Box 15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74" name="Text Box 15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75" name="Text Box 15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76" name="Text Box 15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77" name="Text Box 15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78" name="Text Box 15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79" name="Text Box 15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80" name="Text Box 15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81" name="Text Box 15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82" name="Text Box 15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83" name="Text Box 15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84" name="Text Box 15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85" name="Text Box 15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86" name="Text Box 15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87" name="Text Box 15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88" name="Text Box 15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89" name="Text Box 15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90" name="Text Box 15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91" name="Text Box 15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92" name="Text Box 15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93" name="Text Box 15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94" name="Text Box 15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95" name="Text Box 15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96" name="Text Box 15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97" name="Text Box 15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98" name="Text Box 15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399" name="Text Box 15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00" name="Text Box 15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01" name="Text Box 15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02" name="Text Box 15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03" name="Text Box 15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04" name="Text Box 15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05" name="Text Box 15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06" name="Text Box 15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07" name="Text Box 15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08" name="Text Box 15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09" name="Text Box 15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10" name="Text Box 15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11" name="Text Box 15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12" name="Text Box 15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13" name="Text Box 15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14" name="Text Box 15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15" name="Text Box 15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16" name="Text Box 15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17" name="Text Box 15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18" name="Text Box 15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19" name="Text Box 16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20" name="Text Box 16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21" name="Text Box 16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22" name="Text Box 16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23" name="Text Box 16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24" name="Text Box 16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25" name="Text Box 16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26" name="Text Box 16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27" name="Text Box 16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28" name="Text Box 16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29" name="Text Box 16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30" name="Text Box 16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31" name="Text Box 16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32" name="Text Box 16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33" name="Text Box 16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34" name="Text Box 16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35" name="Text Box 16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36" name="Text Box 16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37" name="Text Box 16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38" name="Text Box 16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39" name="Text Box 16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40" name="Text Box 16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41" name="Text Box 16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42" name="Text Box 16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43" name="Text Box 16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44" name="Text Box 16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45" name="Text Box 16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46" name="Text Box 16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47" name="Text Box 16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48" name="Text Box 16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49" name="Text Box 16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50" name="Text Box 16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51" name="Text Box 16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52" name="Text Box 16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53" name="Text Box 16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54" name="Text Box 16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55" name="Text Box 16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56" name="Text Box 16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57" name="Text Box 16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58" name="Text Box 16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59" name="Text Box 16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60" name="Text Box 16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61" name="Text Box 16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62" name="Text Box 16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63" name="Text Box 16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64" name="Text Box 16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65" name="Text Box 16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66" name="Text Box 16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67" name="Text Box 16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68" name="Text Box 16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69" name="Text Box 16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70" name="Text Box 16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71" name="Text Box 16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72" name="Text Box 16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73" name="Text Box 16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74" name="Text Box 16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75" name="Text Box 16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76" name="Text Box 16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77" name="Text Box 16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78" name="Text Box 16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79" name="Text Box 16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80" name="Text Box 16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81" name="Text Box 16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82" name="Text Box 16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83" name="Text Box 16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84" name="Text Box 16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85" name="Text Box 16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86" name="Text Box 16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87" name="Text Box 16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88" name="Text Box 16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89" name="Text Box 16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90" name="Text Box 16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91" name="Text Box 16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92" name="Text Box 16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93" name="Text Box 16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94" name="Text Box 16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95" name="Text Box 16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96" name="Text Box 16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97" name="Text Box 16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98" name="Text Box 16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499" name="Text Box 16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00" name="Text Box 16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01" name="Text Box 16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02" name="Text Box 16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03" name="Text Box 16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04" name="Text Box 16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05" name="Text Box 16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06" name="Text Box 16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07" name="Text Box 16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08" name="Text Box 16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09" name="Text Box 16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10" name="Text Box 16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11" name="Text Box 16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12" name="Text Box 16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13" name="Text Box 16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14" name="Text Box 16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15" name="Text Box 16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16" name="Text Box 16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17" name="Text Box 16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18" name="Text Box 16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19" name="Text Box 17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20" name="Text Box 17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21" name="Text Box 17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22" name="Text Box 17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23" name="Text Box 17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24" name="Text Box 17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25" name="Text Box 17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26" name="Text Box 17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27" name="Text Box 17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28" name="Text Box 17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29" name="Text Box 17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30" name="Text Box 17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31" name="Text Box 17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32" name="Text Box 17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33" name="Text Box 17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34" name="Text Box 17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35" name="Text Box 17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36" name="Text Box 17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37" name="Text Box 17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38" name="Text Box 17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39" name="Text Box 17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40" name="Text Box 17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41" name="Text Box 17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42" name="Text Box 17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43" name="Text Box 17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44" name="Text Box 17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45" name="Text Box 17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46" name="Text Box 17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47" name="Text Box 17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48" name="Text Box 17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49" name="Text Box 17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50" name="Text Box 17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51" name="Text Box 17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52" name="Text Box 17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53" name="Text Box 17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54" name="Text Box 17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55" name="Text Box 17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56" name="Text Box 17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57" name="Text Box 17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58" name="Text Box 17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59" name="Text Box 17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60" name="Text Box 17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61" name="Text Box 17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62" name="Text Box 17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63" name="Text Box 17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64" name="Text Box 17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65" name="Text Box 17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66" name="Text Box 17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67" name="Text Box 17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68" name="Text Box 17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69" name="Text Box 17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70" name="Text Box 17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71" name="Text Box 17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72" name="Text Box 17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73" name="Text Box 17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74" name="Text Box 17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75" name="Text Box 17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76" name="Text Box 17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77" name="Text Box 17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78" name="Text Box 17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79" name="Text Box 17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80" name="Text Box 17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81" name="Text Box 17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82" name="Text Box 17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83" name="Text Box 17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84" name="Text Box 17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85" name="Text Box 17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86" name="Text Box 17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87" name="Text Box 17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88" name="Text Box 17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89" name="Text Box 17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90" name="Text Box 17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91" name="Text Box 17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92" name="Text Box 17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93" name="Text Box 17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94" name="Text Box 17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95" name="Text Box 17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96" name="Text Box 17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97" name="Text Box 17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98" name="Text Box 17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599" name="Text Box 17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00" name="Text Box 17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01" name="Text Box 17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02" name="Text Box 17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03" name="Text Box 17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04" name="Text Box 17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05" name="Text Box 17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06" name="Text Box 17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07" name="Text Box 17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08" name="Text Box 17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09" name="Text Box 17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10" name="Text Box 17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11" name="Text Box 17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12" name="Text Box 17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13" name="Text Box 17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14" name="Text Box 17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15" name="Text Box 17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16" name="Text Box 17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17" name="Text Box 17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18" name="Text Box 17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19" name="Text Box 18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20" name="Text Box 18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21" name="Text Box 18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22" name="Text Box 18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23" name="Text Box 18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24" name="Text Box 18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25" name="Text Box 18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26" name="Text Box 18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27" name="Text Box 18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28" name="Text Box 18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29" name="Text Box 18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30" name="Text Box 18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31" name="Text Box 18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32" name="Text Box 18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33" name="Text Box 18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34" name="Text Box 18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35" name="Text Box 18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36" name="Text Box 18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37" name="Text Box 18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38" name="Text Box 18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39" name="Text Box 18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40" name="Text Box 18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41" name="Text Box 18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42" name="Text Box 18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43" name="Text Box 18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44" name="Text Box 18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45" name="Text Box 18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46" name="Text Box 18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47" name="Text Box 18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48" name="Text Box 18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49" name="Text Box 18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50" name="Text Box 18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51" name="Text Box 18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52" name="Text Box 18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53" name="Text Box 18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54" name="Text Box 18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55" name="Text Box 18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56" name="Text Box 18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57" name="Text Box 18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58" name="Text Box 18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59" name="Text Box 18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60" name="Text Box 18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61" name="Text Box 18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62" name="Text Box 18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63" name="Text Box 18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64" name="Text Box 18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65" name="Text Box 18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66" name="Text Box 18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67" name="Text Box 18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68" name="Text Box 18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69" name="Text Box 18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70" name="Text Box 18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71" name="Text Box 18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72" name="Text Box 18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73" name="Text Box 18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74" name="Text Box 18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75" name="Text Box 18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76" name="Text Box 18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77" name="Text Box 18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78" name="Text Box 18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79" name="Text Box 18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80" name="Text Box 18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81" name="Text Box 18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82" name="Text Box 18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83" name="Text Box 18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84" name="Text Box 18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85" name="Text Box 18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86" name="Text Box 18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87" name="Text Box 18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88" name="Text Box 18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89" name="Text Box 18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90" name="Text Box 18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91" name="Text Box 18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92" name="Text Box 18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93" name="Text Box 18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94" name="Text Box 18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95" name="Text Box 18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96" name="Text Box 18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97" name="Text Box 18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98" name="Text Box 18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699" name="Text Box 18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00" name="Text Box 18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01" name="Text Box 18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02" name="Text Box 18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03" name="Text Box 18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04" name="Text Box 18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05" name="Text Box 18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06" name="Text Box 18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07" name="Text Box 18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08" name="Text Box 18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09" name="Text Box 18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10" name="Text Box 18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11" name="Text Box 18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12" name="Text Box 18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13" name="Text Box 18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14" name="Text Box 18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15" name="Text Box 18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16" name="Text Box 18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17" name="Text Box 18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18" name="Text Box 18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19" name="Text Box 19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20" name="Text Box 19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21" name="Text Box 19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22" name="Text Box 19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23" name="Text Box 19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24" name="Text Box 19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25" name="Text Box 19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26" name="Text Box 19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27" name="Text Box 19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28" name="Text Box 19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29" name="Text Box 19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30" name="Text Box 19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31" name="Text Box 19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32" name="Text Box 19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33" name="Text Box 19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34" name="Text Box 19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35" name="Text Box 19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36" name="Text Box 19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37" name="Text Box 19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38" name="Text Box 19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39" name="Text Box 19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40" name="Text Box 19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41" name="Text Box 19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42" name="Text Box 19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43" name="Text Box 19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44" name="Text Box 19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45" name="Text Box 19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46" name="Text Box 19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47" name="Text Box 19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48" name="Text Box 19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49" name="Text Box 19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50" name="Text Box 19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51" name="Text Box 19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52" name="Text Box 19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53" name="Text Box 19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54" name="Text Box 19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55" name="Text Box 19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56" name="Text Box 19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57" name="Text Box 19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58" name="Text Box 19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59" name="Text Box 19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0" name="Text Box 19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1" name="Text Box 19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2" name="Text Box 19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3" name="Text Box 19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4" name="Text Box 19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5" name="Text Box 19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6" name="Text Box 19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7" name="Text Box 19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8" name="Text Box 19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69" name="Text Box 19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0" name="Text Box 19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1" name="Text Box 19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2" name="Text Box 19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3" name="Text Box 19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4" name="Text Box 19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5" name="Text Box 19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6" name="Text Box 19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7" name="Text Box 19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8" name="Text Box 19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79" name="Text Box 19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0" name="Text Box 19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1" name="Text Box 19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2" name="Text Box 19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3" name="Text Box 19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4" name="Text Box 19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5" name="Text Box 19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6" name="Text Box 19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7" name="Text Box 19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8" name="Text Box 19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89" name="Text Box 19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0" name="Text Box 19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1" name="Text Box 19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2" name="Text Box 19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3" name="Text Box 19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4" name="Text Box 19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5" name="Text Box 19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6" name="Text Box 19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7" name="Text Box 19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8" name="Text Box 19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799" name="Text Box 19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00" name="Text Box 19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01" name="Text Box 19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02" name="Text Box 19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03" name="Text Box 19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04" name="Text Box 19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05" name="Text Box 19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06" name="Text Box 19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07" name="Text Box 19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08" name="Text Box 19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09" name="Text Box 19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10" name="Text Box 19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11" name="Text Box 19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12" name="Text Box 19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13" name="Text Box 19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14" name="Text Box 19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15" name="Text Box 19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16" name="Text Box 19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17" name="Text Box 19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18" name="Text Box 19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19" name="Text Box 20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20" name="Text Box 20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21" name="Text Box 20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22" name="Text Box 20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23" name="Text Box 20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24" name="Text Box 20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25" name="Text Box 20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26" name="Text Box 20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27" name="Text Box 20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28" name="Text Box 20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29" name="Text Box 20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30" name="Text Box 20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31" name="Text Box 20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32" name="Text Box 20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33" name="Text Box 20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34" name="Text Box 20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35" name="Text Box 20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36" name="Text Box 20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37" name="Text Box 20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38" name="Text Box 20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39" name="Text Box 20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40" name="Text Box 20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41" name="Text Box 20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42" name="Text Box 20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43" name="Text Box 20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44" name="Text Box 20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45" name="Text Box 20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46" name="Text Box 20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47" name="Text Box 20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48" name="Text Box 20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49" name="Text Box 20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50" name="Text Box 20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51" name="Text Box 20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52" name="Text Box 20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53" name="Text Box 20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54" name="Text Box 20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55" name="Text Box 20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56" name="Text Box 20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57" name="Text Box 20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58" name="Text Box 20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59" name="Text Box 20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60" name="Text Box 20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61" name="Text Box 20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62" name="Text Box 20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63" name="Text Box 20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64" name="Text Box 20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65" name="Text Box 20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66" name="Text Box 20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67" name="Text Box 20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68" name="Text Box 20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69" name="Text Box 20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70" name="Text Box 20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71" name="Text Box 20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72" name="Text Box 20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73" name="Text Box 20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74" name="Text Box 20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75" name="Text Box 20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76" name="Text Box 20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77" name="Text Box 20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78" name="Text Box 20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79" name="Text Box 20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80" name="Text Box 20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81" name="Text Box 20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82" name="Text Box 20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83" name="Text Box 20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84" name="Text Box 20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85" name="Text Box 20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86" name="Text Box 20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87" name="Text Box 20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88" name="Text Box 20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89" name="Text Box 20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90" name="Text Box 20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91" name="Text Box 20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92" name="Text Box 20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93" name="Text Box 20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94" name="Text Box 20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95" name="Text Box 20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96" name="Text Box 20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97" name="Text Box 20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98" name="Text Box 20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899" name="Text Box 20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00" name="Text Box 20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01" name="Text Box 20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02" name="Text Box 20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03" name="Text Box 20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04" name="Text Box 20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05" name="Text Box 20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06" name="Text Box 20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07" name="Text Box 20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08" name="Text Box 20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09" name="Text Box 20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10" name="Text Box 20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11" name="Text Box 20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12" name="Text Box 20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13" name="Text Box 20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14" name="Text Box 20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15" name="Text Box 20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16" name="Text Box 20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17" name="Text Box 20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18" name="Text Box 20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19" name="Text Box 21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20" name="Text Box 21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21" name="Text Box 21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22" name="Text Box 21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23" name="Text Box 21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24" name="Text Box 21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25" name="Text Box 21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26" name="Text Box 21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27" name="Text Box 21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28" name="Text Box 21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29" name="Text Box 21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30" name="Text Box 21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31" name="Text Box 21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32" name="Text Box 21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33" name="Text Box 21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34" name="Text Box 21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35" name="Text Box 21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36" name="Text Box 21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37" name="Text Box 21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38" name="Text Box 21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39" name="Text Box 21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40" name="Text Box 21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41" name="Text Box 21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42" name="Text Box 21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43" name="Text Box 21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44" name="Text Box 21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45" name="Text Box 21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46" name="Text Box 21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47" name="Text Box 21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48" name="Text Box 21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49" name="Text Box 21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50" name="Text Box 21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51" name="Text Box 21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52" name="Text Box 21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53" name="Text Box 21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54" name="Text Box 21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55" name="Text Box 21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56" name="Text Box 21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57" name="Text Box 21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58" name="Text Box 21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59" name="Text Box 21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60" name="Text Box 21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61" name="Text Box 21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62" name="Text Box 21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63" name="Text Box 21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64" name="Text Box 21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65" name="Text Box 21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66" name="Text Box 21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67" name="Text Box 21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68" name="Text Box 21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69" name="Text Box 21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70" name="Text Box 21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71" name="Text Box 21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72" name="Text Box 21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73" name="Text Box 21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74" name="Text Box 21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75" name="Text Box 21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76" name="Text Box 21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77" name="Text Box 21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78" name="Text Box 21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79" name="Text Box 21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80" name="Text Box 21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81" name="Text Box 21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82" name="Text Box 21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83" name="Text Box 21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84" name="Text Box 21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85" name="Text Box 21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86" name="Text Box 21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87" name="Text Box 21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88" name="Text Box 21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89" name="Text Box 21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90" name="Text Box 21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91" name="Text Box 21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92" name="Text Box 21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93" name="Text Box 21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94" name="Text Box 21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95" name="Text Box 21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96" name="Text Box 21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97" name="Text Box 21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98" name="Text Box 21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3999" name="Text Box 21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00" name="Text Box 21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01" name="Text Box 21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02" name="Text Box 21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03" name="Text Box 21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04" name="Text Box 21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05" name="Text Box 21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06" name="Text Box 21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07" name="Text Box 21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08" name="Text Box 21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09" name="Text Box 21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10" name="Text Box 21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11" name="Text Box 21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12" name="Text Box 21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13" name="Text Box 21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14" name="Text Box 21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15" name="Text Box 21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16" name="Text Box 21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17" name="Text Box 21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18" name="Text Box 21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19" name="Text Box 22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20" name="Text Box 22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21" name="Text Box 22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22" name="Text Box 22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23" name="Text Box 22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24" name="Text Box 22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25" name="Text Box 22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26" name="Text Box 22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27" name="Text Box 22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28" name="Text Box 22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29" name="Text Box 22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30" name="Text Box 22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31" name="Text Box 22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32" name="Text Box 22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33" name="Text Box 22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34" name="Text Box 22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35" name="Text Box 22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36" name="Text Box 22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37" name="Text Box 22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38" name="Text Box 22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39" name="Text Box 22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40" name="Text Box 22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41" name="Text Box 22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42" name="Text Box 22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43" name="Text Box 22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44" name="Text Box 22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45" name="Text Box 22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46" name="Text Box 22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47" name="Text Box 22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48" name="Text Box 22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49" name="Text Box 22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50" name="Text Box 22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51" name="Text Box 22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52" name="Text Box 22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53" name="Text Box 22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54" name="Text Box 22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55" name="Text Box 22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56" name="Text Box 22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57" name="Text Box 22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58" name="Text Box 22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59" name="Text Box 22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60" name="Text Box 22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61" name="Text Box 22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62" name="Text Box 22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63" name="Text Box 22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64" name="Text Box 22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65" name="Text Box 22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66" name="Text Box 22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67" name="Text Box 22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68" name="Text Box 22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69" name="Text Box 22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70" name="Text Box 22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71" name="Text Box 22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72" name="Text Box 22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73" name="Text Box 22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74" name="Text Box 22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75" name="Text Box 22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76" name="Text Box 22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77" name="Text Box 22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78" name="Text Box 22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79" name="Text Box 22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80" name="Text Box 22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81" name="Text Box 22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82" name="Text Box 22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83" name="Text Box 22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84" name="Text Box 22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85" name="Text Box 22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86" name="Text Box 22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87" name="Text Box 22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88" name="Text Box 22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89" name="Text Box 22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90" name="Text Box 22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91" name="Text Box 22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92" name="Text Box 22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93" name="Text Box 22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94" name="Text Box 22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95" name="Text Box 22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96" name="Text Box 22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97" name="Text Box 22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98" name="Text Box 22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099" name="Text Box 22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00" name="Text Box 22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01" name="Text Box 22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02" name="Text Box 22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03" name="Text Box 22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04" name="Text Box 22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05" name="Text Box 22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06" name="Text Box 22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07" name="Text Box 22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08" name="Text Box 22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09" name="Text Box 22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10" name="Text Box 22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11" name="Text Box 22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12" name="Text Box 22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13" name="Text Box 22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14" name="Text Box 22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15" name="Text Box 22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16" name="Text Box 22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17" name="Text Box 22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18" name="Text Box 22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19" name="Text Box 23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20" name="Text Box 23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21" name="Text Box 23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22" name="Text Box 23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23" name="Text Box 23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24" name="Text Box 23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25" name="Text Box 23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26" name="Text Box 23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27" name="Text Box 23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28" name="Text Box 23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29" name="Text Box 23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30" name="Text Box 23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31" name="Text Box 23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32" name="Text Box 23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33" name="Text Box 23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34" name="Text Box 23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35" name="Text Box 23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36" name="Text Box 23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37" name="Text Box 23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38" name="Text Box 23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39" name="Text Box 23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40" name="Text Box 23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41" name="Text Box 23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42" name="Text Box 23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43" name="Text Box 23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44" name="Text Box 23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45" name="Text Box 23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46" name="Text Box 23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47" name="Text Box 23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48" name="Text Box 23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49" name="Text Box 23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50" name="Text Box 23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51" name="Text Box 23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52" name="Text Box 23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53" name="Text Box 23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54" name="Text Box 23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55" name="Text Box 23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56" name="Text Box 23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57" name="Text Box 23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58" name="Text Box 23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59" name="Text Box 23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60" name="Text Box 23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61" name="Text Box 23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62" name="Text Box 23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63" name="Text Box 23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64" name="Text Box 23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65" name="Text Box 23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66" name="Text Box 23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67" name="Text Box 23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68" name="Text Box 23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69" name="Text Box 23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70" name="Text Box 23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71" name="Text Box 23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72" name="Text Box 23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73" name="Text Box 23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74" name="Text Box 23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75" name="Text Box 23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76" name="Text Box 23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77" name="Text Box 23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78" name="Text Box 23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79" name="Text Box 23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80" name="Text Box 23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81" name="Text Box 23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82" name="Text Box 23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83" name="Text Box 23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84" name="Text Box 23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85" name="Text Box 23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86" name="Text Box 23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87" name="Text Box 23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88" name="Text Box 23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89" name="Text Box 23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90" name="Text Box 23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91" name="Text Box 23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92" name="Text Box 23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93" name="Text Box 23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94" name="Text Box 23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95" name="Text Box 23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96" name="Text Box 23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97" name="Text Box 23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98" name="Text Box 23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199" name="Text Box 23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00" name="Text Box 23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01" name="Text Box 23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02" name="Text Box 23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03" name="Text Box 23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04" name="Text Box 23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05" name="Text Box 23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06" name="Text Box 23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07" name="Text Box 23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08" name="Text Box 23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09" name="Text Box 23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10" name="Text Box 23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11" name="Text Box 23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12" name="Text Box 23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13" name="Text Box 23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14" name="Text Box 23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15" name="Text Box 23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16" name="Text Box 23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17" name="Text Box 23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18" name="Text Box 23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19" name="Text Box 24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20" name="Text Box 24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21" name="Text Box 24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22" name="Text Box 24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23" name="Text Box 24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24" name="Text Box 24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25" name="Text Box 24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26" name="Text Box 24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27" name="Text Box 24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28" name="Text Box 24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29" name="Text Box 24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30" name="Text Box 24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31" name="Text Box 24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32" name="Text Box 24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33" name="Text Box 24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34" name="Text Box 24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35" name="Text Box 24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36" name="Text Box 24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37" name="Text Box 24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38" name="Text Box 24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39" name="Text Box 24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40" name="Text Box 24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41" name="Text Box 24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42" name="Text Box 24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43" name="Text Box 24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44" name="Text Box 24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45" name="Text Box 24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46" name="Text Box 24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47" name="Text Box 24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48" name="Text Box 24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49" name="Text Box 24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50" name="Text Box 24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51" name="Text Box 24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52" name="Text Box 24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53" name="Text Box 24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54" name="Text Box 24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55" name="Text Box 24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56" name="Text Box 24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57" name="Text Box 24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58" name="Text Box 24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59" name="Text Box 24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60" name="Text Box 24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61" name="Text Box 24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62" name="Text Box 24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63" name="Text Box 24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64" name="Text Box 24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65" name="Text Box 24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66" name="Text Box 24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67" name="Text Box 24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68" name="Text Box 24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69" name="Text Box 24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70" name="Text Box 24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71" name="Text Box 24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72" name="Text Box 24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73" name="Text Box 24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74" name="Text Box 24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75" name="Text Box 24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76" name="Text Box 24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77" name="Text Box 24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78" name="Text Box 24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79" name="Text Box 24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80" name="Text Box 24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81" name="Text Box 24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82" name="Text Box 24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83" name="Text Box 24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84" name="Text Box 24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85" name="Text Box 24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86" name="Text Box 24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87" name="Text Box 24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88" name="Text Box 24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89" name="Text Box 24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90" name="Text Box 24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91" name="Text Box 24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92" name="Text Box 24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93" name="Text Box 24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94" name="Text Box 24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95" name="Text Box 24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96" name="Text Box 24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97" name="Text Box 24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98" name="Text Box 24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299" name="Text Box 24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00" name="Text Box 24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01" name="Text Box 24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02" name="Text Box 24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03" name="Text Box 24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04" name="Text Box 24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05" name="Text Box 24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06" name="Text Box 24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07" name="Text Box 24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08" name="Text Box 24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09" name="Text Box 24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10" name="Text Box 24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11" name="Text Box 24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12" name="Text Box 24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13" name="Text Box 24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14" name="Text Box 24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15" name="Text Box 24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16" name="Text Box 24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17" name="Text Box 24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18" name="Text Box 24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19" name="Text Box 25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20" name="Text Box 25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21" name="Text Box 25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22" name="Text Box 25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23" name="Text Box 25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24" name="Text Box 25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25" name="Text Box 25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26" name="Text Box 25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27" name="Text Box 25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28" name="Text Box 25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29" name="Text Box 25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30" name="Text Box 25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31" name="Text Box 25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32" name="Text Box 25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33" name="Text Box 25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34" name="Text Box 25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35" name="Text Box 25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36" name="Text Box 25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37" name="Text Box 25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38" name="Text Box 25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39" name="Text Box 25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40" name="Text Box 25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41" name="Text Box 25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42" name="Text Box 25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43" name="Text Box 25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44" name="Text Box 25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45" name="Text Box 25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46" name="Text Box 25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47" name="Text Box 25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48" name="Text Box 25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49" name="Text Box 25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50" name="Text Box 25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51" name="Text Box 25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52" name="Text Box 25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53" name="Text Box 25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54" name="Text Box 25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55" name="Text Box 25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56" name="Text Box 25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57" name="Text Box 25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58" name="Text Box 25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59" name="Text Box 25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60" name="Text Box 25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61" name="Text Box 25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62" name="Text Box 25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63" name="Text Box 25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64" name="Text Box 25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65" name="Text Box 25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66" name="Text Box 25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67" name="Text Box 25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68" name="Text Box 25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69" name="Text Box 25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70" name="Text Box 25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71" name="Text Box 25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72" name="Text Box 25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73" name="Text Box 25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74" name="Text Box 25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75" name="Text Box 25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76" name="Text Box 25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77" name="Text Box 25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78" name="Text Box 25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79" name="Text Box 25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80" name="Text Box 25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81" name="Text Box 25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82" name="Text Box 25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83" name="Text Box 25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84" name="Text Box 25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85" name="Text Box 25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86" name="Text Box 25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87" name="Text Box 25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88" name="Text Box 25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89" name="Text Box 25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90" name="Text Box 25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91" name="Text Box 25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92" name="Text Box 25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93" name="Text Box 25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94" name="Text Box 25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95" name="Text Box 25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96" name="Text Box 25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97" name="Text Box 25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98" name="Text Box 25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399" name="Text Box 25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00" name="Text Box 25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01" name="Text Box 25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02" name="Text Box 25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03" name="Text Box 25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04" name="Text Box 25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05" name="Text Box 25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06" name="Text Box 25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07" name="Text Box 25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08" name="Text Box 25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09" name="Text Box 25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10" name="Text Box 25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11" name="Text Box 25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12" name="Text Box 25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13" name="Text Box 25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14" name="Text Box 25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15" name="Text Box 25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16" name="Text Box 25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17" name="Text Box 25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18" name="Text Box 25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19" name="Text Box 26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20" name="Text Box 26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21" name="Text Box 26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22" name="Text Box 26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23" name="Text Box 26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24" name="Text Box 26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25" name="Text Box 26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26" name="Text Box 26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27" name="Text Box 26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28" name="Text Box 26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29" name="Text Box 26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30" name="Text Box 26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31" name="Text Box 26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32" name="Text Box 26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33" name="Text Box 26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34" name="Text Box 26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35" name="Text Box 26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36" name="Text Box 26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37" name="Text Box 26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38" name="Text Box 26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39" name="Text Box 26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40" name="Text Box 26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41" name="Text Box 26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42" name="Text Box 26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43" name="Text Box 26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44" name="Text Box 26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45" name="Text Box 26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46" name="Text Box 26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47" name="Text Box 26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48" name="Text Box 26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49" name="Text Box 26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50" name="Text Box 26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51" name="Text Box 26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52" name="Text Box 26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53" name="Text Box 26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54" name="Text Box 26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55" name="Text Box 26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56" name="Text Box 26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57" name="Text Box 26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58" name="Text Box 26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59" name="Text Box 26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60" name="Text Box 26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61" name="Text Box 26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62" name="Text Box 26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63" name="Text Box 26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64" name="Text Box 26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65" name="Text Box 26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66" name="Text Box 26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67" name="Text Box 26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68" name="Text Box 26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69" name="Text Box 26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70" name="Text Box 26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71" name="Text Box 26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72" name="Text Box 26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73" name="Text Box 26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74" name="Text Box 26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75" name="Text Box 26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76" name="Text Box 26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77" name="Text Box 26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78" name="Text Box 26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79" name="Text Box 26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80" name="Text Box 26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81" name="Text Box 26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82" name="Text Box 26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83" name="Text Box 26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84" name="Text Box 26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85" name="Text Box 26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86" name="Text Box 26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87" name="Text Box 26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88" name="Text Box 26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89" name="Text Box 26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90" name="Text Box 26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91" name="Text Box 26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92" name="Text Box 26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93" name="Text Box 26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94" name="Text Box 26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95" name="Text Box 26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96" name="Text Box 26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97" name="Text Box 26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98" name="Text Box 26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499" name="Text Box 26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00" name="Text Box 26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01" name="Text Box 26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02" name="Text Box 26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03" name="Text Box 26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04" name="Text Box 26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05" name="Text Box 26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06" name="Text Box 26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07" name="Text Box 26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08" name="Text Box 26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09" name="Text Box 26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10" name="Text Box 26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11" name="Text Box 26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12" name="Text Box 26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13" name="Text Box 26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14" name="Text Box 26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15" name="Text Box 26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16" name="Text Box 26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17" name="Text Box 26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18" name="Text Box 26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19" name="Text Box 27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20" name="Text Box 27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21" name="Text Box 27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22" name="Text Box 27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23" name="Text Box 27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24" name="Text Box 27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25" name="Text Box 27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26" name="Text Box 27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27" name="Text Box 27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28" name="Text Box 27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29" name="Text Box 27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30" name="Text Box 27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31" name="Text Box 27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32" name="Text Box 27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33" name="Text Box 27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34" name="Text Box 27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35" name="Text Box 27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36" name="Text Box 27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37" name="Text Box 27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38" name="Text Box 27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39" name="Text Box 27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40" name="Text Box 27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41" name="Text Box 27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42" name="Text Box 27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43" name="Text Box 27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44" name="Text Box 27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45" name="Text Box 27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46" name="Text Box 27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47" name="Text Box 27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48" name="Text Box 27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49" name="Text Box 27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50" name="Text Box 27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51" name="Text Box 27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52" name="Text Box 27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53" name="Text Box 27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54" name="Text Box 27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55" name="Text Box 27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56" name="Text Box 27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57" name="Text Box 27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58" name="Text Box 27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59" name="Text Box 27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60" name="Text Box 27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61" name="Text Box 27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62" name="Text Box 27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63" name="Text Box 27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64" name="Text Box 27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65" name="Text Box 27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66" name="Text Box 27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67" name="Text Box 27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68" name="Text Box 27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69" name="Text Box 27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70" name="Text Box 27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71" name="Text Box 27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72" name="Text Box 27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73" name="Text Box 27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74" name="Text Box 27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75" name="Text Box 27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76" name="Text Box 27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77" name="Text Box 27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78" name="Text Box 27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79" name="Text Box 27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80" name="Text Box 27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81" name="Text Box 27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82" name="Text Box 27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83" name="Text Box 27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84" name="Text Box 27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85" name="Text Box 27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86" name="Text Box 27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87" name="Text Box 27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88" name="Text Box 27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89" name="Text Box 27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90" name="Text Box 27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91" name="Text Box 27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92" name="Text Box 27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93" name="Text Box 27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94" name="Text Box 27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95" name="Text Box 27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96" name="Text Box 27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97" name="Text Box 27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98" name="Text Box 27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599" name="Text Box 27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00" name="Text Box 27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01" name="Text Box 27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02" name="Text Box 27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03" name="Text Box 27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04" name="Text Box 27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05" name="Text Box 27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06" name="Text Box 27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07" name="Text Box 27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08" name="Text Box 27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09" name="Text Box 27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10" name="Text Box 27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11" name="Text Box 27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12" name="Text Box 27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13" name="Text Box 27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14" name="Text Box 27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15" name="Text Box 27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16" name="Text Box 27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17" name="Text Box 27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18" name="Text Box 27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19" name="Text Box 28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20" name="Text Box 28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21" name="Text Box 28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22" name="Text Box 28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23" name="Text Box 28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24" name="Text Box 28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25" name="Text Box 28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26" name="Text Box 28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27" name="Text Box 28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28" name="Text Box 28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29" name="Text Box 28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30" name="Text Box 28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31" name="Text Box 28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32" name="Text Box 28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33" name="Text Box 28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34" name="Text Box 28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35" name="Text Box 28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36" name="Text Box 28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37" name="Text Box 28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38" name="Text Box 28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39" name="Text Box 28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40" name="Text Box 28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41" name="Text Box 28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42" name="Text Box 28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43" name="Text Box 28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44" name="Text Box 28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45" name="Text Box 28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46" name="Text Box 28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47" name="Text Box 28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48" name="Text Box 28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49" name="Text Box 28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50" name="Text Box 28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51" name="Text Box 28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52" name="Text Box 28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53" name="Text Box 28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54" name="Text Box 28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55" name="Text Box 28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56" name="Text Box 28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57" name="Text Box 28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58" name="Text Box 28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59" name="Text Box 28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60" name="Text Box 28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61" name="Text Box 28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62" name="Text Box 28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63" name="Text Box 28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64" name="Text Box 28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65" name="Text Box 28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66" name="Text Box 28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67" name="Text Box 28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68" name="Text Box 28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69" name="Text Box 28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70" name="Text Box 28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71" name="Text Box 28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72" name="Text Box 28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73" name="Text Box 28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74" name="Text Box 28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75" name="Text Box 28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76" name="Text Box 28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77" name="Text Box 28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78" name="Text Box 28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79" name="Text Box 28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80" name="Text Box 28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81" name="Text Box 28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82" name="Text Box 28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83" name="Text Box 28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84" name="Text Box 28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85" name="Text Box 28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86" name="Text Box 28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87" name="Text Box 28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88" name="Text Box 28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89" name="Text Box 28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90" name="Text Box 28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91" name="Text Box 28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92" name="Text Box 28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93" name="Text Box 28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94" name="Text Box 28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95" name="Text Box 28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96" name="Text Box 28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97" name="Text Box 28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98" name="Text Box 28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699" name="Text Box 28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00" name="Text Box 28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01" name="Text Box 28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02" name="Text Box 28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03" name="Text Box 28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04" name="Text Box 28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05" name="Text Box 28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06" name="Text Box 28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07" name="Text Box 28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08" name="Text Box 28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09" name="Text Box 28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10" name="Text Box 28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11" name="Text Box 28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12" name="Text Box 28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13" name="Text Box 28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14" name="Text Box 28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15" name="Text Box 28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16" name="Text Box 28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17" name="Text Box 28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18" name="Text Box 289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19" name="Text Box 290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20" name="Text Box 290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21" name="Text Box 290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22" name="Text Box 290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23" name="Text Box 290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24" name="Text Box 290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25" name="Text Box 290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26" name="Text Box 290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27" name="Text Box 290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28" name="Text Box 290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29" name="Text Box 291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30" name="Text Box 291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31" name="Text Box 291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32" name="Text Box 291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33" name="Text Box 291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34" name="Text Box 291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35" name="Text Box 291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36" name="Text Box 291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37" name="Text Box 291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38" name="Text Box 291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39" name="Text Box 292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40" name="Text Box 292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41" name="Text Box 292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42" name="Text Box 292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43" name="Text Box 292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44" name="Text Box 292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45" name="Text Box 292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46" name="Text Box 292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47" name="Text Box 292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48" name="Text Box 292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49" name="Text Box 293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50" name="Text Box 293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51" name="Text Box 293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52" name="Text Box 293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53" name="Text Box 293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54" name="Text Box 293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55" name="Text Box 293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56" name="Text Box 293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57" name="Text Box 293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58" name="Text Box 293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59" name="Text Box 294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60" name="Text Box 294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61" name="Text Box 294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62" name="Text Box 294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63" name="Text Box 294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64" name="Text Box 294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65" name="Text Box 294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66" name="Text Box 294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67" name="Text Box 294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68" name="Text Box 294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69" name="Text Box 295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70" name="Text Box 295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71" name="Text Box 295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72" name="Text Box 295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73" name="Text Box 295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74" name="Text Box 295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75" name="Text Box 295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76" name="Text Box 295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77" name="Text Box 295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78" name="Text Box 295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79" name="Text Box 296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80" name="Text Box 296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81" name="Text Box 296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82" name="Text Box 296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83" name="Text Box 296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84" name="Text Box 296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85" name="Text Box 296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86" name="Text Box 296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87" name="Text Box 296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88" name="Text Box 296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89" name="Text Box 297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90" name="Text Box 297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91" name="Text Box 297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92" name="Text Box 297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93" name="Text Box 297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94" name="Text Box 297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95" name="Text Box 297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96" name="Text Box 297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97" name="Text Box 297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98" name="Text Box 297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799" name="Text Box 298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00" name="Text Box 298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01" name="Text Box 298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02" name="Text Box 298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03" name="Text Box 298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04" name="Text Box 298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05" name="Text Box 298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06" name="Text Box 298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07" name="Text Box 298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08" name="Text Box 2989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09" name="Text Box 2990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10" name="Text Box 2991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11" name="Text Box 2992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12" name="Text Box 2993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13" name="Text Box 2994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14" name="Text Box 2995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15" name="Text Box 2996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16" name="Text Box 2997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4817" name="Text Box 2998"/>
        <xdr:cNvSpPr txBox="1">
          <a:spLocks noChangeArrowheads="1"/>
        </xdr:cNvSpPr>
      </xdr:nvSpPr>
      <xdr:spPr bwMode="auto">
        <a:xfrm>
          <a:off x="165639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18" name="Text Box 11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19" name="Text Box 11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20" name="Text Box 11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21" name="Text Box 11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22" name="Text Box 11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23" name="Text Box 11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24" name="Text Box 11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25" name="Text Box 11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26" name="Text Box 11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27" name="Text Box 11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28" name="Text Box 11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29" name="Text Box 11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30" name="Text Box 11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31" name="Text Box 11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32" name="Text Box 11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33" name="Text Box 11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34" name="Text Box 11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35" name="Text Box 11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36" name="Text Box 11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37" name="Text Box 11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38" name="Text Box 11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39" name="Text Box 11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40" name="Text Box 11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41" name="Text Box 11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42" name="Text Box 11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43" name="Text Box 11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44" name="Text Box 11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45" name="Text Box 11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46" name="Text Box 11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47" name="Text Box 12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48" name="Text Box 12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49" name="Text Box 12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50" name="Text Box 12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51" name="Text Box 12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52" name="Text Box 12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53" name="Text Box 12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54" name="Text Box 12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55" name="Text Box 12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56" name="Text Box 12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57" name="Text Box 12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58" name="Text Box 12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59" name="Text Box 12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60" name="Text Box 12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61" name="Text Box 12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62" name="Text Box 12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63" name="Text Box 12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64" name="Text Box 12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65" name="Text Box 12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66" name="Text Box 12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67" name="Text Box 12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68" name="Text Box 12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69" name="Text Box 12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70" name="Text Box 12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71" name="Text Box 12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72" name="Text Box 12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73" name="Text Box 12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74" name="Text Box 12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75" name="Text Box 12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76" name="Text Box 12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77" name="Text Box 12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78" name="Text Box 12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79" name="Text Box 12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80" name="Text Box 12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81" name="Text Box 12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82" name="Text Box 12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83" name="Text Box 12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84" name="Text Box 12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85" name="Text Box 12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86" name="Text Box 12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87" name="Text Box 12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88" name="Text Box 12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89" name="Text Box 12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90" name="Text Box 12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91" name="Text Box 12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92" name="Text Box 12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93" name="Text Box 12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94" name="Text Box 12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95" name="Text Box 12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96" name="Text Box 12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97" name="Text Box 12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98" name="Text Box 12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899" name="Text Box 12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00" name="Text Box 12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01" name="Text Box 12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02" name="Text Box 12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03" name="Text Box 12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04" name="Text Box 12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05" name="Text Box 12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06" name="Text Box 12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07" name="Text Box 12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08" name="Text Box 12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09" name="Text Box 12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10" name="Text Box 12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11" name="Text Box 12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12" name="Text Box 12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13" name="Text Box 12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14" name="Text Box 12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15" name="Text Box 12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16" name="Text Box 12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17" name="Text Box 12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18" name="Text Box 12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19" name="Text Box 12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20" name="Text Box 12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21" name="Text Box 12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22" name="Text Box 12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23" name="Text Box 12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24" name="Text Box 12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25" name="Text Box 12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26" name="Text Box 12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27" name="Text Box 12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28" name="Text Box 12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29" name="Text Box 12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30" name="Text Box 12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31" name="Text Box 12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32" name="Text Box 12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33" name="Text Box 12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34" name="Text Box 12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35" name="Text Box 12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36" name="Text Box 12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37" name="Text Box 12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38" name="Text Box 12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39" name="Text Box 12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40" name="Text Box 12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41" name="Text Box 12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42" name="Text Box 12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43" name="Text Box 12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44" name="Text Box 12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45" name="Text Box 12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46" name="Text Box 12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47" name="Text Box 13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48" name="Text Box 13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49" name="Text Box 13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50" name="Text Box 13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51" name="Text Box 13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52" name="Text Box 13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53" name="Text Box 13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54" name="Text Box 13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55" name="Text Box 13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56" name="Text Box 13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57" name="Text Box 13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58" name="Text Box 13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59" name="Text Box 13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60" name="Text Box 13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61" name="Text Box 13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62" name="Text Box 13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63" name="Text Box 13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64" name="Text Box 13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65" name="Text Box 13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66" name="Text Box 13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67" name="Text Box 13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68" name="Text Box 13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69" name="Text Box 13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70" name="Text Box 13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71" name="Text Box 13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72" name="Text Box 13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73" name="Text Box 13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74" name="Text Box 13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75" name="Text Box 13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76" name="Text Box 13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77" name="Text Box 13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78" name="Text Box 13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79" name="Text Box 13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80" name="Text Box 13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81" name="Text Box 13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82" name="Text Box 13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83" name="Text Box 13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84" name="Text Box 13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85" name="Text Box 13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86" name="Text Box 13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87" name="Text Box 13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88" name="Text Box 13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89" name="Text Box 13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90" name="Text Box 13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91" name="Text Box 13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92" name="Text Box 13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93" name="Text Box 13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94" name="Text Box 13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95" name="Text Box 13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96" name="Text Box 13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97" name="Text Box 13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98" name="Text Box 13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4999" name="Text Box 13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00" name="Text Box 13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01" name="Text Box 13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02" name="Text Box 13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03" name="Text Box 13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04" name="Text Box 13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05" name="Text Box 13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06" name="Text Box 13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07" name="Text Box 13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08" name="Text Box 13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09" name="Text Box 13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10" name="Text Box 13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11" name="Text Box 13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12" name="Text Box 13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13" name="Text Box 13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14" name="Text Box 13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15" name="Text Box 13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16" name="Text Box 13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17" name="Text Box 13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18" name="Text Box 13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19" name="Text Box 13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20" name="Text Box 13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21" name="Text Box 13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22" name="Text Box 13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23" name="Text Box 13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24" name="Text Box 13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25" name="Text Box 13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26" name="Text Box 13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27" name="Text Box 13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28" name="Text Box 13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29" name="Text Box 13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30" name="Text Box 13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31" name="Text Box 13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32" name="Text Box 13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33" name="Text Box 13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34" name="Text Box 13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35" name="Text Box 13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36" name="Text Box 13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37" name="Text Box 13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38" name="Text Box 13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39" name="Text Box 13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40" name="Text Box 13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41" name="Text Box 13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42" name="Text Box 13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43" name="Text Box 13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44" name="Text Box 13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45" name="Text Box 13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46" name="Text Box 13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47" name="Text Box 14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48" name="Text Box 14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49" name="Text Box 14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50" name="Text Box 14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51" name="Text Box 14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52" name="Text Box 14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53" name="Text Box 14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54" name="Text Box 14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55" name="Text Box 14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56" name="Text Box 14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57" name="Text Box 14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58" name="Text Box 14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59" name="Text Box 14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60" name="Text Box 14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61" name="Text Box 14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62" name="Text Box 14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63" name="Text Box 14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64" name="Text Box 14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65" name="Text Box 14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66" name="Text Box 14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67" name="Text Box 14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68" name="Text Box 14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69" name="Text Box 14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70" name="Text Box 14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71" name="Text Box 14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72" name="Text Box 14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73" name="Text Box 14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74" name="Text Box 14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75" name="Text Box 14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76" name="Text Box 14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77" name="Text Box 14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78" name="Text Box 14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79" name="Text Box 14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80" name="Text Box 14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81" name="Text Box 14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82" name="Text Box 14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83" name="Text Box 14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84" name="Text Box 14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85" name="Text Box 14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86" name="Text Box 14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87" name="Text Box 14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88" name="Text Box 14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89" name="Text Box 14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90" name="Text Box 14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91" name="Text Box 14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92" name="Text Box 14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93" name="Text Box 14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94" name="Text Box 14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95" name="Text Box 14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96" name="Text Box 14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97" name="Text Box 14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98" name="Text Box 14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099" name="Text Box 14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00" name="Text Box 14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01" name="Text Box 14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02" name="Text Box 14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03" name="Text Box 14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04" name="Text Box 14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05" name="Text Box 14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06" name="Text Box 14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07" name="Text Box 14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08" name="Text Box 14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09" name="Text Box 14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10" name="Text Box 14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11" name="Text Box 14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12" name="Text Box 14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13" name="Text Box 14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14" name="Text Box 14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15" name="Text Box 14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16" name="Text Box 14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17" name="Text Box 14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18" name="Text Box 14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19" name="Text Box 14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20" name="Text Box 14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21" name="Text Box 14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22" name="Text Box 14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23" name="Text Box 14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24" name="Text Box 14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25" name="Text Box 14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26" name="Text Box 14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27" name="Text Box 14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28" name="Text Box 14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29" name="Text Box 14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30" name="Text Box 14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31" name="Text Box 14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32" name="Text Box 14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33" name="Text Box 14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34" name="Text Box 14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35" name="Text Box 14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36" name="Text Box 14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37" name="Text Box 14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38" name="Text Box 14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39" name="Text Box 14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40" name="Text Box 14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41" name="Text Box 14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42" name="Text Box 14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43" name="Text Box 14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44" name="Text Box 14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45" name="Text Box 14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46" name="Text Box 14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47" name="Text Box 15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48" name="Text Box 15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49" name="Text Box 15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50" name="Text Box 15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51" name="Text Box 15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52" name="Text Box 15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53" name="Text Box 15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54" name="Text Box 15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55" name="Text Box 15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56" name="Text Box 15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57" name="Text Box 15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58" name="Text Box 15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59" name="Text Box 15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60" name="Text Box 15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61" name="Text Box 15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62" name="Text Box 15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63" name="Text Box 15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64" name="Text Box 15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65" name="Text Box 15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66" name="Text Box 15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67" name="Text Box 15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68" name="Text Box 15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69" name="Text Box 15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70" name="Text Box 15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71" name="Text Box 15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72" name="Text Box 15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73" name="Text Box 15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74" name="Text Box 15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75" name="Text Box 15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76" name="Text Box 15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77" name="Text Box 15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78" name="Text Box 15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79" name="Text Box 15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80" name="Text Box 15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81" name="Text Box 15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82" name="Text Box 15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83" name="Text Box 15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84" name="Text Box 15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85" name="Text Box 15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86" name="Text Box 15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87" name="Text Box 15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88" name="Text Box 15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89" name="Text Box 15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90" name="Text Box 15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91" name="Text Box 15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92" name="Text Box 15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93" name="Text Box 15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94" name="Text Box 15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95" name="Text Box 15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96" name="Text Box 15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97" name="Text Box 15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98" name="Text Box 15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199" name="Text Box 15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00" name="Text Box 15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01" name="Text Box 15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02" name="Text Box 15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03" name="Text Box 15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04" name="Text Box 15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05" name="Text Box 15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06" name="Text Box 15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07" name="Text Box 15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08" name="Text Box 15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09" name="Text Box 15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10" name="Text Box 15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11" name="Text Box 15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12" name="Text Box 15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13" name="Text Box 15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14" name="Text Box 15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15" name="Text Box 15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16" name="Text Box 15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17" name="Text Box 15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18" name="Text Box 15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19" name="Text Box 15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20" name="Text Box 15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21" name="Text Box 15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22" name="Text Box 15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23" name="Text Box 15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24" name="Text Box 15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25" name="Text Box 15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26" name="Text Box 15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27" name="Text Box 15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28" name="Text Box 15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29" name="Text Box 15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30" name="Text Box 15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31" name="Text Box 15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32" name="Text Box 15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33" name="Text Box 15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34" name="Text Box 15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35" name="Text Box 15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36" name="Text Box 15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37" name="Text Box 15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38" name="Text Box 15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39" name="Text Box 15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40" name="Text Box 15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41" name="Text Box 15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42" name="Text Box 15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43" name="Text Box 15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44" name="Text Box 15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45" name="Text Box 15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46" name="Text Box 15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47" name="Text Box 16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48" name="Text Box 16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49" name="Text Box 16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50" name="Text Box 16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51" name="Text Box 16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52" name="Text Box 16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53" name="Text Box 16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54" name="Text Box 16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55" name="Text Box 16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56" name="Text Box 16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57" name="Text Box 16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58" name="Text Box 16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59" name="Text Box 16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60" name="Text Box 16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61" name="Text Box 16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62" name="Text Box 16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63" name="Text Box 16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64" name="Text Box 16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65" name="Text Box 16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66" name="Text Box 16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67" name="Text Box 16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68" name="Text Box 16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69" name="Text Box 16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70" name="Text Box 16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71" name="Text Box 16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72" name="Text Box 16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73" name="Text Box 16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74" name="Text Box 16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75" name="Text Box 16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76" name="Text Box 16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77" name="Text Box 16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78" name="Text Box 16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79" name="Text Box 16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80" name="Text Box 16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81" name="Text Box 16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82" name="Text Box 16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83" name="Text Box 16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84" name="Text Box 16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85" name="Text Box 16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86" name="Text Box 16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87" name="Text Box 16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88" name="Text Box 16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89" name="Text Box 16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90" name="Text Box 16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91" name="Text Box 16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92" name="Text Box 16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93" name="Text Box 16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94" name="Text Box 16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95" name="Text Box 16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96" name="Text Box 16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97" name="Text Box 16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98" name="Text Box 16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299" name="Text Box 16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00" name="Text Box 16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01" name="Text Box 16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02" name="Text Box 16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03" name="Text Box 16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04" name="Text Box 16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05" name="Text Box 16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06" name="Text Box 16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07" name="Text Box 16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08" name="Text Box 16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09" name="Text Box 16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10" name="Text Box 16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11" name="Text Box 16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12" name="Text Box 16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13" name="Text Box 16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14" name="Text Box 16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15" name="Text Box 16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16" name="Text Box 16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17" name="Text Box 16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18" name="Text Box 16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19" name="Text Box 16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20" name="Text Box 16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21" name="Text Box 16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22" name="Text Box 16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23" name="Text Box 16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24" name="Text Box 16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25" name="Text Box 16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26" name="Text Box 16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27" name="Text Box 16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28" name="Text Box 16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29" name="Text Box 16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30" name="Text Box 16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31" name="Text Box 16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32" name="Text Box 16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33" name="Text Box 16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34" name="Text Box 16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35" name="Text Box 16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36" name="Text Box 16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37" name="Text Box 16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38" name="Text Box 16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39" name="Text Box 16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40" name="Text Box 16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41" name="Text Box 16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42" name="Text Box 16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43" name="Text Box 16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44" name="Text Box 16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45" name="Text Box 16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46" name="Text Box 16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47" name="Text Box 17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48" name="Text Box 17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49" name="Text Box 17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50" name="Text Box 17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51" name="Text Box 17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52" name="Text Box 17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53" name="Text Box 17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54" name="Text Box 17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55" name="Text Box 17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56" name="Text Box 17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57" name="Text Box 17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58" name="Text Box 17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59" name="Text Box 17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60" name="Text Box 17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61" name="Text Box 17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62" name="Text Box 17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63" name="Text Box 17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64" name="Text Box 17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65" name="Text Box 17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66" name="Text Box 17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67" name="Text Box 17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68" name="Text Box 17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69" name="Text Box 17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70" name="Text Box 17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71" name="Text Box 17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72" name="Text Box 17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73" name="Text Box 17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74" name="Text Box 17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75" name="Text Box 17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76" name="Text Box 17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77" name="Text Box 17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78" name="Text Box 17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79" name="Text Box 17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80" name="Text Box 17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81" name="Text Box 17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82" name="Text Box 17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83" name="Text Box 17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84" name="Text Box 17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85" name="Text Box 17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86" name="Text Box 17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87" name="Text Box 17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88" name="Text Box 17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89" name="Text Box 17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90" name="Text Box 17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91" name="Text Box 17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92" name="Text Box 17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93" name="Text Box 17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94" name="Text Box 17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95" name="Text Box 17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96" name="Text Box 17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97" name="Text Box 17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98" name="Text Box 17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399" name="Text Box 17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00" name="Text Box 17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01" name="Text Box 17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02" name="Text Box 17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03" name="Text Box 17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04" name="Text Box 17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05" name="Text Box 17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06" name="Text Box 17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07" name="Text Box 17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08" name="Text Box 17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09" name="Text Box 17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10" name="Text Box 17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11" name="Text Box 17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12" name="Text Box 17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13" name="Text Box 17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14" name="Text Box 17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15" name="Text Box 17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16" name="Text Box 17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17" name="Text Box 17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18" name="Text Box 17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19" name="Text Box 17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20" name="Text Box 17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21" name="Text Box 17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22" name="Text Box 17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23" name="Text Box 17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24" name="Text Box 17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25" name="Text Box 17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26" name="Text Box 17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27" name="Text Box 17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28" name="Text Box 17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29" name="Text Box 17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30" name="Text Box 17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31" name="Text Box 17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32" name="Text Box 17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33" name="Text Box 17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34" name="Text Box 17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35" name="Text Box 17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36" name="Text Box 17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37" name="Text Box 17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38" name="Text Box 17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39" name="Text Box 17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40" name="Text Box 17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41" name="Text Box 17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42" name="Text Box 17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43" name="Text Box 17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44" name="Text Box 17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45" name="Text Box 17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46" name="Text Box 17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47" name="Text Box 18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48" name="Text Box 18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49" name="Text Box 18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50" name="Text Box 18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51" name="Text Box 18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52" name="Text Box 18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53" name="Text Box 18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54" name="Text Box 18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55" name="Text Box 18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56" name="Text Box 18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57" name="Text Box 18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58" name="Text Box 18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59" name="Text Box 18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60" name="Text Box 18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61" name="Text Box 18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62" name="Text Box 18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63" name="Text Box 18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64" name="Text Box 18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65" name="Text Box 18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66" name="Text Box 18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67" name="Text Box 18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68" name="Text Box 18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69" name="Text Box 18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70" name="Text Box 18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71" name="Text Box 18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72" name="Text Box 18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73" name="Text Box 18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74" name="Text Box 18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75" name="Text Box 18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76" name="Text Box 18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77" name="Text Box 18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78" name="Text Box 18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79" name="Text Box 18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80" name="Text Box 18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81" name="Text Box 18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82" name="Text Box 18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83" name="Text Box 18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84" name="Text Box 18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85" name="Text Box 18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86" name="Text Box 18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87" name="Text Box 18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88" name="Text Box 18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89" name="Text Box 18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90" name="Text Box 18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91" name="Text Box 18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92" name="Text Box 18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93" name="Text Box 18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94" name="Text Box 18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95" name="Text Box 18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96" name="Text Box 18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97" name="Text Box 18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98" name="Text Box 18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499" name="Text Box 18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00" name="Text Box 18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01" name="Text Box 18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02" name="Text Box 18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03" name="Text Box 18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04" name="Text Box 18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05" name="Text Box 18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06" name="Text Box 18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07" name="Text Box 18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08" name="Text Box 18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09" name="Text Box 18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10" name="Text Box 18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11" name="Text Box 18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12" name="Text Box 18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13" name="Text Box 18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14" name="Text Box 18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15" name="Text Box 18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16" name="Text Box 18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17" name="Text Box 18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18" name="Text Box 18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19" name="Text Box 18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20" name="Text Box 18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21" name="Text Box 18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22" name="Text Box 18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23" name="Text Box 18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24" name="Text Box 18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25" name="Text Box 18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26" name="Text Box 18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27" name="Text Box 18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28" name="Text Box 18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29" name="Text Box 18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30" name="Text Box 18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31" name="Text Box 18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32" name="Text Box 18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33" name="Text Box 18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34" name="Text Box 18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35" name="Text Box 18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36" name="Text Box 18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37" name="Text Box 18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38" name="Text Box 18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39" name="Text Box 18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40" name="Text Box 18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41" name="Text Box 18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42" name="Text Box 18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43" name="Text Box 18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44" name="Text Box 18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45" name="Text Box 18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46" name="Text Box 18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47" name="Text Box 19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48" name="Text Box 19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49" name="Text Box 19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50" name="Text Box 19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51" name="Text Box 19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52" name="Text Box 19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53" name="Text Box 19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54" name="Text Box 19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55" name="Text Box 19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56" name="Text Box 19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57" name="Text Box 19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58" name="Text Box 19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59" name="Text Box 19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60" name="Text Box 19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61" name="Text Box 19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62" name="Text Box 19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63" name="Text Box 19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64" name="Text Box 19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65" name="Text Box 19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66" name="Text Box 19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67" name="Text Box 19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68" name="Text Box 19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69" name="Text Box 19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70" name="Text Box 19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71" name="Text Box 19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72" name="Text Box 19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73" name="Text Box 19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74" name="Text Box 19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75" name="Text Box 19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76" name="Text Box 19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77" name="Text Box 19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78" name="Text Box 19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79" name="Text Box 19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80" name="Text Box 19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81" name="Text Box 19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82" name="Text Box 19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83" name="Text Box 19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84" name="Text Box 19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85" name="Text Box 19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86" name="Text Box 19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87" name="Text Box 19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88" name="Text Box 19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89" name="Text Box 19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90" name="Text Box 19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91" name="Text Box 19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92" name="Text Box 19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93" name="Text Box 19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94" name="Text Box 19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95" name="Text Box 19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96" name="Text Box 19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97" name="Text Box 19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98" name="Text Box 19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599" name="Text Box 19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00" name="Text Box 19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01" name="Text Box 19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02" name="Text Box 19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03" name="Text Box 19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04" name="Text Box 19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05" name="Text Box 19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06" name="Text Box 19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07" name="Text Box 19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08" name="Text Box 19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09" name="Text Box 19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10" name="Text Box 19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11" name="Text Box 19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12" name="Text Box 19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13" name="Text Box 19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14" name="Text Box 19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15" name="Text Box 19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16" name="Text Box 19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17" name="Text Box 19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18" name="Text Box 19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19" name="Text Box 19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20" name="Text Box 19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21" name="Text Box 19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22" name="Text Box 19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23" name="Text Box 19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24" name="Text Box 19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25" name="Text Box 19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26" name="Text Box 19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27" name="Text Box 19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28" name="Text Box 19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29" name="Text Box 19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30" name="Text Box 19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31" name="Text Box 19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32" name="Text Box 19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33" name="Text Box 19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34" name="Text Box 19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35" name="Text Box 19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36" name="Text Box 19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37" name="Text Box 19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38" name="Text Box 19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39" name="Text Box 19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40" name="Text Box 19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41" name="Text Box 19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42" name="Text Box 19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43" name="Text Box 19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44" name="Text Box 19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45" name="Text Box 19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46" name="Text Box 19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47" name="Text Box 20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48" name="Text Box 20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49" name="Text Box 20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50" name="Text Box 20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51" name="Text Box 20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52" name="Text Box 20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53" name="Text Box 20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54" name="Text Box 20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55" name="Text Box 20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56" name="Text Box 20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57" name="Text Box 20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58" name="Text Box 20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59" name="Text Box 20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60" name="Text Box 20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61" name="Text Box 20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62" name="Text Box 20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63" name="Text Box 20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64" name="Text Box 20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65" name="Text Box 20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66" name="Text Box 20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67" name="Text Box 20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68" name="Text Box 20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69" name="Text Box 20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70" name="Text Box 20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71" name="Text Box 20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72" name="Text Box 20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73" name="Text Box 20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74" name="Text Box 20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75" name="Text Box 20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76" name="Text Box 20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77" name="Text Box 20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78" name="Text Box 20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79" name="Text Box 20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80" name="Text Box 20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81" name="Text Box 20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82" name="Text Box 20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83" name="Text Box 20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84" name="Text Box 20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85" name="Text Box 20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86" name="Text Box 20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87" name="Text Box 20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88" name="Text Box 20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89" name="Text Box 20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90" name="Text Box 20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91" name="Text Box 20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92" name="Text Box 20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93" name="Text Box 20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94" name="Text Box 20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95" name="Text Box 20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96" name="Text Box 20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97" name="Text Box 20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98" name="Text Box 20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699" name="Text Box 20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00" name="Text Box 20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01" name="Text Box 20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02" name="Text Box 20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03" name="Text Box 20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04" name="Text Box 20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05" name="Text Box 20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06" name="Text Box 20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07" name="Text Box 20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08" name="Text Box 20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09" name="Text Box 20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10" name="Text Box 20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11" name="Text Box 20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12" name="Text Box 20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13" name="Text Box 20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14" name="Text Box 20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15" name="Text Box 20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16" name="Text Box 20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17" name="Text Box 20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18" name="Text Box 20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19" name="Text Box 20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20" name="Text Box 20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21" name="Text Box 20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22" name="Text Box 20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23" name="Text Box 20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24" name="Text Box 20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25" name="Text Box 20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26" name="Text Box 20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27" name="Text Box 20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28" name="Text Box 20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29" name="Text Box 20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30" name="Text Box 20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31" name="Text Box 20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32" name="Text Box 20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33" name="Text Box 20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34" name="Text Box 20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35" name="Text Box 20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36" name="Text Box 20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37" name="Text Box 20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38" name="Text Box 20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39" name="Text Box 20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40" name="Text Box 20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41" name="Text Box 20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42" name="Text Box 20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43" name="Text Box 20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44" name="Text Box 20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45" name="Text Box 20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46" name="Text Box 20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47" name="Text Box 21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48" name="Text Box 21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49" name="Text Box 21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50" name="Text Box 21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51" name="Text Box 21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52" name="Text Box 21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53" name="Text Box 21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54" name="Text Box 21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55" name="Text Box 21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56" name="Text Box 21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57" name="Text Box 21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58" name="Text Box 21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59" name="Text Box 21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60" name="Text Box 21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61" name="Text Box 21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62" name="Text Box 21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63" name="Text Box 21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64" name="Text Box 21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65" name="Text Box 21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66" name="Text Box 21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67" name="Text Box 21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68" name="Text Box 21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69" name="Text Box 21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70" name="Text Box 21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71" name="Text Box 21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72" name="Text Box 21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73" name="Text Box 21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74" name="Text Box 21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75" name="Text Box 21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76" name="Text Box 21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77" name="Text Box 21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78" name="Text Box 21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79" name="Text Box 21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80" name="Text Box 21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81" name="Text Box 21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82" name="Text Box 21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83" name="Text Box 21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84" name="Text Box 21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85" name="Text Box 21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86" name="Text Box 21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87" name="Text Box 21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88" name="Text Box 21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89" name="Text Box 21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90" name="Text Box 21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91" name="Text Box 21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92" name="Text Box 21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93" name="Text Box 21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94" name="Text Box 21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95" name="Text Box 21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96" name="Text Box 21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97" name="Text Box 21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98" name="Text Box 21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799" name="Text Box 21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00" name="Text Box 21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01" name="Text Box 21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02" name="Text Box 21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03" name="Text Box 21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04" name="Text Box 21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05" name="Text Box 21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06" name="Text Box 21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07" name="Text Box 21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08" name="Text Box 21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09" name="Text Box 21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10" name="Text Box 21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11" name="Text Box 21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12" name="Text Box 21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13" name="Text Box 21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14" name="Text Box 21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15" name="Text Box 21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16" name="Text Box 21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17" name="Text Box 21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18" name="Text Box 21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19" name="Text Box 21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20" name="Text Box 21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21" name="Text Box 21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22" name="Text Box 21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23" name="Text Box 21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24" name="Text Box 21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25" name="Text Box 21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26" name="Text Box 21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27" name="Text Box 21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28" name="Text Box 21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29" name="Text Box 21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30" name="Text Box 21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31" name="Text Box 21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32" name="Text Box 21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33" name="Text Box 21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34" name="Text Box 21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35" name="Text Box 21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36" name="Text Box 21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37" name="Text Box 21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38" name="Text Box 21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39" name="Text Box 21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40" name="Text Box 21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41" name="Text Box 21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42" name="Text Box 21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43" name="Text Box 21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44" name="Text Box 21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45" name="Text Box 21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46" name="Text Box 21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47" name="Text Box 22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48" name="Text Box 22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49" name="Text Box 22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50" name="Text Box 22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51" name="Text Box 22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52" name="Text Box 22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53" name="Text Box 22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54" name="Text Box 22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55" name="Text Box 22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56" name="Text Box 22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57" name="Text Box 22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58" name="Text Box 22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59" name="Text Box 22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60" name="Text Box 22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61" name="Text Box 22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62" name="Text Box 22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63" name="Text Box 22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64" name="Text Box 22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65" name="Text Box 22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66" name="Text Box 22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67" name="Text Box 22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68" name="Text Box 22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69" name="Text Box 22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70" name="Text Box 22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71" name="Text Box 22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72" name="Text Box 22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73" name="Text Box 22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74" name="Text Box 22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75" name="Text Box 22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76" name="Text Box 22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77" name="Text Box 22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78" name="Text Box 22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79" name="Text Box 22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80" name="Text Box 22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81" name="Text Box 22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82" name="Text Box 22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83" name="Text Box 22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84" name="Text Box 22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85" name="Text Box 22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86" name="Text Box 22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87" name="Text Box 22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88" name="Text Box 22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89" name="Text Box 22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90" name="Text Box 22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91" name="Text Box 22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92" name="Text Box 22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93" name="Text Box 22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94" name="Text Box 22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95" name="Text Box 22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96" name="Text Box 22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97" name="Text Box 22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98" name="Text Box 22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899" name="Text Box 22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00" name="Text Box 22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01" name="Text Box 22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02" name="Text Box 22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03" name="Text Box 22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04" name="Text Box 22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05" name="Text Box 22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06" name="Text Box 22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07" name="Text Box 22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08" name="Text Box 22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09" name="Text Box 22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10" name="Text Box 22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11" name="Text Box 22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12" name="Text Box 22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13" name="Text Box 22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14" name="Text Box 22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15" name="Text Box 22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16" name="Text Box 22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17" name="Text Box 22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18" name="Text Box 22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19" name="Text Box 22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20" name="Text Box 22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21" name="Text Box 22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22" name="Text Box 22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23" name="Text Box 22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24" name="Text Box 22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25" name="Text Box 22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26" name="Text Box 22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27" name="Text Box 22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28" name="Text Box 22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29" name="Text Box 22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30" name="Text Box 22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31" name="Text Box 22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32" name="Text Box 22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33" name="Text Box 22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34" name="Text Box 22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35" name="Text Box 22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36" name="Text Box 22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37" name="Text Box 22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38" name="Text Box 22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39" name="Text Box 22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40" name="Text Box 22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41" name="Text Box 22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42" name="Text Box 22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43" name="Text Box 22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44" name="Text Box 22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45" name="Text Box 22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46" name="Text Box 22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47" name="Text Box 23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48" name="Text Box 23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49" name="Text Box 23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50" name="Text Box 23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51" name="Text Box 23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52" name="Text Box 23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53" name="Text Box 23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54" name="Text Box 23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55" name="Text Box 23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56" name="Text Box 23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57" name="Text Box 23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58" name="Text Box 23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59" name="Text Box 23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60" name="Text Box 23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61" name="Text Box 23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62" name="Text Box 23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63" name="Text Box 23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64" name="Text Box 23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65" name="Text Box 23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66" name="Text Box 23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67" name="Text Box 23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68" name="Text Box 23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69" name="Text Box 23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70" name="Text Box 23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71" name="Text Box 23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72" name="Text Box 23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73" name="Text Box 23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74" name="Text Box 23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75" name="Text Box 23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76" name="Text Box 23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77" name="Text Box 23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78" name="Text Box 23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79" name="Text Box 23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80" name="Text Box 23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81" name="Text Box 23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82" name="Text Box 23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83" name="Text Box 23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84" name="Text Box 23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85" name="Text Box 23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86" name="Text Box 23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87" name="Text Box 23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88" name="Text Box 23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89" name="Text Box 23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90" name="Text Box 23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91" name="Text Box 23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92" name="Text Box 23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93" name="Text Box 23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94" name="Text Box 23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95" name="Text Box 23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96" name="Text Box 23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97" name="Text Box 23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98" name="Text Box 23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5999" name="Text Box 23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00" name="Text Box 23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01" name="Text Box 23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02" name="Text Box 23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03" name="Text Box 23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04" name="Text Box 23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05" name="Text Box 23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06" name="Text Box 23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07" name="Text Box 23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08" name="Text Box 23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09" name="Text Box 23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10" name="Text Box 23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11" name="Text Box 23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12" name="Text Box 23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13" name="Text Box 23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14" name="Text Box 23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15" name="Text Box 23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16" name="Text Box 23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17" name="Text Box 23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18" name="Text Box 23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19" name="Text Box 23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20" name="Text Box 23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21" name="Text Box 23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22" name="Text Box 23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23" name="Text Box 23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24" name="Text Box 23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25" name="Text Box 23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26" name="Text Box 23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27" name="Text Box 23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28" name="Text Box 23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29" name="Text Box 23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30" name="Text Box 23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31" name="Text Box 23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32" name="Text Box 23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33" name="Text Box 23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34" name="Text Box 23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35" name="Text Box 23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36" name="Text Box 23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37" name="Text Box 23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38" name="Text Box 23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39" name="Text Box 23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40" name="Text Box 23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41" name="Text Box 23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42" name="Text Box 23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43" name="Text Box 23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44" name="Text Box 23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45" name="Text Box 23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46" name="Text Box 23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47" name="Text Box 24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48" name="Text Box 24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49" name="Text Box 24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50" name="Text Box 24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51" name="Text Box 24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52" name="Text Box 24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53" name="Text Box 24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54" name="Text Box 24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55" name="Text Box 24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56" name="Text Box 24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57" name="Text Box 24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58" name="Text Box 24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59" name="Text Box 24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60" name="Text Box 24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61" name="Text Box 24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62" name="Text Box 24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63" name="Text Box 24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64" name="Text Box 24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65" name="Text Box 24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66" name="Text Box 24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67" name="Text Box 24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68" name="Text Box 24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69" name="Text Box 24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70" name="Text Box 24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71" name="Text Box 24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72" name="Text Box 24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73" name="Text Box 24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74" name="Text Box 24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75" name="Text Box 24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76" name="Text Box 24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77" name="Text Box 24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78" name="Text Box 24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79" name="Text Box 24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80" name="Text Box 24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81" name="Text Box 24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82" name="Text Box 24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83" name="Text Box 24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84" name="Text Box 24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85" name="Text Box 24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86" name="Text Box 24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87" name="Text Box 24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88" name="Text Box 24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89" name="Text Box 24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90" name="Text Box 24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91" name="Text Box 24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92" name="Text Box 24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93" name="Text Box 24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94" name="Text Box 24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95" name="Text Box 24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96" name="Text Box 24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97" name="Text Box 24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98" name="Text Box 24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099" name="Text Box 24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00" name="Text Box 24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01" name="Text Box 24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02" name="Text Box 24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03" name="Text Box 24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04" name="Text Box 24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05" name="Text Box 24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06" name="Text Box 24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07" name="Text Box 24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08" name="Text Box 24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09" name="Text Box 24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10" name="Text Box 24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11" name="Text Box 24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12" name="Text Box 24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13" name="Text Box 24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14" name="Text Box 24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15" name="Text Box 24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16" name="Text Box 24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17" name="Text Box 24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18" name="Text Box 24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19" name="Text Box 24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20" name="Text Box 24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21" name="Text Box 24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22" name="Text Box 24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23" name="Text Box 24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24" name="Text Box 24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25" name="Text Box 24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26" name="Text Box 24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27" name="Text Box 24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28" name="Text Box 24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29" name="Text Box 24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30" name="Text Box 24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31" name="Text Box 24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32" name="Text Box 24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33" name="Text Box 24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34" name="Text Box 24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35" name="Text Box 24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36" name="Text Box 24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37" name="Text Box 24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38" name="Text Box 24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39" name="Text Box 24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40" name="Text Box 24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41" name="Text Box 24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42" name="Text Box 24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43" name="Text Box 24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44" name="Text Box 24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45" name="Text Box 24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46" name="Text Box 24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47" name="Text Box 25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48" name="Text Box 25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49" name="Text Box 25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50" name="Text Box 25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51" name="Text Box 25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52" name="Text Box 25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53" name="Text Box 25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54" name="Text Box 25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55" name="Text Box 25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56" name="Text Box 25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57" name="Text Box 25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58" name="Text Box 25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59" name="Text Box 25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60" name="Text Box 25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61" name="Text Box 25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62" name="Text Box 25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63" name="Text Box 25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64" name="Text Box 25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65" name="Text Box 25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66" name="Text Box 25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67" name="Text Box 25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68" name="Text Box 25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69" name="Text Box 25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70" name="Text Box 25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71" name="Text Box 25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72" name="Text Box 25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73" name="Text Box 25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74" name="Text Box 25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75" name="Text Box 25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76" name="Text Box 25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77" name="Text Box 25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78" name="Text Box 25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79" name="Text Box 25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80" name="Text Box 25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81" name="Text Box 25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82" name="Text Box 25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83" name="Text Box 25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84" name="Text Box 25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85" name="Text Box 25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86" name="Text Box 25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87" name="Text Box 25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88" name="Text Box 25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89" name="Text Box 25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90" name="Text Box 25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91" name="Text Box 25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92" name="Text Box 25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93" name="Text Box 25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94" name="Text Box 25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95" name="Text Box 25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96" name="Text Box 25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97" name="Text Box 25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98" name="Text Box 25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199" name="Text Box 25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00" name="Text Box 25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01" name="Text Box 25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02" name="Text Box 25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03" name="Text Box 25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04" name="Text Box 25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05" name="Text Box 25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06" name="Text Box 25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07" name="Text Box 25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08" name="Text Box 25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09" name="Text Box 25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10" name="Text Box 25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11" name="Text Box 25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12" name="Text Box 25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13" name="Text Box 25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14" name="Text Box 25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15" name="Text Box 25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16" name="Text Box 25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17" name="Text Box 25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18" name="Text Box 25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19" name="Text Box 25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20" name="Text Box 25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21" name="Text Box 25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22" name="Text Box 25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23" name="Text Box 25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24" name="Text Box 25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25" name="Text Box 25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26" name="Text Box 25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27" name="Text Box 25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28" name="Text Box 25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29" name="Text Box 25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30" name="Text Box 25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31" name="Text Box 25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32" name="Text Box 25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33" name="Text Box 25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34" name="Text Box 25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35" name="Text Box 25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36" name="Text Box 25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37" name="Text Box 25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38" name="Text Box 25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39" name="Text Box 25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40" name="Text Box 25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41" name="Text Box 25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42" name="Text Box 25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43" name="Text Box 25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44" name="Text Box 25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45" name="Text Box 25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46" name="Text Box 25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47" name="Text Box 26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48" name="Text Box 26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49" name="Text Box 26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50" name="Text Box 26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51" name="Text Box 26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52" name="Text Box 26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53" name="Text Box 26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54" name="Text Box 26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55" name="Text Box 26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56" name="Text Box 26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57" name="Text Box 26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58" name="Text Box 26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59" name="Text Box 26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60" name="Text Box 26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61" name="Text Box 26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62" name="Text Box 26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63" name="Text Box 26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64" name="Text Box 26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65" name="Text Box 26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66" name="Text Box 26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67" name="Text Box 26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68" name="Text Box 26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69" name="Text Box 26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70" name="Text Box 26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71" name="Text Box 26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72" name="Text Box 26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73" name="Text Box 26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74" name="Text Box 26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75" name="Text Box 26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76" name="Text Box 26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77" name="Text Box 26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78" name="Text Box 26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79" name="Text Box 26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80" name="Text Box 26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81" name="Text Box 26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82" name="Text Box 26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83" name="Text Box 26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84" name="Text Box 26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85" name="Text Box 26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86" name="Text Box 26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87" name="Text Box 26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88" name="Text Box 26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89" name="Text Box 26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90" name="Text Box 26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91" name="Text Box 26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92" name="Text Box 26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93" name="Text Box 26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94" name="Text Box 26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95" name="Text Box 26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96" name="Text Box 26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97" name="Text Box 26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98" name="Text Box 26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299" name="Text Box 26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00" name="Text Box 26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01" name="Text Box 26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02" name="Text Box 26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03" name="Text Box 26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04" name="Text Box 26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05" name="Text Box 26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06" name="Text Box 26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07" name="Text Box 26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08" name="Text Box 26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09" name="Text Box 26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10" name="Text Box 26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11" name="Text Box 26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12" name="Text Box 26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13" name="Text Box 26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14" name="Text Box 26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15" name="Text Box 26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16" name="Text Box 26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17" name="Text Box 26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18" name="Text Box 26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19" name="Text Box 26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20" name="Text Box 26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21" name="Text Box 26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22" name="Text Box 26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23" name="Text Box 26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24" name="Text Box 26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25" name="Text Box 26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26" name="Text Box 26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27" name="Text Box 26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28" name="Text Box 26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29" name="Text Box 26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30" name="Text Box 26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31" name="Text Box 26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32" name="Text Box 26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33" name="Text Box 26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34" name="Text Box 26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35" name="Text Box 26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36" name="Text Box 26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37" name="Text Box 26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38" name="Text Box 26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39" name="Text Box 26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40" name="Text Box 26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41" name="Text Box 26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42" name="Text Box 26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43" name="Text Box 26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44" name="Text Box 26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45" name="Text Box 26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46" name="Text Box 26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47" name="Text Box 27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48" name="Text Box 27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49" name="Text Box 27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50" name="Text Box 27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51" name="Text Box 27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52" name="Text Box 27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53" name="Text Box 27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54" name="Text Box 27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55" name="Text Box 27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56" name="Text Box 27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57" name="Text Box 27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58" name="Text Box 27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59" name="Text Box 27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60" name="Text Box 27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61" name="Text Box 27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62" name="Text Box 27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63" name="Text Box 27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64" name="Text Box 27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65" name="Text Box 27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66" name="Text Box 27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67" name="Text Box 27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68" name="Text Box 27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69" name="Text Box 27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70" name="Text Box 27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71" name="Text Box 27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72" name="Text Box 27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73" name="Text Box 27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74" name="Text Box 27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75" name="Text Box 27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76" name="Text Box 27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77" name="Text Box 27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78" name="Text Box 27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79" name="Text Box 27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80" name="Text Box 27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81" name="Text Box 27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82" name="Text Box 27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83" name="Text Box 27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84" name="Text Box 27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85" name="Text Box 27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86" name="Text Box 27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87" name="Text Box 27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88" name="Text Box 27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89" name="Text Box 27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90" name="Text Box 27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91" name="Text Box 27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92" name="Text Box 27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93" name="Text Box 27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94" name="Text Box 27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95" name="Text Box 27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96" name="Text Box 27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97" name="Text Box 27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98" name="Text Box 27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399" name="Text Box 27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00" name="Text Box 27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01" name="Text Box 27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02" name="Text Box 27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03" name="Text Box 27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04" name="Text Box 27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05" name="Text Box 27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06" name="Text Box 27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07" name="Text Box 27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08" name="Text Box 27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09" name="Text Box 27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10" name="Text Box 27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11" name="Text Box 27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12" name="Text Box 27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13" name="Text Box 27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14" name="Text Box 27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15" name="Text Box 27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16" name="Text Box 27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17" name="Text Box 27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18" name="Text Box 27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19" name="Text Box 27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20" name="Text Box 27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21" name="Text Box 27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22" name="Text Box 27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23" name="Text Box 27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24" name="Text Box 27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25" name="Text Box 27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26" name="Text Box 27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27" name="Text Box 27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28" name="Text Box 27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29" name="Text Box 27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30" name="Text Box 27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31" name="Text Box 27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32" name="Text Box 27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33" name="Text Box 27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34" name="Text Box 27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35" name="Text Box 27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36" name="Text Box 27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37" name="Text Box 27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38" name="Text Box 27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39" name="Text Box 27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40" name="Text Box 27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41" name="Text Box 27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42" name="Text Box 27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43" name="Text Box 27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44" name="Text Box 27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45" name="Text Box 27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46" name="Text Box 27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47" name="Text Box 28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48" name="Text Box 28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49" name="Text Box 28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50" name="Text Box 28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51" name="Text Box 28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52" name="Text Box 28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53" name="Text Box 28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54" name="Text Box 28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55" name="Text Box 28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56" name="Text Box 28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57" name="Text Box 28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58" name="Text Box 28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59" name="Text Box 28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60" name="Text Box 28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61" name="Text Box 28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62" name="Text Box 28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63" name="Text Box 28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64" name="Text Box 28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65" name="Text Box 28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66" name="Text Box 28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67" name="Text Box 28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68" name="Text Box 28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69" name="Text Box 28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70" name="Text Box 28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71" name="Text Box 28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72" name="Text Box 28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73" name="Text Box 28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74" name="Text Box 28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75" name="Text Box 28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76" name="Text Box 28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77" name="Text Box 28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78" name="Text Box 28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79" name="Text Box 28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80" name="Text Box 28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81" name="Text Box 28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82" name="Text Box 28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83" name="Text Box 28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84" name="Text Box 28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85" name="Text Box 28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86" name="Text Box 28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87" name="Text Box 28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88" name="Text Box 28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89" name="Text Box 28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90" name="Text Box 28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91" name="Text Box 28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92" name="Text Box 28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93" name="Text Box 28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94" name="Text Box 28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95" name="Text Box 28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96" name="Text Box 28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97" name="Text Box 28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98" name="Text Box 28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499" name="Text Box 28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00" name="Text Box 28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01" name="Text Box 28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02" name="Text Box 28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03" name="Text Box 28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04" name="Text Box 28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05" name="Text Box 28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06" name="Text Box 28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07" name="Text Box 28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08" name="Text Box 28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09" name="Text Box 28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10" name="Text Box 28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11" name="Text Box 28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12" name="Text Box 28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13" name="Text Box 28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14" name="Text Box 28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15" name="Text Box 28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16" name="Text Box 28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17" name="Text Box 28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18" name="Text Box 28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19" name="Text Box 28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20" name="Text Box 28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21" name="Text Box 28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22" name="Text Box 28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23" name="Text Box 28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24" name="Text Box 28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25" name="Text Box 28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26" name="Text Box 28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27" name="Text Box 28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28" name="Text Box 28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29" name="Text Box 28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30" name="Text Box 28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31" name="Text Box 28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32" name="Text Box 28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33" name="Text Box 28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34" name="Text Box 28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35" name="Text Box 28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36" name="Text Box 28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37" name="Text Box 28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38" name="Text Box 28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39" name="Text Box 28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40" name="Text Box 28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41" name="Text Box 28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42" name="Text Box 28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43" name="Text Box 28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44" name="Text Box 28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45" name="Text Box 28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46" name="Text Box 289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47" name="Text Box 290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48" name="Text Box 290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49" name="Text Box 290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50" name="Text Box 290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51" name="Text Box 290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52" name="Text Box 290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53" name="Text Box 290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54" name="Text Box 290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55" name="Text Box 290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56" name="Text Box 290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57" name="Text Box 291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58" name="Text Box 291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59" name="Text Box 291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60" name="Text Box 291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61" name="Text Box 291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62" name="Text Box 291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63" name="Text Box 291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64" name="Text Box 291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65" name="Text Box 291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66" name="Text Box 291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67" name="Text Box 292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68" name="Text Box 292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69" name="Text Box 292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70" name="Text Box 292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71" name="Text Box 292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72" name="Text Box 292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73" name="Text Box 292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74" name="Text Box 292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75" name="Text Box 292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76" name="Text Box 292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77" name="Text Box 293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78" name="Text Box 293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79" name="Text Box 293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80" name="Text Box 293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81" name="Text Box 293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82" name="Text Box 293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83" name="Text Box 293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84" name="Text Box 293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85" name="Text Box 293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86" name="Text Box 293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87" name="Text Box 294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88" name="Text Box 294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89" name="Text Box 294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90" name="Text Box 294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91" name="Text Box 294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92" name="Text Box 294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93" name="Text Box 294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94" name="Text Box 294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95" name="Text Box 294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96" name="Text Box 294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97" name="Text Box 295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98" name="Text Box 295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599" name="Text Box 295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00" name="Text Box 295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01" name="Text Box 295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02" name="Text Box 295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03" name="Text Box 295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04" name="Text Box 295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05" name="Text Box 295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06" name="Text Box 295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07" name="Text Box 296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08" name="Text Box 296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09" name="Text Box 296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10" name="Text Box 296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11" name="Text Box 296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12" name="Text Box 296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13" name="Text Box 296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14" name="Text Box 296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15" name="Text Box 296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16" name="Text Box 296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17" name="Text Box 297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18" name="Text Box 297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19" name="Text Box 297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20" name="Text Box 297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21" name="Text Box 297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22" name="Text Box 297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23" name="Text Box 297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24" name="Text Box 297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25" name="Text Box 297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26" name="Text Box 297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27" name="Text Box 298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28" name="Text Box 298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29" name="Text Box 298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30" name="Text Box 298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31" name="Text Box 298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32" name="Text Box 298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33" name="Text Box 298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34" name="Text Box 298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35" name="Text Box 298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36" name="Text Box 2989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37" name="Text Box 2990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38" name="Text Box 2991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39" name="Text Box 2992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40" name="Text Box 2993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41" name="Text Box 2994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42" name="Text Box 2995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43" name="Text Box 2996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44" name="Text Box 2997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76200</xdr:colOff>
      <xdr:row>2</xdr:row>
      <xdr:rowOff>19050</xdr:rowOff>
    </xdr:to>
    <xdr:sp macro="" textlink="">
      <xdr:nvSpPr>
        <xdr:cNvPr id="6645" name="Text Box 2998"/>
        <xdr:cNvSpPr txBox="1">
          <a:spLocks noChangeArrowheads="1"/>
        </xdr:cNvSpPr>
      </xdr:nvSpPr>
      <xdr:spPr bwMode="auto">
        <a:xfrm>
          <a:off x="27803475" y="13525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46" name="Text Box 11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47" name="Text Box 11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48" name="Text Box 11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49" name="Text Box 11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50" name="Text Box 11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51" name="Text Box 11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52" name="Text Box 11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53" name="Text Box 11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54" name="Text Box 11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55" name="Text Box 11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56" name="Text Box 11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57" name="Text Box 11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58" name="Text Box 11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59" name="Text Box 11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60" name="Text Box 11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61" name="Text Box 11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62" name="Text Box 11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63" name="Text Box 11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64" name="Text Box 11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65" name="Text Box 11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66" name="Text Box 11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67" name="Text Box 11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68" name="Text Box 11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69" name="Text Box 11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70" name="Text Box 11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71" name="Text Box 11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72" name="Text Box 11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73" name="Text Box 11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74" name="Text Box 11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75" name="Text Box 12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76" name="Text Box 12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77" name="Text Box 12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78" name="Text Box 12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79" name="Text Box 12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80" name="Text Box 12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81" name="Text Box 12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82" name="Text Box 12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83" name="Text Box 12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84" name="Text Box 12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85" name="Text Box 12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86" name="Text Box 12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87" name="Text Box 12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88" name="Text Box 12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89" name="Text Box 12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90" name="Text Box 12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91" name="Text Box 12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92" name="Text Box 12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93" name="Text Box 12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94" name="Text Box 12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95" name="Text Box 12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96" name="Text Box 12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97" name="Text Box 12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98" name="Text Box 12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699" name="Text Box 12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00" name="Text Box 12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01" name="Text Box 12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02" name="Text Box 12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03" name="Text Box 12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04" name="Text Box 12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05" name="Text Box 12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06" name="Text Box 12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07" name="Text Box 12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08" name="Text Box 12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09" name="Text Box 12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10" name="Text Box 12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11" name="Text Box 12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12" name="Text Box 12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13" name="Text Box 12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14" name="Text Box 12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15" name="Text Box 12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16" name="Text Box 12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17" name="Text Box 12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18" name="Text Box 12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19" name="Text Box 12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20" name="Text Box 12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21" name="Text Box 12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22" name="Text Box 12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23" name="Text Box 12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24" name="Text Box 12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25" name="Text Box 12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26" name="Text Box 12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27" name="Text Box 12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28" name="Text Box 12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29" name="Text Box 12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30" name="Text Box 12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31" name="Text Box 12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32" name="Text Box 12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33" name="Text Box 12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34" name="Text Box 12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35" name="Text Box 12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36" name="Text Box 12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37" name="Text Box 12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38" name="Text Box 12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39" name="Text Box 12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40" name="Text Box 12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41" name="Text Box 12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42" name="Text Box 12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43" name="Text Box 12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44" name="Text Box 12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45" name="Text Box 12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46" name="Text Box 12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47" name="Text Box 12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48" name="Text Box 12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49" name="Text Box 12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50" name="Text Box 12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51" name="Text Box 12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52" name="Text Box 12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53" name="Text Box 12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54" name="Text Box 12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55" name="Text Box 12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56" name="Text Box 12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57" name="Text Box 12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58" name="Text Box 12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59" name="Text Box 12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60" name="Text Box 12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61" name="Text Box 12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62" name="Text Box 12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63" name="Text Box 12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64" name="Text Box 12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65" name="Text Box 12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66" name="Text Box 12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67" name="Text Box 12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68" name="Text Box 12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69" name="Text Box 12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70" name="Text Box 12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71" name="Text Box 12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72" name="Text Box 12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73" name="Text Box 12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74" name="Text Box 12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75" name="Text Box 13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76" name="Text Box 13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77" name="Text Box 13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78" name="Text Box 13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79" name="Text Box 13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80" name="Text Box 13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81" name="Text Box 13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82" name="Text Box 13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83" name="Text Box 13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84" name="Text Box 13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85" name="Text Box 13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86" name="Text Box 13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87" name="Text Box 13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88" name="Text Box 13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89" name="Text Box 13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90" name="Text Box 13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91" name="Text Box 13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92" name="Text Box 13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93" name="Text Box 13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94" name="Text Box 13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95" name="Text Box 13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96" name="Text Box 13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97" name="Text Box 13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98" name="Text Box 13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799" name="Text Box 13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00" name="Text Box 13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01" name="Text Box 13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02" name="Text Box 13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03" name="Text Box 13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04" name="Text Box 13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05" name="Text Box 13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06" name="Text Box 13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07" name="Text Box 13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08" name="Text Box 13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09" name="Text Box 13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10" name="Text Box 13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11" name="Text Box 13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12" name="Text Box 13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13" name="Text Box 13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14" name="Text Box 13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15" name="Text Box 13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16" name="Text Box 13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17" name="Text Box 13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18" name="Text Box 13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19" name="Text Box 13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20" name="Text Box 13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21" name="Text Box 13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22" name="Text Box 13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23" name="Text Box 13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24" name="Text Box 13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25" name="Text Box 13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26" name="Text Box 13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27" name="Text Box 13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28" name="Text Box 13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29" name="Text Box 13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30" name="Text Box 13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31" name="Text Box 13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32" name="Text Box 13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33" name="Text Box 13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34" name="Text Box 13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35" name="Text Box 13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36" name="Text Box 13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37" name="Text Box 13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38" name="Text Box 13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39" name="Text Box 13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40" name="Text Box 13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41" name="Text Box 13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42" name="Text Box 13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43" name="Text Box 13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44" name="Text Box 13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45" name="Text Box 13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46" name="Text Box 13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47" name="Text Box 13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48" name="Text Box 13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49" name="Text Box 13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50" name="Text Box 13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51" name="Text Box 13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52" name="Text Box 13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53" name="Text Box 13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54" name="Text Box 13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55" name="Text Box 13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56" name="Text Box 13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57" name="Text Box 13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58" name="Text Box 13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59" name="Text Box 13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60" name="Text Box 13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61" name="Text Box 13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62" name="Text Box 13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63" name="Text Box 13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64" name="Text Box 13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65" name="Text Box 13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66" name="Text Box 13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67" name="Text Box 13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68" name="Text Box 13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69" name="Text Box 13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70" name="Text Box 13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71" name="Text Box 13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72" name="Text Box 13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73" name="Text Box 13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74" name="Text Box 13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75" name="Text Box 14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76" name="Text Box 14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77" name="Text Box 14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78" name="Text Box 14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79" name="Text Box 14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80" name="Text Box 14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81" name="Text Box 14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82" name="Text Box 14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83" name="Text Box 14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84" name="Text Box 14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85" name="Text Box 14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86" name="Text Box 14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87" name="Text Box 14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88" name="Text Box 14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89" name="Text Box 14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90" name="Text Box 14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91" name="Text Box 14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92" name="Text Box 14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93" name="Text Box 14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94" name="Text Box 14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95" name="Text Box 14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96" name="Text Box 14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97" name="Text Box 14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98" name="Text Box 14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899" name="Text Box 14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00" name="Text Box 14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01" name="Text Box 14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02" name="Text Box 14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03" name="Text Box 14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04" name="Text Box 14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05" name="Text Box 14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06" name="Text Box 14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07" name="Text Box 14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08" name="Text Box 14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09" name="Text Box 14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10" name="Text Box 14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11" name="Text Box 14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12" name="Text Box 14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13" name="Text Box 14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14" name="Text Box 14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15" name="Text Box 14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16" name="Text Box 14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17" name="Text Box 14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18" name="Text Box 14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19" name="Text Box 14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20" name="Text Box 14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21" name="Text Box 14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22" name="Text Box 14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23" name="Text Box 14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24" name="Text Box 14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25" name="Text Box 14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26" name="Text Box 14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27" name="Text Box 14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28" name="Text Box 14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29" name="Text Box 14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30" name="Text Box 14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31" name="Text Box 14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32" name="Text Box 14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33" name="Text Box 14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34" name="Text Box 14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35" name="Text Box 14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36" name="Text Box 14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37" name="Text Box 14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38" name="Text Box 14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39" name="Text Box 14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40" name="Text Box 14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41" name="Text Box 14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42" name="Text Box 14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43" name="Text Box 14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44" name="Text Box 14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45" name="Text Box 14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46" name="Text Box 14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47" name="Text Box 14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48" name="Text Box 14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49" name="Text Box 14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50" name="Text Box 14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51" name="Text Box 14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52" name="Text Box 14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53" name="Text Box 14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54" name="Text Box 14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55" name="Text Box 14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56" name="Text Box 14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57" name="Text Box 14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58" name="Text Box 14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59" name="Text Box 14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60" name="Text Box 14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61" name="Text Box 14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62" name="Text Box 14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63" name="Text Box 14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64" name="Text Box 14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65" name="Text Box 14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66" name="Text Box 14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67" name="Text Box 14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68" name="Text Box 14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69" name="Text Box 14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70" name="Text Box 14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71" name="Text Box 14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72" name="Text Box 14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73" name="Text Box 14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74" name="Text Box 14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75" name="Text Box 15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76" name="Text Box 15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77" name="Text Box 15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78" name="Text Box 15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79" name="Text Box 15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80" name="Text Box 15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81" name="Text Box 15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82" name="Text Box 15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83" name="Text Box 15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84" name="Text Box 15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85" name="Text Box 15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86" name="Text Box 15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87" name="Text Box 15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88" name="Text Box 15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89" name="Text Box 15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90" name="Text Box 15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91" name="Text Box 15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92" name="Text Box 15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93" name="Text Box 15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94" name="Text Box 15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95" name="Text Box 15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96" name="Text Box 15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97" name="Text Box 15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98" name="Text Box 15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6999" name="Text Box 15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00" name="Text Box 15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01" name="Text Box 15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02" name="Text Box 15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03" name="Text Box 15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04" name="Text Box 15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05" name="Text Box 15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06" name="Text Box 15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07" name="Text Box 15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08" name="Text Box 15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09" name="Text Box 15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10" name="Text Box 15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11" name="Text Box 15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12" name="Text Box 15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13" name="Text Box 15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14" name="Text Box 15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15" name="Text Box 15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16" name="Text Box 15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17" name="Text Box 15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18" name="Text Box 15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19" name="Text Box 15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20" name="Text Box 15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21" name="Text Box 15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22" name="Text Box 15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23" name="Text Box 15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24" name="Text Box 15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25" name="Text Box 15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26" name="Text Box 15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27" name="Text Box 15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28" name="Text Box 15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29" name="Text Box 15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30" name="Text Box 15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31" name="Text Box 15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32" name="Text Box 15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33" name="Text Box 15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34" name="Text Box 15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35" name="Text Box 15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36" name="Text Box 15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37" name="Text Box 15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38" name="Text Box 15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39" name="Text Box 15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40" name="Text Box 15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41" name="Text Box 15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42" name="Text Box 15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43" name="Text Box 15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44" name="Text Box 15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45" name="Text Box 15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46" name="Text Box 15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47" name="Text Box 15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48" name="Text Box 15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49" name="Text Box 15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50" name="Text Box 15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51" name="Text Box 15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52" name="Text Box 15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53" name="Text Box 15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54" name="Text Box 15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55" name="Text Box 15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56" name="Text Box 15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57" name="Text Box 15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58" name="Text Box 15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59" name="Text Box 15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60" name="Text Box 15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61" name="Text Box 15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62" name="Text Box 15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63" name="Text Box 15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64" name="Text Box 15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65" name="Text Box 15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66" name="Text Box 15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67" name="Text Box 15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68" name="Text Box 15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69" name="Text Box 15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70" name="Text Box 15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71" name="Text Box 15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72" name="Text Box 15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73" name="Text Box 15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74" name="Text Box 15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75" name="Text Box 16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76" name="Text Box 16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77" name="Text Box 16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78" name="Text Box 16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79" name="Text Box 16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80" name="Text Box 16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81" name="Text Box 16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82" name="Text Box 16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83" name="Text Box 16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84" name="Text Box 16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85" name="Text Box 16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86" name="Text Box 16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87" name="Text Box 16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88" name="Text Box 16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89" name="Text Box 16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90" name="Text Box 16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91" name="Text Box 16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92" name="Text Box 16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93" name="Text Box 16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94" name="Text Box 16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95" name="Text Box 16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96" name="Text Box 16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97" name="Text Box 16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98" name="Text Box 16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099" name="Text Box 16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00" name="Text Box 16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01" name="Text Box 16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02" name="Text Box 16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03" name="Text Box 16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04" name="Text Box 16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05" name="Text Box 16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06" name="Text Box 16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07" name="Text Box 16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08" name="Text Box 16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09" name="Text Box 16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10" name="Text Box 16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11" name="Text Box 16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12" name="Text Box 16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13" name="Text Box 16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14" name="Text Box 16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15" name="Text Box 16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16" name="Text Box 16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17" name="Text Box 16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18" name="Text Box 16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19" name="Text Box 16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20" name="Text Box 16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21" name="Text Box 16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22" name="Text Box 16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23" name="Text Box 16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24" name="Text Box 16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25" name="Text Box 16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26" name="Text Box 16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27" name="Text Box 16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28" name="Text Box 16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29" name="Text Box 16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30" name="Text Box 16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31" name="Text Box 16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32" name="Text Box 16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33" name="Text Box 16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34" name="Text Box 16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35" name="Text Box 16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36" name="Text Box 16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37" name="Text Box 16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38" name="Text Box 16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39" name="Text Box 16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40" name="Text Box 16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41" name="Text Box 16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42" name="Text Box 16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43" name="Text Box 16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44" name="Text Box 16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45" name="Text Box 16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46" name="Text Box 16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47" name="Text Box 16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48" name="Text Box 16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49" name="Text Box 16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50" name="Text Box 16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51" name="Text Box 16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52" name="Text Box 16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53" name="Text Box 16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54" name="Text Box 16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55" name="Text Box 16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56" name="Text Box 16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57" name="Text Box 16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58" name="Text Box 16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59" name="Text Box 16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60" name="Text Box 16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61" name="Text Box 16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62" name="Text Box 16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63" name="Text Box 16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64" name="Text Box 16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65" name="Text Box 16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66" name="Text Box 16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67" name="Text Box 16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68" name="Text Box 16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69" name="Text Box 16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70" name="Text Box 16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71" name="Text Box 16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72" name="Text Box 16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73" name="Text Box 16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74" name="Text Box 16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75" name="Text Box 17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76" name="Text Box 17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77" name="Text Box 17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78" name="Text Box 17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79" name="Text Box 17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80" name="Text Box 17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81" name="Text Box 17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82" name="Text Box 17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83" name="Text Box 17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84" name="Text Box 17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85" name="Text Box 17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86" name="Text Box 17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87" name="Text Box 17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88" name="Text Box 17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89" name="Text Box 17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90" name="Text Box 17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91" name="Text Box 17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92" name="Text Box 17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93" name="Text Box 17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94" name="Text Box 17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95" name="Text Box 17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96" name="Text Box 17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97" name="Text Box 17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98" name="Text Box 17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199" name="Text Box 17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00" name="Text Box 17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01" name="Text Box 17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02" name="Text Box 17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03" name="Text Box 17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04" name="Text Box 17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05" name="Text Box 17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06" name="Text Box 17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07" name="Text Box 17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08" name="Text Box 17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09" name="Text Box 17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10" name="Text Box 17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11" name="Text Box 17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12" name="Text Box 17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13" name="Text Box 17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14" name="Text Box 17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15" name="Text Box 17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16" name="Text Box 17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17" name="Text Box 17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18" name="Text Box 17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19" name="Text Box 17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20" name="Text Box 17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21" name="Text Box 17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22" name="Text Box 17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23" name="Text Box 17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24" name="Text Box 17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25" name="Text Box 17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26" name="Text Box 17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27" name="Text Box 17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28" name="Text Box 17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29" name="Text Box 17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30" name="Text Box 17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31" name="Text Box 17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32" name="Text Box 17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33" name="Text Box 17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34" name="Text Box 17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35" name="Text Box 17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36" name="Text Box 17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37" name="Text Box 17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38" name="Text Box 17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39" name="Text Box 17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40" name="Text Box 17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41" name="Text Box 17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42" name="Text Box 17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43" name="Text Box 17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44" name="Text Box 17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45" name="Text Box 17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46" name="Text Box 17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47" name="Text Box 17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48" name="Text Box 17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49" name="Text Box 17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50" name="Text Box 17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51" name="Text Box 17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52" name="Text Box 17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53" name="Text Box 17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54" name="Text Box 17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55" name="Text Box 17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56" name="Text Box 17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57" name="Text Box 17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58" name="Text Box 17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59" name="Text Box 17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60" name="Text Box 17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61" name="Text Box 17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62" name="Text Box 17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63" name="Text Box 17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64" name="Text Box 17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65" name="Text Box 17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66" name="Text Box 17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67" name="Text Box 17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68" name="Text Box 17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69" name="Text Box 17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70" name="Text Box 17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71" name="Text Box 17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72" name="Text Box 17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73" name="Text Box 17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74" name="Text Box 17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75" name="Text Box 18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76" name="Text Box 18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77" name="Text Box 18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78" name="Text Box 18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79" name="Text Box 18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80" name="Text Box 18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81" name="Text Box 18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82" name="Text Box 18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83" name="Text Box 18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84" name="Text Box 18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85" name="Text Box 18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86" name="Text Box 18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87" name="Text Box 18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88" name="Text Box 18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89" name="Text Box 18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90" name="Text Box 18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91" name="Text Box 18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92" name="Text Box 18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93" name="Text Box 18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94" name="Text Box 18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95" name="Text Box 18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96" name="Text Box 18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97" name="Text Box 18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98" name="Text Box 18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299" name="Text Box 18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00" name="Text Box 18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01" name="Text Box 18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02" name="Text Box 18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03" name="Text Box 18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04" name="Text Box 18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05" name="Text Box 18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06" name="Text Box 18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07" name="Text Box 18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08" name="Text Box 18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09" name="Text Box 18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10" name="Text Box 18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11" name="Text Box 18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12" name="Text Box 18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13" name="Text Box 18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14" name="Text Box 18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15" name="Text Box 18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16" name="Text Box 18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17" name="Text Box 18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18" name="Text Box 18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19" name="Text Box 18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20" name="Text Box 18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21" name="Text Box 18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22" name="Text Box 18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23" name="Text Box 18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24" name="Text Box 18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25" name="Text Box 18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26" name="Text Box 18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27" name="Text Box 18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28" name="Text Box 18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29" name="Text Box 18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30" name="Text Box 18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31" name="Text Box 18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32" name="Text Box 18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33" name="Text Box 18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34" name="Text Box 18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35" name="Text Box 18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36" name="Text Box 18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37" name="Text Box 18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38" name="Text Box 18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39" name="Text Box 18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40" name="Text Box 18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41" name="Text Box 18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42" name="Text Box 18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43" name="Text Box 18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44" name="Text Box 18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45" name="Text Box 18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46" name="Text Box 18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47" name="Text Box 18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48" name="Text Box 18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49" name="Text Box 18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50" name="Text Box 18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51" name="Text Box 18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52" name="Text Box 18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53" name="Text Box 18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54" name="Text Box 18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55" name="Text Box 18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56" name="Text Box 18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57" name="Text Box 18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58" name="Text Box 18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59" name="Text Box 18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60" name="Text Box 18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61" name="Text Box 18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62" name="Text Box 18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63" name="Text Box 18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64" name="Text Box 18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65" name="Text Box 18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66" name="Text Box 18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67" name="Text Box 18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68" name="Text Box 18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69" name="Text Box 18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70" name="Text Box 18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71" name="Text Box 18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72" name="Text Box 18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73" name="Text Box 18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74" name="Text Box 18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75" name="Text Box 19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76" name="Text Box 19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77" name="Text Box 19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78" name="Text Box 19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79" name="Text Box 19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80" name="Text Box 19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81" name="Text Box 19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82" name="Text Box 19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83" name="Text Box 19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84" name="Text Box 19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85" name="Text Box 19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86" name="Text Box 19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87" name="Text Box 19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88" name="Text Box 19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89" name="Text Box 19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90" name="Text Box 19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91" name="Text Box 19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92" name="Text Box 19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93" name="Text Box 19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94" name="Text Box 19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95" name="Text Box 19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96" name="Text Box 19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97" name="Text Box 19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98" name="Text Box 19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399" name="Text Box 19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00" name="Text Box 19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01" name="Text Box 19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02" name="Text Box 19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03" name="Text Box 19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04" name="Text Box 19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05" name="Text Box 19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06" name="Text Box 19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07" name="Text Box 19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08" name="Text Box 19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09" name="Text Box 19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10" name="Text Box 19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11" name="Text Box 19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12" name="Text Box 19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13" name="Text Box 19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14" name="Text Box 19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15" name="Text Box 19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16" name="Text Box 19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17" name="Text Box 19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18" name="Text Box 19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19" name="Text Box 19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20" name="Text Box 19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21" name="Text Box 19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22" name="Text Box 19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23" name="Text Box 19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24" name="Text Box 19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25" name="Text Box 19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26" name="Text Box 19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27" name="Text Box 19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28" name="Text Box 19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29" name="Text Box 19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30" name="Text Box 19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31" name="Text Box 19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32" name="Text Box 19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33" name="Text Box 19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34" name="Text Box 19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35" name="Text Box 19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36" name="Text Box 19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37" name="Text Box 19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38" name="Text Box 19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39" name="Text Box 19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40" name="Text Box 19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41" name="Text Box 19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42" name="Text Box 19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43" name="Text Box 19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44" name="Text Box 19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45" name="Text Box 19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46" name="Text Box 19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47" name="Text Box 19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48" name="Text Box 19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49" name="Text Box 19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50" name="Text Box 19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51" name="Text Box 19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52" name="Text Box 19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53" name="Text Box 19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54" name="Text Box 19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55" name="Text Box 19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56" name="Text Box 19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57" name="Text Box 19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58" name="Text Box 19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59" name="Text Box 19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60" name="Text Box 19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61" name="Text Box 19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62" name="Text Box 19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63" name="Text Box 19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64" name="Text Box 19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65" name="Text Box 19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66" name="Text Box 19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67" name="Text Box 19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68" name="Text Box 19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69" name="Text Box 19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70" name="Text Box 19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71" name="Text Box 19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72" name="Text Box 19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73" name="Text Box 19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74" name="Text Box 19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75" name="Text Box 20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76" name="Text Box 20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77" name="Text Box 20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78" name="Text Box 20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79" name="Text Box 20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80" name="Text Box 20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81" name="Text Box 20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82" name="Text Box 20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83" name="Text Box 20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84" name="Text Box 20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85" name="Text Box 20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86" name="Text Box 20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87" name="Text Box 20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88" name="Text Box 20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89" name="Text Box 20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90" name="Text Box 20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91" name="Text Box 20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92" name="Text Box 20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93" name="Text Box 20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94" name="Text Box 20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95" name="Text Box 20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96" name="Text Box 20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97" name="Text Box 20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98" name="Text Box 20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499" name="Text Box 20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00" name="Text Box 20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01" name="Text Box 20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02" name="Text Box 20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03" name="Text Box 20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04" name="Text Box 20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05" name="Text Box 20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06" name="Text Box 20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07" name="Text Box 20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08" name="Text Box 20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09" name="Text Box 20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10" name="Text Box 20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11" name="Text Box 20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12" name="Text Box 20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13" name="Text Box 20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14" name="Text Box 20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15" name="Text Box 20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16" name="Text Box 20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17" name="Text Box 20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18" name="Text Box 20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19" name="Text Box 20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20" name="Text Box 20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21" name="Text Box 20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22" name="Text Box 20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23" name="Text Box 20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24" name="Text Box 20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25" name="Text Box 20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26" name="Text Box 20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27" name="Text Box 20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28" name="Text Box 20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29" name="Text Box 20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30" name="Text Box 20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31" name="Text Box 20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32" name="Text Box 20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33" name="Text Box 20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34" name="Text Box 20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35" name="Text Box 20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36" name="Text Box 20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37" name="Text Box 20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38" name="Text Box 20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39" name="Text Box 20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40" name="Text Box 20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41" name="Text Box 20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42" name="Text Box 20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43" name="Text Box 20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44" name="Text Box 20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45" name="Text Box 20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46" name="Text Box 20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47" name="Text Box 20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48" name="Text Box 20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49" name="Text Box 20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50" name="Text Box 20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51" name="Text Box 20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52" name="Text Box 20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53" name="Text Box 20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54" name="Text Box 20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55" name="Text Box 20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56" name="Text Box 20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57" name="Text Box 20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58" name="Text Box 20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59" name="Text Box 20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60" name="Text Box 20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61" name="Text Box 20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62" name="Text Box 20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63" name="Text Box 20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64" name="Text Box 20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65" name="Text Box 20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66" name="Text Box 20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67" name="Text Box 20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68" name="Text Box 20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69" name="Text Box 20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70" name="Text Box 20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71" name="Text Box 20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72" name="Text Box 20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73" name="Text Box 20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74" name="Text Box 20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75" name="Text Box 21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76" name="Text Box 21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77" name="Text Box 21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78" name="Text Box 21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79" name="Text Box 21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80" name="Text Box 21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81" name="Text Box 21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82" name="Text Box 21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83" name="Text Box 21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84" name="Text Box 21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85" name="Text Box 21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86" name="Text Box 21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87" name="Text Box 21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88" name="Text Box 21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89" name="Text Box 21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90" name="Text Box 21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91" name="Text Box 21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92" name="Text Box 21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93" name="Text Box 21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94" name="Text Box 21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95" name="Text Box 21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96" name="Text Box 21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97" name="Text Box 21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98" name="Text Box 21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599" name="Text Box 21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00" name="Text Box 21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01" name="Text Box 21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02" name="Text Box 21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03" name="Text Box 21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04" name="Text Box 21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05" name="Text Box 21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06" name="Text Box 21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07" name="Text Box 21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08" name="Text Box 21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09" name="Text Box 21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10" name="Text Box 21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11" name="Text Box 21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12" name="Text Box 21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13" name="Text Box 21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14" name="Text Box 21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15" name="Text Box 21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16" name="Text Box 21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17" name="Text Box 21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18" name="Text Box 21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19" name="Text Box 21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20" name="Text Box 21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21" name="Text Box 21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22" name="Text Box 21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23" name="Text Box 21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24" name="Text Box 21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25" name="Text Box 21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26" name="Text Box 21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27" name="Text Box 21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28" name="Text Box 21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29" name="Text Box 21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30" name="Text Box 21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31" name="Text Box 21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32" name="Text Box 21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33" name="Text Box 21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34" name="Text Box 21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35" name="Text Box 21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36" name="Text Box 21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37" name="Text Box 21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38" name="Text Box 21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39" name="Text Box 21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40" name="Text Box 21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41" name="Text Box 21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42" name="Text Box 21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43" name="Text Box 21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44" name="Text Box 21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45" name="Text Box 21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46" name="Text Box 21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47" name="Text Box 21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48" name="Text Box 21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49" name="Text Box 21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50" name="Text Box 21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51" name="Text Box 21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52" name="Text Box 21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53" name="Text Box 21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54" name="Text Box 21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55" name="Text Box 21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56" name="Text Box 21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57" name="Text Box 21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58" name="Text Box 21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59" name="Text Box 21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60" name="Text Box 21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61" name="Text Box 21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62" name="Text Box 21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63" name="Text Box 21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64" name="Text Box 21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65" name="Text Box 21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66" name="Text Box 21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67" name="Text Box 21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68" name="Text Box 21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69" name="Text Box 21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70" name="Text Box 21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71" name="Text Box 21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72" name="Text Box 21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73" name="Text Box 21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74" name="Text Box 21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75" name="Text Box 22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76" name="Text Box 22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77" name="Text Box 22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78" name="Text Box 22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79" name="Text Box 22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80" name="Text Box 22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81" name="Text Box 22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82" name="Text Box 22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83" name="Text Box 22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84" name="Text Box 22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85" name="Text Box 22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86" name="Text Box 22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87" name="Text Box 22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88" name="Text Box 22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89" name="Text Box 22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90" name="Text Box 22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91" name="Text Box 22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92" name="Text Box 22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93" name="Text Box 22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94" name="Text Box 22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95" name="Text Box 22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96" name="Text Box 22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97" name="Text Box 22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98" name="Text Box 22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699" name="Text Box 22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00" name="Text Box 22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01" name="Text Box 22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02" name="Text Box 22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03" name="Text Box 22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04" name="Text Box 22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05" name="Text Box 22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06" name="Text Box 22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07" name="Text Box 22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08" name="Text Box 22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09" name="Text Box 22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10" name="Text Box 22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11" name="Text Box 22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12" name="Text Box 22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13" name="Text Box 22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14" name="Text Box 22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15" name="Text Box 22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16" name="Text Box 22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17" name="Text Box 22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18" name="Text Box 22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19" name="Text Box 22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20" name="Text Box 22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21" name="Text Box 22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22" name="Text Box 22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23" name="Text Box 22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24" name="Text Box 22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25" name="Text Box 22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26" name="Text Box 22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27" name="Text Box 22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28" name="Text Box 22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29" name="Text Box 22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30" name="Text Box 22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31" name="Text Box 22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32" name="Text Box 22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33" name="Text Box 22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34" name="Text Box 22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35" name="Text Box 22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36" name="Text Box 22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37" name="Text Box 22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38" name="Text Box 22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39" name="Text Box 22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40" name="Text Box 22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41" name="Text Box 22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42" name="Text Box 22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43" name="Text Box 22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44" name="Text Box 22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45" name="Text Box 22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46" name="Text Box 22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47" name="Text Box 22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48" name="Text Box 22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49" name="Text Box 22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50" name="Text Box 22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51" name="Text Box 22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52" name="Text Box 22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53" name="Text Box 22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54" name="Text Box 22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55" name="Text Box 22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56" name="Text Box 22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57" name="Text Box 22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58" name="Text Box 22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59" name="Text Box 22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60" name="Text Box 22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61" name="Text Box 22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62" name="Text Box 22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63" name="Text Box 22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64" name="Text Box 22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65" name="Text Box 22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66" name="Text Box 22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67" name="Text Box 22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68" name="Text Box 22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69" name="Text Box 22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70" name="Text Box 22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71" name="Text Box 22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72" name="Text Box 22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73" name="Text Box 22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74" name="Text Box 22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75" name="Text Box 23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76" name="Text Box 23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77" name="Text Box 23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78" name="Text Box 23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79" name="Text Box 23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80" name="Text Box 23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81" name="Text Box 23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82" name="Text Box 23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83" name="Text Box 23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84" name="Text Box 23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85" name="Text Box 23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86" name="Text Box 23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87" name="Text Box 23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88" name="Text Box 23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89" name="Text Box 23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90" name="Text Box 23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91" name="Text Box 23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92" name="Text Box 23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93" name="Text Box 23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94" name="Text Box 23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95" name="Text Box 23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96" name="Text Box 23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97" name="Text Box 23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98" name="Text Box 23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799" name="Text Box 23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00" name="Text Box 23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01" name="Text Box 23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02" name="Text Box 23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03" name="Text Box 23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04" name="Text Box 23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05" name="Text Box 23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06" name="Text Box 23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07" name="Text Box 23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08" name="Text Box 23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09" name="Text Box 23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10" name="Text Box 23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11" name="Text Box 23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12" name="Text Box 23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13" name="Text Box 23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14" name="Text Box 23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15" name="Text Box 23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16" name="Text Box 23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17" name="Text Box 23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18" name="Text Box 23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19" name="Text Box 23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20" name="Text Box 23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21" name="Text Box 23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22" name="Text Box 23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23" name="Text Box 23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24" name="Text Box 23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25" name="Text Box 23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26" name="Text Box 23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27" name="Text Box 23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28" name="Text Box 23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29" name="Text Box 23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30" name="Text Box 23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31" name="Text Box 23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32" name="Text Box 23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33" name="Text Box 23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34" name="Text Box 23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35" name="Text Box 23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36" name="Text Box 23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37" name="Text Box 23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38" name="Text Box 23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39" name="Text Box 23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40" name="Text Box 23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41" name="Text Box 23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42" name="Text Box 23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43" name="Text Box 23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44" name="Text Box 23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45" name="Text Box 23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46" name="Text Box 23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47" name="Text Box 23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48" name="Text Box 23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49" name="Text Box 23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50" name="Text Box 23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51" name="Text Box 23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52" name="Text Box 23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53" name="Text Box 23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54" name="Text Box 23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55" name="Text Box 23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56" name="Text Box 23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57" name="Text Box 23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58" name="Text Box 23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59" name="Text Box 23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60" name="Text Box 23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61" name="Text Box 23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62" name="Text Box 23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63" name="Text Box 23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64" name="Text Box 23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65" name="Text Box 23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66" name="Text Box 23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67" name="Text Box 23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68" name="Text Box 23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69" name="Text Box 23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70" name="Text Box 23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71" name="Text Box 23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72" name="Text Box 23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73" name="Text Box 23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74" name="Text Box 23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75" name="Text Box 24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76" name="Text Box 24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77" name="Text Box 24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78" name="Text Box 24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79" name="Text Box 24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80" name="Text Box 24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81" name="Text Box 24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82" name="Text Box 24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83" name="Text Box 24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84" name="Text Box 24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85" name="Text Box 24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86" name="Text Box 24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87" name="Text Box 24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88" name="Text Box 24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89" name="Text Box 24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90" name="Text Box 24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91" name="Text Box 24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92" name="Text Box 24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93" name="Text Box 24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94" name="Text Box 24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95" name="Text Box 24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96" name="Text Box 24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97" name="Text Box 24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98" name="Text Box 24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899" name="Text Box 24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00" name="Text Box 24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01" name="Text Box 24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02" name="Text Box 24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03" name="Text Box 24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04" name="Text Box 24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05" name="Text Box 24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06" name="Text Box 24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07" name="Text Box 24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08" name="Text Box 24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09" name="Text Box 24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10" name="Text Box 24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11" name="Text Box 24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12" name="Text Box 24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13" name="Text Box 24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14" name="Text Box 24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15" name="Text Box 24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16" name="Text Box 24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17" name="Text Box 24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18" name="Text Box 24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19" name="Text Box 24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20" name="Text Box 24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21" name="Text Box 24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22" name="Text Box 24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23" name="Text Box 24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24" name="Text Box 24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25" name="Text Box 24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26" name="Text Box 24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27" name="Text Box 24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28" name="Text Box 24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29" name="Text Box 24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30" name="Text Box 24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31" name="Text Box 24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32" name="Text Box 24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33" name="Text Box 24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34" name="Text Box 24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35" name="Text Box 24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36" name="Text Box 24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37" name="Text Box 24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38" name="Text Box 24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39" name="Text Box 24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40" name="Text Box 24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41" name="Text Box 24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42" name="Text Box 24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43" name="Text Box 24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44" name="Text Box 24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45" name="Text Box 24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46" name="Text Box 24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47" name="Text Box 24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48" name="Text Box 24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49" name="Text Box 24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50" name="Text Box 24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51" name="Text Box 24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52" name="Text Box 24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53" name="Text Box 24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54" name="Text Box 24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55" name="Text Box 24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56" name="Text Box 24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57" name="Text Box 24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58" name="Text Box 24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59" name="Text Box 24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60" name="Text Box 24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61" name="Text Box 24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62" name="Text Box 24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63" name="Text Box 24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64" name="Text Box 24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65" name="Text Box 24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66" name="Text Box 24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67" name="Text Box 24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68" name="Text Box 24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69" name="Text Box 24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70" name="Text Box 24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71" name="Text Box 24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72" name="Text Box 24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73" name="Text Box 24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74" name="Text Box 24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75" name="Text Box 25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76" name="Text Box 25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77" name="Text Box 25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78" name="Text Box 25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79" name="Text Box 25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80" name="Text Box 25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81" name="Text Box 25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82" name="Text Box 25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83" name="Text Box 25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84" name="Text Box 25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85" name="Text Box 25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86" name="Text Box 25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87" name="Text Box 25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88" name="Text Box 25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89" name="Text Box 25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90" name="Text Box 25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91" name="Text Box 25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92" name="Text Box 25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93" name="Text Box 25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94" name="Text Box 25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95" name="Text Box 25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96" name="Text Box 25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97" name="Text Box 25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98" name="Text Box 25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7999" name="Text Box 25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00" name="Text Box 25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01" name="Text Box 25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02" name="Text Box 25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03" name="Text Box 25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04" name="Text Box 25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05" name="Text Box 25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06" name="Text Box 25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07" name="Text Box 25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08" name="Text Box 25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09" name="Text Box 25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10" name="Text Box 25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11" name="Text Box 25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12" name="Text Box 25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13" name="Text Box 25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14" name="Text Box 25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15" name="Text Box 25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16" name="Text Box 25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17" name="Text Box 25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18" name="Text Box 25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19" name="Text Box 25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20" name="Text Box 25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21" name="Text Box 25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22" name="Text Box 25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23" name="Text Box 25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24" name="Text Box 25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25" name="Text Box 25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26" name="Text Box 25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27" name="Text Box 25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28" name="Text Box 25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29" name="Text Box 25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30" name="Text Box 25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31" name="Text Box 25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32" name="Text Box 25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33" name="Text Box 25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34" name="Text Box 25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35" name="Text Box 25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36" name="Text Box 25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37" name="Text Box 25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38" name="Text Box 25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39" name="Text Box 25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40" name="Text Box 25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41" name="Text Box 25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42" name="Text Box 25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43" name="Text Box 25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44" name="Text Box 25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45" name="Text Box 25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46" name="Text Box 25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47" name="Text Box 25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48" name="Text Box 25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49" name="Text Box 25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50" name="Text Box 25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51" name="Text Box 25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52" name="Text Box 25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53" name="Text Box 25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54" name="Text Box 25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55" name="Text Box 25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56" name="Text Box 25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57" name="Text Box 25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58" name="Text Box 25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59" name="Text Box 25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60" name="Text Box 25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61" name="Text Box 25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62" name="Text Box 25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63" name="Text Box 25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64" name="Text Box 25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65" name="Text Box 25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66" name="Text Box 25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67" name="Text Box 25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68" name="Text Box 25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69" name="Text Box 25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70" name="Text Box 25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71" name="Text Box 25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72" name="Text Box 25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73" name="Text Box 25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74" name="Text Box 25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75" name="Text Box 26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76" name="Text Box 26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77" name="Text Box 26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78" name="Text Box 26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79" name="Text Box 26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80" name="Text Box 26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81" name="Text Box 26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82" name="Text Box 26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83" name="Text Box 26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84" name="Text Box 26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85" name="Text Box 26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86" name="Text Box 26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87" name="Text Box 26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88" name="Text Box 26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89" name="Text Box 26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90" name="Text Box 26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91" name="Text Box 26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92" name="Text Box 26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93" name="Text Box 26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94" name="Text Box 26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95" name="Text Box 26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96" name="Text Box 26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97" name="Text Box 26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98" name="Text Box 26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099" name="Text Box 26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00" name="Text Box 26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01" name="Text Box 26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02" name="Text Box 26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03" name="Text Box 26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04" name="Text Box 26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05" name="Text Box 26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06" name="Text Box 26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07" name="Text Box 26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08" name="Text Box 26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09" name="Text Box 26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10" name="Text Box 26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11" name="Text Box 26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12" name="Text Box 26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13" name="Text Box 26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14" name="Text Box 26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15" name="Text Box 26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16" name="Text Box 26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17" name="Text Box 26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18" name="Text Box 26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19" name="Text Box 26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20" name="Text Box 26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21" name="Text Box 26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22" name="Text Box 26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23" name="Text Box 26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24" name="Text Box 26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25" name="Text Box 26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26" name="Text Box 26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27" name="Text Box 26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28" name="Text Box 26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29" name="Text Box 26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30" name="Text Box 26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31" name="Text Box 26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32" name="Text Box 26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33" name="Text Box 26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34" name="Text Box 26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35" name="Text Box 26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36" name="Text Box 26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37" name="Text Box 26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38" name="Text Box 26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39" name="Text Box 26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40" name="Text Box 26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41" name="Text Box 26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42" name="Text Box 26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43" name="Text Box 26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44" name="Text Box 26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45" name="Text Box 26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46" name="Text Box 26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47" name="Text Box 26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48" name="Text Box 26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49" name="Text Box 26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50" name="Text Box 26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51" name="Text Box 26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52" name="Text Box 26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53" name="Text Box 26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54" name="Text Box 26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55" name="Text Box 26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56" name="Text Box 26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57" name="Text Box 26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58" name="Text Box 26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59" name="Text Box 26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60" name="Text Box 26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61" name="Text Box 26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62" name="Text Box 26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63" name="Text Box 26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64" name="Text Box 26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65" name="Text Box 26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66" name="Text Box 26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67" name="Text Box 26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68" name="Text Box 26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69" name="Text Box 26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70" name="Text Box 26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71" name="Text Box 26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72" name="Text Box 26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73" name="Text Box 26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74" name="Text Box 26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75" name="Text Box 27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76" name="Text Box 27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77" name="Text Box 27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78" name="Text Box 27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79" name="Text Box 27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80" name="Text Box 27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81" name="Text Box 27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82" name="Text Box 27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83" name="Text Box 27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84" name="Text Box 27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85" name="Text Box 27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86" name="Text Box 27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87" name="Text Box 27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88" name="Text Box 27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89" name="Text Box 27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90" name="Text Box 27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91" name="Text Box 27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92" name="Text Box 27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93" name="Text Box 27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94" name="Text Box 27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95" name="Text Box 27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96" name="Text Box 27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97" name="Text Box 27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98" name="Text Box 27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199" name="Text Box 27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00" name="Text Box 27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01" name="Text Box 27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02" name="Text Box 27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03" name="Text Box 27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04" name="Text Box 27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05" name="Text Box 27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06" name="Text Box 27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07" name="Text Box 27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08" name="Text Box 27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09" name="Text Box 27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10" name="Text Box 27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11" name="Text Box 27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12" name="Text Box 27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13" name="Text Box 27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14" name="Text Box 27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15" name="Text Box 27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16" name="Text Box 27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17" name="Text Box 27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18" name="Text Box 27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19" name="Text Box 27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20" name="Text Box 27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21" name="Text Box 27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22" name="Text Box 27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23" name="Text Box 27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24" name="Text Box 27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25" name="Text Box 27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26" name="Text Box 27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27" name="Text Box 27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28" name="Text Box 27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29" name="Text Box 27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30" name="Text Box 27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31" name="Text Box 27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32" name="Text Box 27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33" name="Text Box 27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34" name="Text Box 27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35" name="Text Box 27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36" name="Text Box 27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37" name="Text Box 27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38" name="Text Box 27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39" name="Text Box 27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40" name="Text Box 27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41" name="Text Box 27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42" name="Text Box 27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43" name="Text Box 27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44" name="Text Box 27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45" name="Text Box 27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46" name="Text Box 27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47" name="Text Box 27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48" name="Text Box 27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49" name="Text Box 27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50" name="Text Box 27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51" name="Text Box 27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52" name="Text Box 27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53" name="Text Box 27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54" name="Text Box 27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55" name="Text Box 27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56" name="Text Box 27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57" name="Text Box 27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58" name="Text Box 27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59" name="Text Box 27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60" name="Text Box 27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61" name="Text Box 27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62" name="Text Box 27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63" name="Text Box 27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64" name="Text Box 27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65" name="Text Box 27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66" name="Text Box 27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67" name="Text Box 27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68" name="Text Box 27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69" name="Text Box 27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70" name="Text Box 27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71" name="Text Box 27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72" name="Text Box 27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73" name="Text Box 27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74" name="Text Box 27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75" name="Text Box 28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76" name="Text Box 28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77" name="Text Box 28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78" name="Text Box 28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79" name="Text Box 28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80" name="Text Box 28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81" name="Text Box 28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82" name="Text Box 28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83" name="Text Box 28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84" name="Text Box 28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85" name="Text Box 28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86" name="Text Box 28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87" name="Text Box 28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88" name="Text Box 28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89" name="Text Box 28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90" name="Text Box 28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91" name="Text Box 28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92" name="Text Box 28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93" name="Text Box 28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94" name="Text Box 28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95" name="Text Box 28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96" name="Text Box 28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97" name="Text Box 28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98" name="Text Box 28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299" name="Text Box 28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00" name="Text Box 28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01" name="Text Box 28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02" name="Text Box 28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03" name="Text Box 28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04" name="Text Box 28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05" name="Text Box 28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06" name="Text Box 28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07" name="Text Box 28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08" name="Text Box 28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09" name="Text Box 28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10" name="Text Box 28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11" name="Text Box 28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12" name="Text Box 28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13" name="Text Box 28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14" name="Text Box 28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15" name="Text Box 28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16" name="Text Box 28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17" name="Text Box 28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18" name="Text Box 28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19" name="Text Box 28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20" name="Text Box 28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21" name="Text Box 28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22" name="Text Box 28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23" name="Text Box 28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24" name="Text Box 28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25" name="Text Box 28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26" name="Text Box 28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27" name="Text Box 28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28" name="Text Box 28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29" name="Text Box 28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30" name="Text Box 28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31" name="Text Box 28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32" name="Text Box 28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33" name="Text Box 28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34" name="Text Box 28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35" name="Text Box 28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36" name="Text Box 28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37" name="Text Box 28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38" name="Text Box 28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39" name="Text Box 28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40" name="Text Box 28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41" name="Text Box 28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42" name="Text Box 28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43" name="Text Box 28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44" name="Text Box 28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45" name="Text Box 28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46" name="Text Box 28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47" name="Text Box 28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48" name="Text Box 28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49" name="Text Box 28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50" name="Text Box 28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51" name="Text Box 28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52" name="Text Box 28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53" name="Text Box 28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54" name="Text Box 28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55" name="Text Box 28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56" name="Text Box 28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57" name="Text Box 28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58" name="Text Box 28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59" name="Text Box 28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60" name="Text Box 28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61" name="Text Box 28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62" name="Text Box 28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63" name="Text Box 28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64" name="Text Box 28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65" name="Text Box 28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66" name="Text Box 28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67" name="Text Box 28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68" name="Text Box 28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69" name="Text Box 28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70" name="Text Box 28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71" name="Text Box 28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72" name="Text Box 28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73" name="Text Box 28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74" name="Text Box 289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75" name="Text Box 290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76" name="Text Box 290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77" name="Text Box 290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78" name="Text Box 290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79" name="Text Box 290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80" name="Text Box 290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81" name="Text Box 290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82" name="Text Box 290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83" name="Text Box 290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84" name="Text Box 290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85" name="Text Box 291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86" name="Text Box 291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87" name="Text Box 291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88" name="Text Box 291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89" name="Text Box 291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90" name="Text Box 291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91" name="Text Box 291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92" name="Text Box 291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93" name="Text Box 291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94" name="Text Box 291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95" name="Text Box 292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96" name="Text Box 292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97" name="Text Box 292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98" name="Text Box 292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399" name="Text Box 292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00" name="Text Box 292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01" name="Text Box 292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02" name="Text Box 292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03" name="Text Box 292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04" name="Text Box 292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05" name="Text Box 293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06" name="Text Box 293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07" name="Text Box 293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08" name="Text Box 293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09" name="Text Box 293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10" name="Text Box 293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11" name="Text Box 293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12" name="Text Box 293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13" name="Text Box 293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14" name="Text Box 293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15" name="Text Box 294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16" name="Text Box 294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17" name="Text Box 294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18" name="Text Box 294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19" name="Text Box 294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20" name="Text Box 294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21" name="Text Box 294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22" name="Text Box 294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23" name="Text Box 294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24" name="Text Box 294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25" name="Text Box 295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26" name="Text Box 295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27" name="Text Box 295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28" name="Text Box 295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29" name="Text Box 295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30" name="Text Box 295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31" name="Text Box 295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32" name="Text Box 295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33" name="Text Box 295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34" name="Text Box 295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35" name="Text Box 296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36" name="Text Box 296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37" name="Text Box 296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38" name="Text Box 296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39" name="Text Box 296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40" name="Text Box 296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41" name="Text Box 296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42" name="Text Box 296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43" name="Text Box 296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44" name="Text Box 296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45" name="Text Box 297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46" name="Text Box 297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47" name="Text Box 297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48" name="Text Box 297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49" name="Text Box 297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50" name="Text Box 297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51" name="Text Box 297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52" name="Text Box 297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53" name="Text Box 297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54" name="Text Box 297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55" name="Text Box 298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56" name="Text Box 298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57" name="Text Box 298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58" name="Text Box 298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59" name="Text Box 298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60" name="Text Box 298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61" name="Text Box 298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62" name="Text Box 298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63" name="Text Box 298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64" name="Text Box 2989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65" name="Text Box 2990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66" name="Text Box 2991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67" name="Text Box 2992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68" name="Text Box 2993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69" name="Text Box 2994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70" name="Text Box 2995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71" name="Text Box 2996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72" name="Text Box 2997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76200</xdr:colOff>
      <xdr:row>2</xdr:row>
      <xdr:rowOff>19050</xdr:rowOff>
    </xdr:to>
    <xdr:sp macro="" textlink="">
      <xdr:nvSpPr>
        <xdr:cNvPr id="8473" name="Text Box 2998"/>
        <xdr:cNvSpPr txBox="1">
          <a:spLocks noChangeArrowheads="1"/>
        </xdr:cNvSpPr>
      </xdr:nvSpPr>
      <xdr:spPr bwMode="auto">
        <a:xfrm>
          <a:off x="8096250" y="190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16</xdr:row>
      <xdr:rowOff>104775</xdr:rowOff>
    </xdr:from>
    <xdr:to>
      <xdr:col>7</xdr:col>
      <xdr:colOff>0</xdr:colOff>
      <xdr:row>29</xdr:row>
      <xdr:rowOff>95250</xdr:rowOff>
    </xdr:to>
    <xdr:sp macro="" textlink="">
      <xdr:nvSpPr>
        <xdr:cNvPr id="21508" name="Text Box 4"/>
        <xdr:cNvSpPr txBox="1">
          <a:spLocks noChangeArrowheads="1"/>
        </xdr:cNvSpPr>
      </xdr:nvSpPr>
      <xdr:spPr bwMode="auto">
        <a:xfrm>
          <a:off x="1971675" y="3476625"/>
          <a:ext cx="2828925" cy="2219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ここに振込票のコピーを張付けて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下記までお送り下さい</a:t>
          </a:r>
        </a:p>
        <a:p>
          <a:pPr algn="ctr" rtl="0">
            <a:defRPr sz="1000"/>
          </a:pPr>
          <a:r>
            <a:rPr lang="ja-JP" altLang="en-US" sz="1100" b="1" i="0" strike="noStrike">
              <a:solidFill>
                <a:srgbClr val="FF0000"/>
              </a:solidFill>
              <a:latin typeface="ＭＳ 明朝"/>
              <a:ea typeface="ＭＳ 明朝"/>
            </a:rPr>
            <a:t>大会申込締切の翌日必着となります。</a:t>
          </a:r>
          <a:endParaRPr lang="ja-JP" altLang="en-US" sz="1100" b="0" i="0" strike="noStrike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strike="noStrike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明朝"/>
              <a:ea typeface="ＭＳ 明朝"/>
            </a:rPr>
            <a:t>516-0023 </a:t>
          </a: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伊勢市宇治舘町</a:t>
          </a:r>
          <a:r>
            <a:rPr lang="en-US" altLang="ja-JP" sz="1100" b="0" i="0" strike="noStrike">
              <a:solidFill>
                <a:srgbClr val="000000"/>
              </a:solidFill>
              <a:latin typeface="ＭＳ 明朝"/>
              <a:ea typeface="ＭＳ 明朝"/>
            </a:rPr>
            <a:t>510</a:t>
          </a:r>
        </a:p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三重交通Ｇスポーツの杜伊勢内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三重陸上競技協会事務局　宛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strike="noStrike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中体連へ現金を送付の時は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この用紙を同封の上、送付願います。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strike="noStrike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1</xdr:col>
      <xdr:colOff>219075</xdr:colOff>
      <xdr:row>38</xdr:row>
      <xdr:rowOff>0</xdr:rowOff>
    </xdr:from>
    <xdr:to>
      <xdr:col>5</xdr:col>
      <xdr:colOff>304800</xdr:colOff>
      <xdr:row>38</xdr:row>
      <xdr:rowOff>0</xdr:rowOff>
    </xdr:to>
    <xdr:sp macro="" textlink="">
      <xdr:nvSpPr>
        <xdr:cNvPr id="21513" name="Text Box 9"/>
        <xdr:cNvSpPr txBox="1">
          <a:spLocks noChangeArrowheads="1"/>
        </xdr:cNvSpPr>
      </xdr:nvSpPr>
      <xdr:spPr bwMode="auto">
        <a:xfrm>
          <a:off x="904875" y="7143750"/>
          <a:ext cx="28289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ここに振込票のコピーを張付けて</a:t>
          </a:r>
        </a:p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三重陸協事務局までお送り下さい</a:t>
          </a:r>
        </a:p>
        <a:p>
          <a:pPr algn="ctr" rtl="0">
            <a:defRPr sz="1000"/>
          </a:pPr>
          <a:endParaRPr lang="ja-JP" altLang="en-US" sz="1100" b="0" i="0" strike="noStrike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1</xdr:col>
      <xdr:colOff>219075</xdr:colOff>
      <xdr:row>38</xdr:row>
      <xdr:rowOff>0</xdr:rowOff>
    </xdr:from>
    <xdr:to>
      <xdr:col>5</xdr:col>
      <xdr:colOff>304800</xdr:colOff>
      <xdr:row>38</xdr:row>
      <xdr:rowOff>0</xdr:rowOff>
    </xdr:to>
    <xdr:sp macro="" textlink="">
      <xdr:nvSpPr>
        <xdr:cNvPr id="21518" name="Text Box 14"/>
        <xdr:cNvSpPr txBox="1">
          <a:spLocks noChangeArrowheads="1"/>
        </xdr:cNvSpPr>
      </xdr:nvSpPr>
      <xdr:spPr bwMode="auto">
        <a:xfrm>
          <a:off x="904875" y="7143750"/>
          <a:ext cx="28289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ここに振込票のコピーを張付けて</a:t>
          </a:r>
        </a:p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三重陸協事務局までお送り下さい</a:t>
          </a:r>
        </a:p>
        <a:p>
          <a:pPr algn="ctr" rtl="0">
            <a:defRPr sz="1000"/>
          </a:pPr>
          <a:endParaRPr lang="ja-JP" altLang="en-US" sz="1100" b="0" i="0" strike="noStrike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7</xdr:col>
      <xdr:colOff>400050</xdr:colOff>
      <xdr:row>38</xdr:row>
      <xdr:rowOff>0</xdr:rowOff>
    </xdr:from>
    <xdr:to>
      <xdr:col>7</xdr:col>
      <xdr:colOff>409575</xdr:colOff>
      <xdr:row>38</xdr:row>
      <xdr:rowOff>0</xdr:rowOff>
    </xdr:to>
    <xdr:sp macro="" textlink="">
      <xdr:nvSpPr>
        <xdr:cNvPr id="225951" name="Line 21"/>
        <xdr:cNvSpPr>
          <a:spLocks noChangeShapeType="1"/>
        </xdr:cNvSpPr>
      </xdr:nvSpPr>
      <xdr:spPr bwMode="auto">
        <a:xfrm flipH="1">
          <a:off x="5200650" y="7143750"/>
          <a:ext cx="9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180975</xdr:colOff>
      <xdr:row>38</xdr:row>
      <xdr:rowOff>0</xdr:rowOff>
    </xdr:from>
    <xdr:to>
      <xdr:col>7</xdr:col>
      <xdr:colOff>504825</xdr:colOff>
      <xdr:row>38</xdr:row>
      <xdr:rowOff>0</xdr:rowOff>
    </xdr:to>
    <xdr:sp macro="" textlink="">
      <xdr:nvSpPr>
        <xdr:cNvPr id="21526" name="Text Box 22"/>
        <xdr:cNvSpPr txBox="1">
          <a:spLocks noChangeArrowheads="1"/>
        </xdr:cNvSpPr>
      </xdr:nvSpPr>
      <xdr:spPr bwMode="auto">
        <a:xfrm>
          <a:off x="4981575" y="7143750"/>
          <a:ext cx="3238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切り取り線</a:t>
          </a:r>
        </a:p>
      </xdr:txBody>
    </xdr:sp>
    <xdr:clientData/>
  </xdr:twoCellAnchor>
  <xdr:twoCellAnchor>
    <xdr:from>
      <xdr:col>7</xdr:col>
      <xdr:colOff>390525</xdr:colOff>
      <xdr:row>38</xdr:row>
      <xdr:rowOff>0</xdr:rowOff>
    </xdr:from>
    <xdr:to>
      <xdr:col>7</xdr:col>
      <xdr:colOff>390525</xdr:colOff>
      <xdr:row>38</xdr:row>
      <xdr:rowOff>0</xdr:rowOff>
    </xdr:to>
    <xdr:sp macro="" textlink="">
      <xdr:nvSpPr>
        <xdr:cNvPr id="225953" name="Line 23"/>
        <xdr:cNvSpPr>
          <a:spLocks noChangeShapeType="1"/>
        </xdr:cNvSpPr>
      </xdr:nvSpPr>
      <xdr:spPr bwMode="auto">
        <a:xfrm flipH="1">
          <a:off x="5191125" y="714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38</xdr:row>
      <xdr:rowOff>0</xdr:rowOff>
    </xdr:from>
    <xdr:to>
      <xdr:col>8</xdr:col>
      <xdr:colOff>0</xdr:colOff>
      <xdr:row>38</xdr:row>
      <xdr:rowOff>0</xdr:rowOff>
    </xdr:to>
    <xdr:sp macro="" textlink="">
      <xdr:nvSpPr>
        <xdr:cNvPr id="21529" name="Text Box 25"/>
        <xdr:cNvSpPr txBox="1">
          <a:spLocks noChangeArrowheads="1"/>
        </xdr:cNvSpPr>
      </xdr:nvSpPr>
      <xdr:spPr bwMode="auto">
        <a:xfrm>
          <a:off x="5381625" y="71437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ここに振込票のコピーを張付けて</a:t>
          </a:r>
        </a:p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三重陸協事務局までお送り下さい</a:t>
          </a:r>
        </a:p>
        <a:p>
          <a:pPr algn="ctr" rtl="0">
            <a:defRPr sz="1000"/>
          </a:pPr>
          <a:endParaRPr lang="ja-JP" altLang="en-US" sz="1100" b="0" i="0" strike="noStrike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締切日</a:t>
          </a:r>
          <a:r>
            <a:rPr lang="en-US" altLang="ja-JP" sz="1100" b="0" i="0" strike="noStrike">
              <a:solidFill>
                <a:srgbClr val="000000"/>
              </a:solidFill>
              <a:latin typeface="ＭＳ 明朝"/>
              <a:ea typeface="ＭＳ 明朝"/>
            </a:rPr>
            <a:t>1/9</a:t>
          </a:r>
        </a:p>
      </xdr:txBody>
    </xdr:sp>
    <xdr:clientData/>
  </xdr:twoCellAnchor>
  <xdr:twoCellAnchor>
    <xdr:from>
      <xdr:col>7</xdr:col>
      <xdr:colOff>371475</xdr:colOff>
      <xdr:row>38</xdr:row>
      <xdr:rowOff>0</xdr:rowOff>
    </xdr:from>
    <xdr:to>
      <xdr:col>7</xdr:col>
      <xdr:colOff>381000</xdr:colOff>
      <xdr:row>38</xdr:row>
      <xdr:rowOff>0</xdr:rowOff>
    </xdr:to>
    <xdr:sp macro="" textlink="">
      <xdr:nvSpPr>
        <xdr:cNvPr id="225955" name="Line 26"/>
        <xdr:cNvSpPr>
          <a:spLocks noChangeShapeType="1"/>
        </xdr:cNvSpPr>
      </xdr:nvSpPr>
      <xdr:spPr bwMode="auto">
        <a:xfrm flipH="1">
          <a:off x="5172075" y="7143750"/>
          <a:ext cx="9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171450</xdr:colOff>
      <xdr:row>38</xdr:row>
      <xdr:rowOff>0</xdr:rowOff>
    </xdr:from>
    <xdr:to>
      <xdr:col>7</xdr:col>
      <xdr:colOff>495300</xdr:colOff>
      <xdr:row>38</xdr:row>
      <xdr:rowOff>0</xdr:rowOff>
    </xdr:to>
    <xdr:sp macro="" textlink="">
      <xdr:nvSpPr>
        <xdr:cNvPr id="21531" name="Text Box 27"/>
        <xdr:cNvSpPr txBox="1">
          <a:spLocks noChangeArrowheads="1"/>
        </xdr:cNvSpPr>
      </xdr:nvSpPr>
      <xdr:spPr bwMode="auto">
        <a:xfrm>
          <a:off x="4972050" y="7143750"/>
          <a:ext cx="3238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切り取り線</a:t>
          </a:r>
        </a:p>
      </xdr:txBody>
    </xdr:sp>
    <xdr:clientData/>
  </xdr:twoCellAnchor>
  <xdr:twoCellAnchor>
    <xdr:from>
      <xdr:col>7</xdr:col>
      <xdr:colOff>381000</xdr:colOff>
      <xdr:row>38</xdr:row>
      <xdr:rowOff>0</xdr:rowOff>
    </xdr:from>
    <xdr:to>
      <xdr:col>7</xdr:col>
      <xdr:colOff>381000</xdr:colOff>
      <xdr:row>38</xdr:row>
      <xdr:rowOff>0</xdr:rowOff>
    </xdr:to>
    <xdr:sp macro="" textlink="">
      <xdr:nvSpPr>
        <xdr:cNvPr id="225957" name="Line 28"/>
        <xdr:cNvSpPr>
          <a:spLocks noChangeShapeType="1"/>
        </xdr:cNvSpPr>
      </xdr:nvSpPr>
      <xdr:spPr bwMode="auto">
        <a:xfrm flipH="1">
          <a:off x="5181600" y="714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38</xdr:row>
      <xdr:rowOff>0</xdr:rowOff>
    </xdr:from>
    <xdr:to>
      <xdr:col>8</xdr:col>
      <xdr:colOff>0</xdr:colOff>
      <xdr:row>38</xdr:row>
      <xdr:rowOff>0</xdr:rowOff>
    </xdr:to>
    <xdr:sp macro="" textlink="">
      <xdr:nvSpPr>
        <xdr:cNvPr id="21534" name="Text Box 30"/>
        <xdr:cNvSpPr txBox="1">
          <a:spLocks noChangeArrowheads="1"/>
        </xdr:cNvSpPr>
      </xdr:nvSpPr>
      <xdr:spPr bwMode="auto">
        <a:xfrm>
          <a:off x="5381625" y="71437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ここに振込票のコピーを張付けて</a:t>
          </a:r>
        </a:p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三重陸協事務局までお送り下さい</a:t>
          </a:r>
        </a:p>
      </xdr:txBody>
    </xdr:sp>
    <xdr:clientData/>
  </xdr:twoCellAnchor>
  <xdr:twoCellAnchor>
    <xdr:from>
      <xdr:col>7</xdr:col>
      <xdr:colOff>371475</xdr:colOff>
      <xdr:row>38</xdr:row>
      <xdr:rowOff>0</xdr:rowOff>
    </xdr:from>
    <xdr:to>
      <xdr:col>7</xdr:col>
      <xdr:colOff>381000</xdr:colOff>
      <xdr:row>38</xdr:row>
      <xdr:rowOff>0</xdr:rowOff>
    </xdr:to>
    <xdr:sp macro="" textlink="">
      <xdr:nvSpPr>
        <xdr:cNvPr id="225959" name="Line 31"/>
        <xdr:cNvSpPr>
          <a:spLocks noChangeShapeType="1"/>
        </xdr:cNvSpPr>
      </xdr:nvSpPr>
      <xdr:spPr bwMode="auto">
        <a:xfrm flipH="1">
          <a:off x="5172075" y="7143750"/>
          <a:ext cx="9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171450</xdr:colOff>
      <xdr:row>38</xdr:row>
      <xdr:rowOff>0</xdr:rowOff>
    </xdr:from>
    <xdr:to>
      <xdr:col>7</xdr:col>
      <xdr:colOff>495300</xdr:colOff>
      <xdr:row>38</xdr:row>
      <xdr:rowOff>0</xdr:rowOff>
    </xdr:to>
    <xdr:sp macro="" textlink="">
      <xdr:nvSpPr>
        <xdr:cNvPr id="21536" name="Text Box 32"/>
        <xdr:cNvSpPr txBox="1">
          <a:spLocks noChangeArrowheads="1"/>
        </xdr:cNvSpPr>
      </xdr:nvSpPr>
      <xdr:spPr bwMode="auto">
        <a:xfrm>
          <a:off x="4972050" y="7143750"/>
          <a:ext cx="3238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切り取り線</a:t>
          </a:r>
        </a:p>
      </xdr:txBody>
    </xdr:sp>
    <xdr:clientData/>
  </xdr:twoCellAnchor>
  <xdr:twoCellAnchor>
    <xdr:from>
      <xdr:col>7</xdr:col>
      <xdr:colOff>381000</xdr:colOff>
      <xdr:row>38</xdr:row>
      <xdr:rowOff>0</xdr:rowOff>
    </xdr:from>
    <xdr:to>
      <xdr:col>7</xdr:col>
      <xdr:colOff>381000</xdr:colOff>
      <xdr:row>38</xdr:row>
      <xdr:rowOff>0</xdr:rowOff>
    </xdr:to>
    <xdr:sp macro="" textlink="">
      <xdr:nvSpPr>
        <xdr:cNvPr id="225961" name="Line 33"/>
        <xdr:cNvSpPr>
          <a:spLocks noChangeShapeType="1"/>
        </xdr:cNvSpPr>
      </xdr:nvSpPr>
      <xdr:spPr bwMode="auto">
        <a:xfrm flipH="1">
          <a:off x="5181600" y="714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38</xdr:row>
      <xdr:rowOff>0</xdr:rowOff>
    </xdr:from>
    <xdr:to>
      <xdr:col>8</xdr:col>
      <xdr:colOff>0</xdr:colOff>
      <xdr:row>38</xdr:row>
      <xdr:rowOff>0</xdr:rowOff>
    </xdr:to>
    <xdr:sp macro="" textlink="">
      <xdr:nvSpPr>
        <xdr:cNvPr id="21539" name="Text Box 35"/>
        <xdr:cNvSpPr txBox="1">
          <a:spLocks noChangeArrowheads="1"/>
        </xdr:cNvSpPr>
      </xdr:nvSpPr>
      <xdr:spPr bwMode="auto">
        <a:xfrm>
          <a:off x="5381625" y="71437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ここに振込票のコピーを張付けて</a:t>
          </a:r>
        </a:p>
        <a:p>
          <a:pPr algn="ctr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明朝"/>
              <a:ea typeface="ＭＳ 明朝"/>
            </a:rPr>
            <a:t>お送り下さい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0">
    <pageSetUpPr fitToPage="1"/>
  </sheetPr>
  <dimension ref="A1:K69"/>
  <sheetViews>
    <sheetView showGridLines="0" showRowColHeaders="0" tabSelected="1" workbookViewId="0"/>
  </sheetViews>
  <sheetFormatPr defaultRowHeight="14.25"/>
  <cols>
    <col min="1" max="16384" width="9" style="210"/>
  </cols>
  <sheetData>
    <row r="1" spans="1:11" s="553" customFormat="1" ht="36" customHeight="1">
      <c r="A1" s="882" t="s">
        <v>277</v>
      </c>
      <c r="B1" s="883"/>
      <c r="C1" s="883"/>
      <c r="D1" s="883"/>
      <c r="E1" s="883"/>
      <c r="F1" s="883"/>
      <c r="G1" s="883"/>
      <c r="H1" s="883"/>
      <c r="I1" s="883"/>
      <c r="J1" s="883"/>
      <c r="K1" s="883"/>
    </row>
    <row r="2" spans="1:11" ht="36" customHeight="1">
      <c r="A2" s="884" t="s">
        <v>411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</row>
    <row r="3" spans="1:11" ht="36" customHeight="1">
      <c r="A3" s="884" t="s">
        <v>413</v>
      </c>
      <c r="B3" s="885"/>
      <c r="C3" s="885"/>
      <c r="D3" s="885"/>
      <c r="E3" s="885"/>
      <c r="F3" s="885"/>
      <c r="G3" s="885"/>
      <c r="H3" s="885"/>
      <c r="I3" s="885"/>
      <c r="J3" s="885"/>
      <c r="K3" s="885"/>
    </row>
    <row r="4" spans="1:11" ht="36" customHeight="1">
      <c r="A4" s="884" t="s">
        <v>412</v>
      </c>
      <c r="B4" s="885"/>
      <c r="C4" s="885"/>
      <c r="D4" s="885"/>
      <c r="E4" s="885"/>
      <c r="F4" s="885"/>
      <c r="G4" s="885"/>
      <c r="H4" s="885"/>
      <c r="I4" s="885"/>
      <c r="J4" s="885"/>
      <c r="K4" s="885"/>
    </row>
    <row r="5" spans="1:11" s="553" customFormat="1" ht="36" customHeight="1">
      <c r="A5" s="552" t="s">
        <v>278</v>
      </c>
    </row>
    <row r="6" spans="1:11" ht="24" customHeight="1">
      <c r="A6" s="211" t="s">
        <v>269</v>
      </c>
    </row>
    <row r="7" spans="1:11" ht="24" customHeight="1">
      <c r="A7" s="210" t="s">
        <v>297</v>
      </c>
    </row>
    <row r="8" spans="1:11" ht="24" customHeight="1">
      <c r="A8" s="210" t="s">
        <v>270</v>
      </c>
    </row>
    <row r="9" spans="1:11" ht="24" customHeight="1">
      <c r="A9" s="210" t="s">
        <v>271</v>
      </c>
    </row>
    <row r="15" spans="1:11" ht="31.5" customHeight="1"/>
    <row r="36" spans="1:1" ht="24" customHeight="1">
      <c r="A36" s="210" t="s">
        <v>272</v>
      </c>
    </row>
    <row r="56" spans="1:1" ht="24" customHeight="1">
      <c r="A56" s="212" t="s">
        <v>276</v>
      </c>
    </row>
    <row r="57" spans="1:1" ht="24" customHeight="1">
      <c r="A57" s="210" t="s">
        <v>273</v>
      </c>
    </row>
    <row r="69" spans="1:1">
      <c r="A69" s="212" t="s">
        <v>274</v>
      </c>
    </row>
  </sheetData>
  <phoneticPr fontId="22"/>
  <pageMargins left="0.78700000000000003" right="0.78700000000000003" top="0.98399999999999999" bottom="0.98399999999999999" header="0.51200000000000001" footer="0.51200000000000001"/>
  <pageSetup paperSize="9" scale="72" orientation="portrait" horizontalDpi="4294967293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 enableFormatConditionsCalculation="0">
    <tabColor indexed="15"/>
    <pageSetUpPr fitToPage="1"/>
  </sheetPr>
  <dimension ref="A1:BF127"/>
  <sheetViews>
    <sheetView showGridLines="0" showZeros="0" topLeftCell="E1" zoomScale="90" zoomScaleNormal="90" workbookViewId="0">
      <selection activeCell="U2" sqref="U2"/>
    </sheetView>
  </sheetViews>
  <sheetFormatPr defaultColWidth="8.625" defaultRowHeight="13.5"/>
  <cols>
    <col min="1" max="1" width="11.75" style="19" hidden="1" customWidth="1"/>
    <col min="2" max="2" width="14.75" style="19" hidden="1" customWidth="1"/>
    <col min="3" max="3" width="13.375" style="19" hidden="1" customWidth="1"/>
    <col min="4" max="4" width="16.5" style="19" hidden="1" customWidth="1"/>
    <col min="5" max="5" width="7.375" style="19" customWidth="1"/>
    <col min="6" max="6" width="15.125" style="19" customWidth="1"/>
    <col min="7" max="7" width="13.625" style="23" customWidth="1"/>
    <col min="8" max="8" width="8.5" style="19" hidden="1" customWidth="1"/>
    <col min="9" max="9" width="5" style="19" bestFit="1" customWidth="1"/>
    <col min="10" max="10" width="5.75" style="20" customWidth="1"/>
    <col min="11" max="11" width="5.5" style="20" hidden="1" customWidth="1"/>
    <col min="12" max="12" width="5.5" style="19" hidden="1" customWidth="1"/>
    <col min="13" max="13" width="16.125" style="34" hidden="1" customWidth="1"/>
    <col min="14" max="14" width="10.5" style="91" bestFit="1" customWidth="1"/>
    <col min="15" max="15" width="11.375" style="33" bestFit="1" customWidth="1"/>
    <col min="16" max="16" width="8.75" style="33" hidden="1" customWidth="1"/>
    <col min="17" max="17" width="9.125" style="34" customWidth="1"/>
    <col min="18" max="18" width="20.625" style="91" customWidth="1"/>
    <col min="19" max="19" width="7.75" style="36" hidden="1" customWidth="1"/>
    <col min="20" max="20" width="12.5" style="26" hidden="1" customWidth="1"/>
    <col min="21" max="21" width="11.375" style="19" bestFit="1" customWidth="1"/>
    <col min="22" max="22" width="6.75" style="25" hidden="1" customWidth="1"/>
    <col min="23" max="23" width="9.125" style="26" customWidth="1"/>
    <col min="24" max="24" width="20.625" style="19" customWidth="1"/>
    <col min="25" max="25" width="8.375" style="25" hidden="1" customWidth="1"/>
    <col min="26" max="26" width="7.25" style="26" hidden="1" customWidth="1"/>
    <col min="27" max="27" width="7.5" style="19" hidden="1" customWidth="1"/>
    <col min="28" max="28" width="7.375" style="25" hidden="1" customWidth="1"/>
    <col min="29" max="29" width="8.25" style="20" hidden="1" customWidth="1"/>
    <col min="30" max="30" width="6.5" style="20" hidden="1" customWidth="1"/>
    <col min="31" max="31" width="8.75" style="19" hidden="1" customWidth="1"/>
    <col min="32" max="32" width="7.875" style="22" hidden="1" customWidth="1"/>
    <col min="33" max="33" width="2.625" style="19" hidden="1" customWidth="1"/>
    <col min="34" max="34" width="11.125" style="19" hidden="1" customWidth="1"/>
    <col min="35" max="35" width="0.5" style="19" hidden="1" customWidth="1"/>
    <col min="36" max="36" width="5.75" style="19" hidden="1" customWidth="1"/>
    <col min="37" max="37" width="5.5" style="57" hidden="1" customWidth="1"/>
    <col min="38" max="38" width="8.625" style="19" hidden="1" customWidth="1"/>
    <col min="39" max="39" width="7.5" style="19" hidden="1" customWidth="1"/>
    <col min="40" max="40" width="7.625" style="19" hidden="1" customWidth="1"/>
    <col min="41" max="41" width="10.375" style="22" bestFit="1" customWidth="1"/>
    <col min="42" max="42" width="4.625" style="22" customWidth="1"/>
    <col min="43" max="43" width="12" style="19" hidden="1" customWidth="1"/>
    <col min="44" max="44" width="10.25" style="19" customWidth="1"/>
    <col min="45" max="45" width="10.25" style="19" bestFit="1" customWidth="1"/>
    <col min="46" max="46" width="12.375" style="19" hidden="1" customWidth="1"/>
    <col min="47" max="47" width="11.25" style="19" hidden="1" customWidth="1"/>
    <col min="48" max="48" width="12" style="19" hidden="1" customWidth="1"/>
    <col min="49" max="49" width="12.25" style="19" hidden="1" customWidth="1"/>
    <col min="50" max="50" width="9.875" style="19" hidden="1" customWidth="1"/>
    <col min="51" max="51" width="11.25" style="19" hidden="1" customWidth="1"/>
    <col min="52" max="53" width="8.625" style="19"/>
    <col min="54" max="54" width="8.25" style="19" customWidth="1"/>
    <col min="55" max="58" width="8.625" style="19" hidden="1" customWidth="1"/>
    <col min="59" max="16384" width="8.625" style="19"/>
  </cols>
  <sheetData>
    <row r="1" spans="1:57" ht="24" customHeight="1">
      <c r="B1" s="636"/>
      <c r="C1" s="637"/>
      <c r="D1" s="638"/>
      <c r="E1" s="217" t="s">
        <v>301</v>
      </c>
      <c r="F1" s="219">
        <f>IF(名簿!$O$4="","",名簿!$O$4)</f>
        <v>0</v>
      </c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32"/>
      <c r="U1" s="886"/>
      <c r="V1" s="886"/>
      <c r="W1" s="886"/>
      <c r="X1" s="224"/>
      <c r="Y1" s="229"/>
      <c r="Z1" s="332"/>
      <c r="AA1" s="224"/>
      <c r="AB1" s="229"/>
      <c r="AC1" s="227"/>
      <c r="AD1" s="227"/>
      <c r="AE1" s="224"/>
      <c r="AF1" s="228"/>
      <c r="AG1" s="224"/>
      <c r="AH1" s="224"/>
      <c r="AI1" s="229"/>
      <c r="AJ1" s="229"/>
      <c r="AK1" s="220"/>
      <c r="AL1" s="224"/>
      <c r="AM1" s="224"/>
      <c r="AN1" s="224"/>
      <c r="AO1" s="228"/>
      <c r="AP1" s="228"/>
      <c r="AQ1" s="224"/>
      <c r="AR1" s="224"/>
      <c r="AS1" s="224"/>
      <c r="AT1" s="224"/>
      <c r="AU1" s="224"/>
      <c r="AV1" s="224"/>
      <c r="AZ1" s="224"/>
      <c r="BA1" s="224"/>
      <c r="BB1" s="224"/>
    </row>
    <row r="2" spans="1:57" ht="27.75" customHeight="1">
      <c r="B2" s="636"/>
      <c r="C2" s="639"/>
      <c r="D2" s="638"/>
      <c r="E2" s="217" t="s">
        <v>302</v>
      </c>
      <c r="F2" s="230" t="e">
        <f>名簿!$P$4</f>
        <v>#N/A</v>
      </c>
      <c r="G2" s="1205" t="s">
        <v>210</v>
      </c>
      <c r="H2" s="1205"/>
      <c r="I2" s="1205"/>
      <c r="J2" s="1205"/>
      <c r="K2" s="1205"/>
      <c r="L2" s="1205"/>
      <c r="M2" s="1205"/>
      <c r="N2" s="1205"/>
      <c r="O2" s="1205"/>
      <c r="P2" s="1205"/>
      <c r="Q2" s="1205"/>
      <c r="R2" s="1205"/>
      <c r="S2" s="1205"/>
      <c r="T2" s="332"/>
      <c r="U2" s="886"/>
      <c r="V2" s="886"/>
      <c r="W2" s="886"/>
      <c r="X2" s="224"/>
      <c r="Y2" s="229"/>
      <c r="Z2" s="332"/>
      <c r="AA2" s="224"/>
      <c r="AB2" s="229"/>
      <c r="AC2" s="227"/>
      <c r="AD2" s="227"/>
      <c r="AE2" s="224"/>
      <c r="AF2" s="228"/>
      <c r="AG2" s="224"/>
      <c r="AH2" s="224"/>
      <c r="AI2" s="229"/>
      <c r="AJ2" s="229"/>
      <c r="AK2" s="220"/>
      <c r="AL2" s="224"/>
      <c r="AM2" s="224"/>
      <c r="AN2" s="224"/>
      <c r="AO2" s="228"/>
      <c r="AP2" s="228"/>
      <c r="AQ2" s="224"/>
      <c r="AR2" s="224"/>
      <c r="AS2" s="224"/>
      <c r="AT2" s="224"/>
      <c r="AU2" s="224"/>
      <c r="AV2" s="224"/>
      <c r="AZ2" s="224"/>
      <c r="BA2" s="224"/>
      <c r="BB2" s="224"/>
    </row>
    <row r="3" spans="1:57" ht="27.75" customHeight="1" thickBot="1">
      <c r="B3" s="640"/>
      <c r="C3" s="641"/>
      <c r="D3" s="641"/>
      <c r="E3" s="218" t="s">
        <v>291</v>
      </c>
      <c r="F3" s="240">
        <f>IF(名簿!$D$1="","",名簿!$D$1)</f>
        <v>0</v>
      </c>
      <c r="G3" s="232"/>
      <c r="H3" s="334"/>
      <c r="I3" s="232"/>
      <c r="J3" s="232" t="s">
        <v>106</v>
      </c>
      <c r="K3" s="334"/>
      <c r="L3" s="334"/>
      <c r="M3" s="613"/>
      <c r="N3" s="613"/>
      <c r="O3" s="613">
        <f>COUNTIF($I$7:$I$116,1)-COUNTIF($BD$7:$BD$116,0)</f>
        <v>0</v>
      </c>
      <c r="P3" s="336"/>
      <c r="Q3" s="336"/>
      <c r="R3" s="308"/>
      <c r="S3" s="308"/>
      <c r="T3" s="332"/>
      <c r="U3" s="886"/>
      <c r="V3" s="886"/>
      <c r="W3" s="886"/>
      <c r="X3" s="224"/>
      <c r="Y3" s="229"/>
      <c r="Z3" s="332"/>
      <c r="AA3" s="224"/>
      <c r="AB3" s="229"/>
      <c r="AC3" s="227"/>
      <c r="AD3" s="227"/>
      <c r="AE3" s="224"/>
      <c r="AF3" s="228"/>
      <c r="AG3" s="224"/>
      <c r="AH3" s="224"/>
      <c r="AI3" s="229"/>
      <c r="AJ3" s="229"/>
      <c r="AK3" s="220"/>
      <c r="AL3" s="224"/>
      <c r="AM3" s="224"/>
      <c r="AN3" s="224"/>
      <c r="AO3" s="228"/>
      <c r="AP3" s="228"/>
      <c r="AQ3" s="224"/>
      <c r="AR3" s="224"/>
      <c r="AS3" s="224"/>
      <c r="AT3" s="224"/>
      <c r="AU3" s="224"/>
      <c r="AV3" s="224"/>
      <c r="AW3" s="57"/>
      <c r="AX3" s="57"/>
      <c r="AY3" s="57"/>
      <c r="AZ3" s="224"/>
      <c r="BA3" s="224"/>
      <c r="BB3" s="224"/>
    </row>
    <row r="4" spans="1:57" ht="27.75" customHeight="1" thickBot="1">
      <c r="B4" s="640"/>
      <c r="C4" s="641"/>
      <c r="D4" s="641"/>
      <c r="E4" s="218" t="s">
        <v>209</v>
      </c>
      <c r="F4" s="240">
        <f>IF(名簿!$I$1="","",名簿!$I$1)</f>
        <v>0</v>
      </c>
      <c r="G4" s="232"/>
      <c r="H4" s="334"/>
      <c r="I4" s="232"/>
      <c r="J4" s="232" t="s">
        <v>108</v>
      </c>
      <c r="K4" s="334"/>
      <c r="L4" s="334"/>
      <c r="M4" s="613"/>
      <c r="N4" s="613"/>
      <c r="O4" s="613">
        <f>COUNTIF($I$7:$I$116,2)-COUNTIF($BE$7:$BE$116,0)</f>
        <v>0</v>
      </c>
      <c r="P4" s="566"/>
      <c r="Q4" s="537">
        <f>O3+O4</f>
        <v>0</v>
      </c>
      <c r="R4" s="1104" t="s">
        <v>512</v>
      </c>
      <c r="S4" s="308"/>
      <c r="T4" s="332"/>
      <c r="U4" s="1106"/>
      <c r="V4" s="886"/>
      <c r="W4" s="1105" t="s">
        <v>513</v>
      </c>
      <c r="X4" s="224"/>
      <c r="Y4" s="229"/>
      <c r="Z4" s="332"/>
      <c r="AA4" s="224"/>
      <c r="AB4" s="229"/>
      <c r="AC4" s="227"/>
      <c r="AD4" s="227"/>
      <c r="AE4" s="224"/>
      <c r="AF4" s="228"/>
      <c r="AG4" s="224"/>
      <c r="AH4" s="224"/>
      <c r="AI4" s="229"/>
      <c r="AJ4" s="229"/>
      <c r="AK4" s="220"/>
      <c r="AL4" s="224"/>
      <c r="AM4" s="224"/>
      <c r="AN4" s="224"/>
      <c r="AO4" s="228"/>
      <c r="AP4" s="228"/>
      <c r="AQ4" s="224"/>
      <c r="AR4" s="224"/>
      <c r="AS4" s="224"/>
      <c r="AT4" s="224"/>
      <c r="AU4" s="224"/>
      <c r="AV4" s="224"/>
      <c r="AW4" s="57"/>
      <c r="AX4" s="57"/>
      <c r="AY4" s="57"/>
      <c r="AZ4" s="224"/>
      <c r="BA4" s="224"/>
      <c r="BB4" s="224"/>
    </row>
    <row r="5" spans="1:57" ht="27.75" customHeight="1" thickTop="1" thickBot="1">
      <c r="B5" s="642"/>
      <c r="C5" s="820"/>
      <c r="D5" s="638"/>
      <c r="E5" s="242"/>
      <c r="F5" s="224"/>
      <c r="G5" s="545" t="s">
        <v>231</v>
      </c>
      <c r="H5" s="337"/>
      <c r="I5" s="545"/>
      <c r="J5" s="546"/>
      <c r="K5" s="546"/>
      <c r="L5" s="546"/>
      <c r="M5" s="547"/>
      <c r="N5" s="335"/>
      <c r="O5" s="847">
        <f>$AG$118*1000+U4*800</f>
        <v>0</v>
      </c>
      <c r="P5" s="338"/>
      <c r="Q5" s="877">
        <f>$AG$118</f>
        <v>0</v>
      </c>
      <c r="R5" s="1041" t="s">
        <v>494</v>
      </c>
      <c r="S5" s="308"/>
      <c r="T5" s="332"/>
      <c r="U5" s="887"/>
      <c r="V5" s="887"/>
      <c r="W5" s="887"/>
      <c r="X5" s="224"/>
      <c r="Y5" s="229"/>
      <c r="Z5" s="332"/>
      <c r="AA5" s="224"/>
      <c r="AB5" s="229"/>
      <c r="AC5" s="227"/>
      <c r="AD5" s="227"/>
      <c r="AE5" s="224"/>
      <c r="AF5" s="228"/>
      <c r="AG5" s="224"/>
      <c r="AH5" s="224"/>
      <c r="AI5" s="229"/>
      <c r="AJ5" s="229"/>
      <c r="AK5" s="220"/>
      <c r="AL5" s="224"/>
      <c r="AM5" s="224"/>
      <c r="AN5" s="224"/>
      <c r="AO5" s="228"/>
      <c r="AP5" s="228"/>
      <c r="AQ5" s="224"/>
      <c r="AR5" s="224"/>
      <c r="AS5" s="224"/>
      <c r="AT5" s="224"/>
      <c r="AU5" s="224"/>
      <c r="AV5" s="224"/>
      <c r="AW5" s="57"/>
      <c r="AX5" s="57"/>
      <c r="AY5" s="57"/>
      <c r="AZ5" s="224"/>
      <c r="BA5" s="224"/>
      <c r="BB5" s="224"/>
    </row>
    <row r="6" spans="1:57" s="30" customFormat="1" ht="14.25" thickBot="1">
      <c r="A6" s="29" t="s">
        <v>9</v>
      </c>
      <c r="B6" s="27" t="s">
        <v>0</v>
      </c>
      <c r="C6" s="90"/>
      <c r="D6" s="827"/>
      <c r="E6" s="1316" t="s">
        <v>5</v>
      </c>
      <c r="F6" s="27" t="s">
        <v>72</v>
      </c>
      <c r="G6" s="27" t="s">
        <v>2</v>
      </c>
      <c r="H6" s="27" t="s">
        <v>10</v>
      </c>
      <c r="I6" s="27" t="s">
        <v>3</v>
      </c>
      <c r="J6" s="27" t="s">
        <v>1</v>
      </c>
      <c r="K6" s="1317" t="s">
        <v>443</v>
      </c>
      <c r="L6" s="1317" t="s">
        <v>448</v>
      </c>
      <c r="M6" s="28" t="s">
        <v>4</v>
      </c>
      <c r="N6" s="1318" t="s">
        <v>558</v>
      </c>
      <c r="O6" s="206" t="s">
        <v>232</v>
      </c>
      <c r="P6" s="27" t="s">
        <v>62</v>
      </c>
      <c r="Q6" s="207" t="s">
        <v>76</v>
      </c>
      <c r="R6" s="567" t="s">
        <v>197</v>
      </c>
      <c r="S6" s="567"/>
      <c r="T6" s="567"/>
      <c r="U6" s="206" t="s">
        <v>233</v>
      </c>
      <c r="V6" s="27" t="s">
        <v>62</v>
      </c>
      <c r="W6" s="571" t="s">
        <v>76</v>
      </c>
      <c r="X6" s="572" t="s">
        <v>197</v>
      </c>
      <c r="Y6" s="567"/>
      <c r="Z6" s="567"/>
      <c r="AA6" s="568" t="s">
        <v>62</v>
      </c>
      <c r="AB6" s="828" t="s">
        <v>6</v>
      </c>
      <c r="AC6" s="32" t="s">
        <v>14</v>
      </c>
      <c r="AD6" s="829" t="s">
        <v>62</v>
      </c>
      <c r="AE6" s="828" t="s">
        <v>7</v>
      </c>
      <c r="AF6" s="32" t="s">
        <v>14</v>
      </c>
      <c r="AG6" s="829" t="s">
        <v>62</v>
      </c>
      <c r="AH6" s="830" t="s">
        <v>8</v>
      </c>
      <c r="AI6" s="31"/>
      <c r="AJ6" s="31"/>
      <c r="AL6" s="11" t="s">
        <v>141</v>
      </c>
      <c r="AM6" s="35"/>
      <c r="AO6" s="1208" t="s">
        <v>211</v>
      </c>
      <c r="AP6" s="1209"/>
      <c r="AQ6" s="84"/>
      <c r="AR6" s="1210" t="s">
        <v>219</v>
      </c>
      <c r="AS6" s="1211"/>
      <c r="AU6" s="11" t="s">
        <v>141</v>
      </c>
      <c r="AV6" s="11" t="s">
        <v>141</v>
      </c>
      <c r="AY6" s="245"/>
      <c r="AZ6" s="245"/>
      <c r="BA6" s="245"/>
      <c r="BB6" s="245"/>
      <c r="BC6" s="536" t="s">
        <v>405</v>
      </c>
      <c r="BD6" s="536" t="s">
        <v>106</v>
      </c>
      <c r="BE6" s="536" t="s">
        <v>108</v>
      </c>
    </row>
    <row r="7" spans="1:57" ht="14.25" thickBot="1">
      <c r="B7" s="256" t="e">
        <f>名簿!P4</f>
        <v>#N/A</v>
      </c>
      <c r="C7" s="824"/>
      <c r="D7" s="824"/>
      <c r="E7" s="1319">
        <f>名簿!E4</f>
        <v>0</v>
      </c>
      <c r="F7" s="562" t="str">
        <f>名簿!CM4</f>
        <v/>
      </c>
      <c r="G7" s="256" t="str">
        <f>名簿!Z4</f>
        <v/>
      </c>
      <c r="H7" s="1320" t="str">
        <f>名簿!CM4</f>
        <v/>
      </c>
      <c r="I7" s="257" t="str">
        <f>名簿!Y4</f>
        <v/>
      </c>
      <c r="J7" s="253" t="str">
        <f>名簿!CN4</f>
        <v/>
      </c>
      <c r="K7" s="898">
        <f>名簿!CP4</f>
        <v>0</v>
      </c>
      <c r="L7" s="899" t="str">
        <f>名簿!CU4</f>
        <v>00</v>
      </c>
      <c r="M7" s="256" t="e">
        <f>名簿!Q4</f>
        <v>#N/A</v>
      </c>
      <c r="N7" s="1314">
        <f>名簿!D4</f>
        <v>0</v>
      </c>
      <c r="O7" s="326"/>
      <c r="P7" s="254" t="str">
        <f>IF(O7="","",IF(I7=1,VLOOKUP(O7,男子種目コード!$P$1:$Q$26,2,FALSE),IF(I7=2,VLOOKUP(O7,女子種目コード!$P$1:$Q$26,2,FALSE))))</f>
        <v/>
      </c>
      <c r="Q7" s="493" t="str">
        <f>IF(O7="","",HLOOKUP(O7,名簿!$AH$3:$CH$118,2,FALSE))</f>
        <v/>
      </c>
      <c r="R7" s="1001"/>
      <c r="S7" s="841" t="str">
        <f>IF(O7="","",0)</f>
        <v/>
      </c>
      <c r="T7" s="842" t="str">
        <f>IF(O7="","",2)</f>
        <v/>
      </c>
      <c r="U7" s="326"/>
      <c r="V7" s="254" t="str">
        <f>IF(U7="","",IF(I7=1,VLOOKUP(U7,男子種目コード!$P$1:$Q$26,2,FALSE),IF(I7=2,VLOOKUP(U7,女子種目コード!$P$1:$Q$26,2,FALSE))))</f>
        <v/>
      </c>
      <c r="W7" s="493" t="str">
        <f>IF(U7="","",HLOOKUP(U7,名簿!$AH$3:$CH$118,2,FALSE))</f>
        <v/>
      </c>
      <c r="X7" s="1006"/>
      <c r="Y7" s="841" t="str">
        <f>IF(U7="","",0)</f>
        <v/>
      </c>
      <c r="Z7" s="842" t="str">
        <f>IF(U7="","",2)</f>
        <v/>
      </c>
      <c r="AA7" s="21" t="str">
        <f>IF(X7="","",IF(I7=1,VLOOKUP(X7,男子種目コード!$J$2:$K$30,2,FALSE),IF(I7=2,VLOOKUP(X7,女子種目コード!$J$2:$K$28,2,FALSE))))</f>
        <v/>
      </c>
      <c r="AB7" s="818"/>
      <c r="AC7" s="831"/>
      <c r="AD7" s="322" t="str">
        <f>IF(AC7="","",IF(I7=1,VLOOKUP(AC7,男子種目コード!$J$2:$K$30,2,FALSE),IF(I7=2,VLOOKUP(AC7,女子種目コード!$J$2:$K$28,2,FALSE))))</f>
        <v/>
      </c>
      <c r="AE7" s="818"/>
      <c r="AF7" s="831"/>
      <c r="AG7" s="322" t="str">
        <f>IF(AF7="","",IF(I7=1,VLOOKUP(AF7,男子種目コード!$J$2:$K$30,2,FALSE),IF(I7=2,VLOOKUP(AF7,女子種目コード!$J$2:$K$28,2,FALSE))))</f>
        <v/>
      </c>
      <c r="AH7" s="819"/>
      <c r="AI7" s="20"/>
      <c r="AJ7" s="20"/>
      <c r="AK7" s="19"/>
      <c r="AL7" s="11" t="s">
        <v>142</v>
      </c>
      <c r="AM7" s="848" t="str">
        <f>IF(O7="","",1)</f>
        <v/>
      </c>
      <c r="AN7" s="57" t="str">
        <f>IF(U7="","",1)</f>
        <v/>
      </c>
      <c r="AO7" s="1206" t="s">
        <v>106</v>
      </c>
      <c r="AP7" s="1207"/>
      <c r="AQ7" s="395"/>
      <c r="AR7" s="1206" t="s">
        <v>220</v>
      </c>
      <c r="AS7" s="1207"/>
      <c r="AU7" s="11" t="s">
        <v>142</v>
      </c>
      <c r="AV7" s="11" t="s">
        <v>142</v>
      </c>
      <c r="AX7" s="331">
        <f t="shared" ref="AX7:AX38" si="0">IF(OR(AM7=1,U7=""),0,1)</f>
        <v>0</v>
      </c>
      <c r="AY7" s="224"/>
      <c r="AZ7" s="224"/>
      <c r="BA7" s="224"/>
      <c r="BB7" s="224"/>
      <c r="BC7" s="19">
        <f t="shared" ref="BC7:BC38" si="1">COUNT(P7,V7,AA7)</f>
        <v>0</v>
      </c>
      <c r="BD7" s="19" t="str">
        <f t="shared" ref="BD7:BD38" si="2">IF(I7=1,BC7,"")</f>
        <v/>
      </c>
      <c r="BE7" s="19" t="str">
        <f t="shared" ref="BE7:BE38" si="3">IF(I7=2,BC7,"")</f>
        <v/>
      </c>
    </row>
    <row r="8" spans="1:57">
      <c r="B8" s="322" t="str">
        <f>名簿!P5</f>
        <v/>
      </c>
      <c r="C8" s="825"/>
      <c r="D8" s="825"/>
      <c r="E8" s="1321">
        <f>名簿!E5</f>
        <v>0</v>
      </c>
      <c r="F8" s="563" t="str">
        <f>名簿!CM5</f>
        <v/>
      </c>
      <c r="G8" s="322" t="str">
        <f>名簿!Z5</f>
        <v/>
      </c>
      <c r="H8" s="322" t="str">
        <f>名簿!CM5</f>
        <v/>
      </c>
      <c r="I8" s="323" t="str">
        <f>名簿!Y5</f>
        <v/>
      </c>
      <c r="J8" s="323" t="str">
        <f>名簿!CN5</f>
        <v/>
      </c>
      <c r="K8" s="900">
        <f>名簿!CP5</f>
        <v>0</v>
      </c>
      <c r="L8" s="901" t="str">
        <f>名簿!CU5</f>
        <v>00</v>
      </c>
      <c r="M8" s="322" t="str">
        <f>名簿!Q5</f>
        <v/>
      </c>
      <c r="N8" s="1315">
        <f>名簿!D5</f>
        <v>0</v>
      </c>
      <c r="O8" s="327"/>
      <c r="P8" s="258" t="str">
        <f>IF(O8="","",IF(I8=1,VLOOKUP(O8,男子種目コード!$P$1:$Q$26,2,FALSE),IF(I8=2,VLOOKUP(O8,女子種目コード!$P$1:$Q$26,2,FALSE))))</f>
        <v/>
      </c>
      <c r="Q8" s="494" t="str">
        <f>IF(O8="","",HLOOKUP(O8,名簿!$AH$3:$CH$118,3,FALSE))</f>
        <v/>
      </c>
      <c r="R8" s="1002"/>
      <c r="S8" s="843" t="str">
        <f t="shared" ref="S8:S71" si="4">IF(O8="","",0)</f>
        <v/>
      </c>
      <c r="T8" s="844" t="str">
        <f t="shared" ref="T8:T71" si="5">IF(O8="","",2)</f>
        <v/>
      </c>
      <c r="U8" s="327"/>
      <c r="V8" s="258" t="str">
        <f>IF(U8="","",IF(I8=1,VLOOKUP(U8,男子種目コード!$P$1:$Q$26,2,FALSE),IF(I8=2,VLOOKUP(U8,女子種目コード!$P$1:$Q$26,2,FALSE))))</f>
        <v/>
      </c>
      <c r="W8" s="494" t="str">
        <f>IF(U8="","",HLOOKUP(U8,名簿!$AH$3:$CH$118,3,FALSE))</f>
        <v/>
      </c>
      <c r="X8" s="1004"/>
      <c r="Y8" s="843" t="str">
        <f t="shared" ref="Y8:Y71" si="6">IF(U8="","",0)</f>
        <v/>
      </c>
      <c r="Z8" s="844" t="str">
        <f t="shared" ref="Z8:Z71" si="7">IF(U8="","",2)</f>
        <v/>
      </c>
      <c r="AA8" s="21" t="str">
        <f>IF(X8="","",IF(I8=1,VLOOKUP(X8,男子種目コード!$J$2:$K$30,2,FALSE),IF(I8=2,VLOOKUP(X8,女子種目コード!$J$2:$K$28,2,FALSE))))</f>
        <v/>
      </c>
      <c r="AB8" s="818"/>
      <c r="AC8" s="831"/>
      <c r="AD8" s="322" t="str">
        <f>IF(AC8="","",IF(I8=1,VLOOKUP(AC8,男子種目コード!$J$2:$K$30,2,FALSE),IF(I8=2,VLOOKUP(AC8,女子種目コード!$J$2:$K$28,2,FALSE))))</f>
        <v/>
      </c>
      <c r="AE8" s="818"/>
      <c r="AF8" s="831"/>
      <c r="AG8" s="322" t="str">
        <f>IF(AF8="","",IF(I8=1,VLOOKUP(AF8,男子種目コード!$J$2:$K$30,2,FALSE),IF(I8=2,VLOOKUP(AF8,女子種目コード!$J$2:$K$28,2,FALSE))))</f>
        <v/>
      </c>
      <c r="AH8" s="819"/>
      <c r="AI8" s="20"/>
      <c r="AJ8" s="20"/>
      <c r="AK8" s="19"/>
      <c r="AL8" s="11" t="s">
        <v>143</v>
      </c>
      <c r="AM8" s="848" t="str">
        <f t="shared" ref="AM8:AM73" si="8">IF(O8="","",1)</f>
        <v/>
      </c>
      <c r="AN8" s="57" t="str">
        <f t="shared" ref="AN8:AN73" si="9">IF(U8="","",1)</f>
        <v/>
      </c>
      <c r="AO8" s="578" t="s">
        <v>312</v>
      </c>
      <c r="AP8" s="878">
        <f>COUNTIF($P$7:$P$116,6)+COUNTIF($V$7:$V$116,6)</f>
        <v>0</v>
      </c>
      <c r="AQ8" s="849"/>
      <c r="AR8" s="855">
        <v>100</v>
      </c>
      <c r="AS8" s="856" t="s">
        <v>516</v>
      </c>
      <c r="AU8" s="11" t="s">
        <v>145</v>
      </c>
      <c r="AV8" s="11" t="s">
        <v>145</v>
      </c>
      <c r="AX8" s="331">
        <f t="shared" si="0"/>
        <v>0</v>
      </c>
      <c r="AY8" s="224"/>
      <c r="AZ8" s="224"/>
      <c r="BA8" s="224"/>
      <c r="BB8" s="224"/>
      <c r="BC8" s="19">
        <f t="shared" si="1"/>
        <v>0</v>
      </c>
      <c r="BD8" s="19" t="str">
        <f t="shared" si="2"/>
        <v/>
      </c>
      <c r="BE8" s="19" t="str">
        <f t="shared" si="3"/>
        <v/>
      </c>
    </row>
    <row r="9" spans="1:57">
      <c r="B9" s="322" t="str">
        <f>名簿!P6</f>
        <v/>
      </c>
      <c r="C9" s="825"/>
      <c r="D9" s="825"/>
      <c r="E9" s="1321">
        <f>名簿!E6</f>
        <v>0</v>
      </c>
      <c r="F9" s="563" t="str">
        <f>名簿!CM6</f>
        <v/>
      </c>
      <c r="G9" s="322" t="str">
        <f>名簿!Z6</f>
        <v/>
      </c>
      <c r="H9" s="322" t="str">
        <f>名簿!CM6</f>
        <v/>
      </c>
      <c r="I9" s="323" t="str">
        <f>名簿!Y6</f>
        <v/>
      </c>
      <c r="J9" s="323" t="str">
        <f>名簿!CN6</f>
        <v/>
      </c>
      <c r="K9" s="900">
        <f>名簿!CP6</f>
        <v>0</v>
      </c>
      <c r="L9" s="901" t="str">
        <f>名簿!CU6</f>
        <v>00</v>
      </c>
      <c r="M9" s="322" t="str">
        <f>名簿!Q6</f>
        <v/>
      </c>
      <c r="N9" s="1315">
        <f>名簿!D6</f>
        <v>0</v>
      </c>
      <c r="O9" s="327"/>
      <c r="P9" s="258" t="str">
        <f>IF(O9="","",IF(I9=1,VLOOKUP(O9,男子種目コード!$P$1:$Q$26,2,FALSE),IF(I9=2,VLOOKUP(O9,女子種目コード!$P$1:$Q$26,2,FALSE))))</f>
        <v/>
      </c>
      <c r="Q9" s="494" t="str">
        <f>IF(O9="","",HLOOKUP(O9,名簿!$AH$3:$CH$118,4,FALSE))</f>
        <v/>
      </c>
      <c r="R9" s="1002"/>
      <c r="S9" s="843" t="str">
        <f t="shared" si="4"/>
        <v/>
      </c>
      <c r="T9" s="844" t="str">
        <f t="shared" si="5"/>
        <v/>
      </c>
      <c r="U9" s="327"/>
      <c r="V9" s="258" t="str">
        <f>IF(U9="","",IF(I9=1,VLOOKUP(U9,男子種目コード!$P$1:$Q$26,2,FALSE),IF(I9=2,VLOOKUP(U9,女子種目コード!$P$1:$Q$26,2,FALSE))))</f>
        <v/>
      </c>
      <c r="W9" s="494" t="str">
        <f>IF(U9="","",HLOOKUP(U9,名簿!$AH$3:$CH$118,4,FALSE))</f>
        <v/>
      </c>
      <c r="X9" s="1004"/>
      <c r="Y9" s="843" t="str">
        <f t="shared" si="6"/>
        <v/>
      </c>
      <c r="Z9" s="844" t="str">
        <f t="shared" si="7"/>
        <v/>
      </c>
      <c r="AA9" s="21" t="str">
        <f>IF(X9="","",IF(I9=1,VLOOKUP(X9,男子種目コード!$J$2:$K$30,2,FALSE),IF(I9=2,VLOOKUP(X9,女子種目コード!$J$2:$K$28,2,FALSE))))</f>
        <v/>
      </c>
      <c r="AB9" s="818"/>
      <c r="AC9" s="831"/>
      <c r="AD9" s="322" t="str">
        <f>IF(AC9="","",IF(I9=1,VLOOKUP(AC9,男子種目コード!$J$2:$K$30,2,FALSE),IF(I9=2,VLOOKUP(AC9,女子種目コード!$J$2:$K$28,2,FALSE))))</f>
        <v/>
      </c>
      <c r="AE9" s="818"/>
      <c r="AF9" s="831"/>
      <c r="AG9" s="322" t="str">
        <f>IF(AF9="","",IF(I9=1,VLOOKUP(AF9,男子種目コード!$J$2:$K$30,2,FALSE),IF(I9=2,VLOOKUP(AF9,女子種目コード!$J$2:$K$28,2,FALSE))))</f>
        <v/>
      </c>
      <c r="AH9" s="819"/>
      <c r="AI9" s="20"/>
      <c r="AJ9" s="20"/>
      <c r="AK9" s="19"/>
      <c r="AL9" s="11" t="s">
        <v>144</v>
      </c>
      <c r="AM9" s="848" t="str">
        <f t="shared" si="8"/>
        <v/>
      </c>
      <c r="AN9" s="57" t="str">
        <f t="shared" si="9"/>
        <v/>
      </c>
      <c r="AO9" s="576" t="s">
        <v>313</v>
      </c>
      <c r="AP9" s="879">
        <f>COUNTIF($P$7:$P$116,7)+COUNTIF($V$7:$V$116,7)</f>
        <v>0</v>
      </c>
      <c r="AQ9" s="849"/>
      <c r="AR9" s="857">
        <v>200</v>
      </c>
      <c r="AS9" s="858" t="s">
        <v>517</v>
      </c>
      <c r="AU9" s="11" t="s">
        <v>146</v>
      </c>
      <c r="AV9" s="11" t="s">
        <v>158</v>
      </c>
      <c r="AX9" s="331">
        <f t="shared" si="0"/>
        <v>0</v>
      </c>
      <c r="AY9" s="224"/>
      <c r="AZ9" s="224"/>
      <c r="BA9" s="224"/>
      <c r="BB9" s="224"/>
      <c r="BC9" s="19">
        <f t="shared" si="1"/>
        <v>0</v>
      </c>
      <c r="BD9" s="19" t="str">
        <f t="shared" si="2"/>
        <v/>
      </c>
      <c r="BE9" s="19" t="str">
        <f t="shared" si="3"/>
        <v/>
      </c>
    </row>
    <row r="10" spans="1:57">
      <c r="B10" s="322" t="str">
        <f>名簿!P7</f>
        <v/>
      </c>
      <c r="C10" s="825"/>
      <c r="D10" s="825"/>
      <c r="E10" s="1321">
        <f>名簿!E7</f>
        <v>0</v>
      </c>
      <c r="F10" s="563" t="str">
        <f>名簿!CM7</f>
        <v/>
      </c>
      <c r="G10" s="322" t="str">
        <f>名簿!Z7</f>
        <v/>
      </c>
      <c r="H10" s="322" t="str">
        <f>名簿!CM7</f>
        <v/>
      </c>
      <c r="I10" s="323" t="str">
        <f>名簿!Y7</f>
        <v/>
      </c>
      <c r="J10" s="323" t="str">
        <f>名簿!CN7</f>
        <v/>
      </c>
      <c r="K10" s="900">
        <f>名簿!CP7</f>
        <v>0</v>
      </c>
      <c r="L10" s="901" t="str">
        <f>名簿!CU7</f>
        <v>00</v>
      </c>
      <c r="M10" s="322" t="str">
        <f>名簿!Q7</f>
        <v/>
      </c>
      <c r="N10" s="1315">
        <f>名簿!D7</f>
        <v>0</v>
      </c>
      <c r="O10" s="327"/>
      <c r="P10" s="258" t="str">
        <f>IF(O10="","",IF(I10=1,VLOOKUP(O10,男子種目コード!$P$1:$Q$26,2,FALSE),IF(I10=2,VLOOKUP(O10,女子種目コード!$P$1:$Q$26,2,FALSE))))</f>
        <v/>
      </c>
      <c r="Q10" s="494" t="str">
        <f>IF(O10="","",HLOOKUP(O10,名簿!$AH$3:$CH$118,5,FALSE))</f>
        <v/>
      </c>
      <c r="R10" s="1002"/>
      <c r="S10" s="843" t="str">
        <f t="shared" si="4"/>
        <v/>
      </c>
      <c r="T10" s="844" t="str">
        <f t="shared" si="5"/>
        <v/>
      </c>
      <c r="U10" s="327"/>
      <c r="V10" s="258" t="str">
        <f>IF(U10="","",IF(I10=1,VLOOKUP(U10,男子種目コード!$P$1:$Q$26,2,FALSE),IF(I10=2,VLOOKUP(U10,女子種目コード!$P$1:$Q$26,2,FALSE))))</f>
        <v/>
      </c>
      <c r="W10" s="494" t="str">
        <f>IF(U10="","",HLOOKUP(U10,名簿!$AH$3:$CH$118,5,FALSE))</f>
        <v/>
      </c>
      <c r="X10" s="1004"/>
      <c r="Y10" s="843" t="str">
        <f t="shared" si="6"/>
        <v/>
      </c>
      <c r="Z10" s="844" t="str">
        <f t="shared" si="7"/>
        <v/>
      </c>
      <c r="AA10" s="569" t="str">
        <f>IF(X10="","",IF(I10=1,VLOOKUP(X10,男子種目コード!$J$2:$K$30,2,FALSE),IF(I10=2,VLOOKUP(X10,女子種目コード!$J$2:$K$28,2,FALSE))))</f>
        <v/>
      </c>
      <c r="AB10" s="818"/>
      <c r="AC10" s="831"/>
      <c r="AD10" s="322" t="str">
        <f>IF(AC10="","",IF(I10=1,VLOOKUP(AC10,男子種目コード!$J$2:$K$30,2,FALSE),IF(I10=2,VLOOKUP(AC10,女子種目コード!$J$2:$K$28,2,FALSE))))</f>
        <v/>
      </c>
      <c r="AE10" s="818"/>
      <c r="AF10" s="831"/>
      <c r="AG10" s="322" t="str">
        <f>IF(AF10="","",IF(I10=1,VLOOKUP(AF10,男子種目コード!$J$2:$K$30,2,FALSE),IF(I10=2,VLOOKUP(AF10,女子種目コード!$J$2:$K$28,2,FALSE))))</f>
        <v/>
      </c>
      <c r="AH10" s="819"/>
      <c r="AI10" s="20"/>
      <c r="AJ10" s="20"/>
      <c r="AK10" s="19"/>
      <c r="AL10" s="11" t="s">
        <v>145</v>
      </c>
      <c r="AM10" s="848" t="str">
        <f t="shared" si="8"/>
        <v/>
      </c>
      <c r="AN10" s="57" t="str">
        <f t="shared" si="9"/>
        <v/>
      </c>
      <c r="AO10" s="576" t="s">
        <v>314</v>
      </c>
      <c r="AP10" s="879">
        <f>COUNTIF($P$7:$P$116,10)+COUNTIF($V$7:$V$116,10)</f>
        <v>0</v>
      </c>
      <c r="AQ10" s="859"/>
      <c r="AR10" s="857">
        <v>3000</v>
      </c>
      <c r="AS10" s="858" t="s">
        <v>518</v>
      </c>
      <c r="AU10" s="11" t="s">
        <v>147</v>
      </c>
      <c r="AV10" s="11" t="s">
        <v>147</v>
      </c>
      <c r="AX10" s="331">
        <f t="shared" si="0"/>
        <v>0</v>
      </c>
      <c r="AY10" s="224"/>
      <c r="AZ10" s="224"/>
      <c r="BA10" s="224"/>
      <c r="BB10" s="224"/>
      <c r="BC10" s="19">
        <f t="shared" si="1"/>
        <v>0</v>
      </c>
      <c r="BD10" s="19" t="str">
        <f t="shared" si="2"/>
        <v/>
      </c>
      <c r="BE10" s="19" t="str">
        <f t="shared" si="3"/>
        <v/>
      </c>
    </row>
    <row r="11" spans="1:57">
      <c r="B11" s="322" t="str">
        <f>名簿!P8</f>
        <v/>
      </c>
      <c r="C11" s="825"/>
      <c r="D11" s="825"/>
      <c r="E11" s="1321">
        <f>名簿!E8</f>
        <v>0</v>
      </c>
      <c r="F11" s="563" t="str">
        <f>名簿!CM8</f>
        <v/>
      </c>
      <c r="G11" s="322" t="str">
        <f>名簿!Z8</f>
        <v/>
      </c>
      <c r="H11" s="322" t="str">
        <f>名簿!CM8</f>
        <v/>
      </c>
      <c r="I11" s="323" t="str">
        <f>名簿!Y8</f>
        <v/>
      </c>
      <c r="J11" s="323" t="str">
        <f>名簿!CN8</f>
        <v/>
      </c>
      <c r="K11" s="900">
        <f>名簿!CP8</f>
        <v>0</v>
      </c>
      <c r="L11" s="901" t="str">
        <f>名簿!CU8</f>
        <v>00</v>
      </c>
      <c r="M11" s="322" t="str">
        <f>名簿!Q8</f>
        <v/>
      </c>
      <c r="N11" s="1315">
        <f>名簿!D8</f>
        <v>0</v>
      </c>
      <c r="O11" s="327"/>
      <c r="P11" s="258" t="str">
        <f>IF(O11="","",IF(I11=1,VLOOKUP(O11,男子種目コード!$P$1:$Q$26,2,FALSE),IF(I11=2,VLOOKUP(O11,女子種目コード!$P$1:$Q$26,2,FALSE))))</f>
        <v/>
      </c>
      <c r="Q11" s="494" t="str">
        <f>IF(O11="","",HLOOKUP(O11,名簿!$AH$3:$CH$118,6,FALSE))</f>
        <v/>
      </c>
      <c r="R11" s="1002"/>
      <c r="S11" s="843" t="str">
        <f t="shared" si="4"/>
        <v/>
      </c>
      <c r="T11" s="844" t="str">
        <f t="shared" si="5"/>
        <v/>
      </c>
      <c r="U11" s="327"/>
      <c r="V11" s="258" t="str">
        <f>IF(U11="","",IF(I11=1,VLOOKUP(U11,男子種目コード!$P$1:$Q$26,2,FALSE),IF(I11=2,VLOOKUP(U11,女子種目コード!$P$1:$Q$26,2,FALSE))))</f>
        <v/>
      </c>
      <c r="W11" s="494" t="str">
        <f>IF(U11="","",HLOOKUP(U11,名簿!$AH$3:$CH$118,6,FALSE))</f>
        <v/>
      </c>
      <c r="X11" s="1004"/>
      <c r="Y11" s="843" t="str">
        <f t="shared" si="6"/>
        <v/>
      </c>
      <c r="Z11" s="844" t="str">
        <f t="shared" si="7"/>
        <v/>
      </c>
      <c r="AA11" s="569" t="str">
        <f>IF(X11="","",IF(I11=1,VLOOKUP(X11,男子種目コード!$J$2:$K$30,2,FALSE),IF(I11=2,VLOOKUP(X11,女子種目コード!$J$2:$K$28,2,FALSE))))</f>
        <v/>
      </c>
      <c r="AB11" s="818"/>
      <c r="AC11" s="831"/>
      <c r="AD11" s="322" t="str">
        <f>IF(AC11="","",IF(I11=1,VLOOKUP(AC11,男子種目コード!$J$2:$K$30,2,FALSE),IF(I11=2,VLOOKUP(AC11,女子種目コード!$J$2:$K$28,2,FALSE))))</f>
        <v/>
      </c>
      <c r="AE11" s="818"/>
      <c r="AF11" s="831"/>
      <c r="AG11" s="322" t="str">
        <f>IF(AF11="","",IF(I11=1,VLOOKUP(AF11,男子種目コード!$J$2:$K$30,2,FALSE),IF(I11=2,VLOOKUP(AF11,女子種目コード!$J$2:$K$28,2,FALSE))))</f>
        <v/>
      </c>
      <c r="AH11" s="819"/>
      <c r="AI11" s="20"/>
      <c r="AJ11" s="20"/>
      <c r="AK11" s="19"/>
      <c r="AL11" s="11" t="s">
        <v>158</v>
      </c>
      <c r="AM11" s="848" t="str">
        <f t="shared" si="8"/>
        <v/>
      </c>
      <c r="AN11" s="57" t="str">
        <f t="shared" si="9"/>
        <v/>
      </c>
      <c r="AO11" s="576" t="s">
        <v>315</v>
      </c>
      <c r="AP11" s="879">
        <f>COUNTIF($P$7:$P$116,11)+COUNTIF($V$7:$V$116,11)</f>
        <v>0</v>
      </c>
      <c r="AQ11" s="859"/>
      <c r="AR11" s="857" t="s">
        <v>316</v>
      </c>
      <c r="AS11" s="858" t="s">
        <v>519</v>
      </c>
      <c r="AU11" s="11" t="s">
        <v>148</v>
      </c>
      <c r="AV11" s="11" t="s">
        <v>148</v>
      </c>
      <c r="AX11" s="331">
        <f t="shared" si="0"/>
        <v>0</v>
      </c>
      <c r="AY11" s="224"/>
      <c r="AZ11" s="224"/>
      <c r="BA11" s="224"/>
      <c r="BB11" s="224"/>
      <c r="BC11" s="19">
        <f t="shared" si="1"/>
        <v>0</v>
      </c>
      <c r="BD11" s="19" t="str">
        <f t="shared" si="2"/>
        <v/>
      </c>
      <c r="BE11" s="19" t="str">
        <f t="shared" si="3"/>
        <v/>
      </c>
    </row>
    <row r="12" spans="1:57">
      <c r="B12" s="322" t="str">
        <f>名簿!P9</f>
        <v/>
      </c>
      <c r="C12" s="825"/>
      <c r="D12" s="825"/>
      <c r="E12" s="1321">
        <f>名簿!E9</f>
        <v>0</v>
      </c>
      <c r="F12" s="563" t="str">
        <f>名簿!CM9</f>
        <v/>
      </c>
      <c r="G12" s="322" t="str">
        <f>名簿!Z9</f>
        <v/>
      </c>
      <c r="H12" s="322" t="str">
        <f>名簿!CM9</f>
        <v/>
      </c>
      <c r="I12" s="323" t="str">
        <f>名簿!Y9</f>
        <v/>
      </c>
      <c r="J12" s="323" t="str">
        <f>名簿!CN9</f>
        <v/>
      </c>
      <c r="K12" s="900">
        <f>名簿!CP9</f>
        <v>0</v>
      </c>
      <c r="L12" s="901" t="str">
        <f>名簿!CU9</f>
        <v>00</v>
      </c>
      <c r="M12" s="322" t="str">
        <f>名簿!Q9</f>
        <v/>
      </c>
      <c r="N12" s="1315">
        <f>名簿!D9</f>
        <v>0</v>
      </c>
      <c r="O12" s="327"/>
      <c r="P12" s="258" t="str">
        <f>IF(O12="","",IF(I12=1,VLOOKUP(O12,男子種目コード!$P$1:$Q$26,2,FALSE),IF(I12=2,VLOOKUP(O12,女子種目コード!$P$1:$Q$26,2,FALSE))))</f>
        <v/>
      </c>
      <c r="Q12" s="494" t="str">
        <f>IF(O12="","",HLOOKUP(O12,名簿!$AH$3:$CH$118,7,FALSE))</f>
        <v/>
      </c>
      <c r="R12" s="1002"/>
      <c r="S12" s="843" t="str">
        <f t="shared" si="4"/>
        <v/>
      </c>
      <c r="T12" s="844" t="str">
        <f t="shared" si="5"/>
        <v/>
      </c>
      <c r="U12" s="327"/>
      <c r="V12" s="258" t="str">
        <f>IF(U12="","",IF(I12=1,VLOOKUP(U12,男子種目コード!$P$1:$Q$26,2,FALSE),IF(I12=2,VLOOKUP(U12,女子種目コード!$P$1:$Q$26,2,FALSE))))</f>
        <v/>
      </c>
      <c r="W12" s="494" t="str">
        <f>IF(U12="","",HLOOKUP(U12,名簿!$AH$3:$CH$118,7,FALSE))</f>
        <v/>
      </c>
      <c r="X12" s="1004"/>
      <c r="Y12" s="843" t="str">
        <f t="shared" si="6"/>
        <v/>
      </c>
      <c r="Z12" s="844" t="str">
        <f t="shared" si="7"/>
        <v/>
      </c>
      <c r="AA12" s="569" t="str">
        <f>IF(X12="","",IF(I12=1,VLOOKUP(X12,男子種目コード!$J$2:$K$30,2,FALSE),IF(I12=2,VLOOKUP(X12,女子種目コード!$J$2:$K$28,2,FALSE))))</f>
        <v/>
      </c>
      <c r="AB12" s="818"/>
      <c r="AC12" s="831"/>
      <c r="AD12" s="322" t="str">
        <f>IF(AC12="","",IF(I12=1,VLOOKUP(AC12,男子種目コード!$J$2:$K$30,2,FALSE),IF(I12=2,VLOOKUP(AC12,女子種目コード!$J$2:$K$28,2,FALSE))))</f>
        <v/>
      </c>
      <c r="AE12" s="818"/>
      <c r="AF12" s="831"/>
      <c r="AG12" s="322" t="str">
        <f>IF(AF12="","",IF(I12=1,VLOOKUP(AF12,男子種目コード!$J$2:$K$30,2,FALSE),IF(I12=2,VLOOKUP(AF12,女子種目コード!$J$2:$K$28,2,FALSE))))</f>
        <v/>
      </c>
      <c r="AH12" s="819"/>
      <c r="AI12" s="20"/>
      <c r="AJ12" s="20"/>
      <c r="AK12" s="19"/>
      <c r="AL12" s="11" t="s">
        <v>146</v>
      </c>
      <c r="AM12" s="848" t="str">
        <f t="shared" si="8"/>
        <v/>
      </c>
      <c r="AN12" s="57" t="str">
        <f t="shared" si="9"/>
        <v/>
      </c>
      <c r="AO12" s="576" t="s">
        <v>214</v>
      </c>
      <c r="AP12" s="879">
        <f>COUNTIF($P$7:$P$116,12)+COUNTIF($V$7:$V$116,12)</f>
        <v>0</v>
      </c>
      <c r="AQ12" s="849"/>
      <c r="AR12" s="857" t="s">
        <v>212</v>
      </c>
      <c r="AS12" s="858" t="s">
        <v>520</v>
      </c>
      <c r="AU12" s="11" t="s">
        <v>155</v>
      </c>
      <c r="AV12" s="11" t="s">
        <v>155</v>
      </c>
      <c r="AX12" s="331">
        <f t="shared" si="0"/>
        <v>0</v>
      </c>
      <c r="AY12" s="224"/>
      <c r="AZ12" s="224"/>
      <c r="BA12" s="224"/>
      <c r="BB12" s="224"/>
      <c r="BC12" s="19">
        <f t="shared" si="1"/>
        <v>0</v>
      </c>
      <c r="BD12" s="19" t="str">
        <f t="shared" si="2"/>
        <v/>
      </c>
      <c r="BE12" s="19" t="str">
        <f t="shared" si="3"/>
        <v/>
      </c>
    </row>
    <row r="13" spans="1:57">
      <c r="B13" s="322" t="str">
        <f>名簿!P10</f>
        <v/>
      </c>
      <c r="C13" s="825"/>
      <c r="D13" s="825"/>
      <c r="E13" s="1321">
        <f>名簿!E10</f>
        <v>0</v>
      </c>
      <c r="F13" s="563" t="str">
        <f>名簿!CM10</f>
        <v/>
      </c>
      <c r="G13" s="322" t="str">
        <f>名簿!Z10</f>
        <v/>
      </c>
      <c r="H13" s="322" t="str">
        <f>名簿!CM10</f>
        <v/>
      </c>
      <c r="I13" s="323" t="str">
        <f>名簿!Y10</f>
        <v/>
      </c>
      <c r="J13" s="323" t="str">
        <f>名簿!CN10</f>
        <v/>
      </c>
      <c r="K13" s="900">
        <f>名簿!CP10</f>
        <v>0</v>
      </c>
      <c r="L13" s="901" t="str">
        <f>名簿!CU10</f>
        <v>00</v>
      </c>
      <c r="M13" s="322" t="str">
        <f>名簿!Q10</f>
        <v/>
      </c>
      <c r="N13" s="1315">
        <f>名簿!D10</f>
        <v>0</v>
      </c>
      <c r="O13" s="327"/>
      <c r="P13" s="258" t="str">
        <f>IF(O13="","",IF(I13=1,VLOOKUP(O13,男子種目コード!$P$1:$Q$26,2,FALSE),IF(I13=2,VLOOKUP(O13,女子種目コード!$P$1:$Q$26,2,FALSE))))</f>
        <v/>
      </c>
      <c r="Q13" s="494" t="str">
        <f>IF(O13="","",HLOOKUP(O13,名簿!$AH$3:$CH$118,8,FALSE))</f>
        <v/>
      </c>
      <c r="R13" s="1002"/>
      <c r="S13" s="843" t="str">
        <f t="shared" si="4"/>
        <v/>
      </c>
      <c r="T13" s="844" t="str">
        <f t="shared" si="5"/>
        <v/>
      </c>
      <c r="U13" s="327"/>
      <c r="V13" s="258" t="str">
        <f>IF(U13="","",IF(I13=1,VLOOKUP(U13,男子種目コード!$P$1:$Q$26,2,FALSE),IF(I13=2,VLOOKUP(U13,女子種目コード!$P$1:$Q$26,2,FALSE))))</f>
        <v/>
      </c>
      <c r="W13" s="494" t="str">
        <f>IF(U13="","",HLOOKUP(U13,名簿!$AH$3:$CH$118,8,FALSE))</f>
        <v/>
      </c>
      <c r="X13" s="1004"/>
      <c r="Y13" s="843" t="str">
        <f t="shared" si="6"/>
        <v/>
      </c>
      <c r="Z13" s="844" t="str">
        <f t="shared" si="7"/>
        <v/>
      </c>
      <c r="AA13" s="569" t="str">
        <f>IF(X13="","",IF(I13=1,VLOOKUP(X13,男子種目コード!$J$2:$K$30,2,FALSE),IF(I13=2,VLOOKUP(X13,女子種目コード!$J$2:$K$28,2,FALSE))))</f>
        <v/>
      </c>
      <c r="AB13" s="818"/>
      <c r="AC13" s="831"/>
      <c r="AD13" s="322" t="str">
        <f>IF(AC13="","",IF(I13=1,VLOOKUP(AC13,男子種目コード!$J$2:$K$30,2,FALSE),IF(I13=2,VLOOKUP(AC13,女子種目コード!$J$2:$K$28,2,FALSE))))</f>
        <v/>
      </c>
      <c r="AE13" s="818"/>
      <c r="AF13" s="831"/>
      <c r="AG13" s="322" t="str">
        <f>IF(AF13="","",IF(I13=1,VLOOKUP(AF13,男子種目コード!$J$2:$K$30,2,FALSE),IF(I13=2,VLOOKUP(AF13,女子種目コード!$J$2:$K$28,2,FALSE))))</f>
        <v/>
      </c>
      <c r="AH13" s="819"/>
      <c r="AI13" s="20"/>
      <c r="AJ13" s="20"/>
      <c r="AK13" s="19"/>
      <c r="AL13" s="11" t="s">
        <v>147</v>
      </c>
      <c r="AM13" s="848" t="str">
        <f t="shared" si="8"/>
        <v/>
      </c>
      <c r="AN13" s="57" t="str">
        <f t="shared" si="9"/>
        <v/>
      </c>
      <c r="AO13" s="576" t="s">
        <v>148</v>
      </c>
      <c r="AP13" s="879">
        <f>COUNTIF($P$7:$P$116,13)+COUNTIF($V$7:$V$116,13)</f>
        <v>0</v>
      </c>
      <c r="AQ13" s="849"/>
      <c r="AR13" s="857" t="s">
        <v>24</v>
      </c>
      <c r="AS13" s="858" t="s">
        <v>521</v>
      </c>
      <c r="AU13" s="79" t="s">
        <v>459</v>
      </c>
      <c r="AV13" s="79" t="s">
        <v>459</v>
      </c>
      <c r="AX13" s="331">
        <f t="shared" si="0"/>
        <v>0</v>
      </c>
      <c r="AY13" s="224"/>
      <c r="AZ13" s="224"/>
      <c r="BA13" s="224"/>
      <c r="BB13" s="224"/>
      <c r="BC13" s="19">
        <f t="shared" si="1"/>
        <v>0</v>
      </c>
      <c r="BD13" s="19" t="str">
        <f t="shared" si="2"/>
        <v/>
      </c>
      <c r="BE13" s="19" t="str">
        <f t="shared" si="3"/>
        <v/>
      </c>
    </row>
    <row r="14" spans="1:57">
      <c r="B14" s="322" t="str">
        <f>名簿!P11</f>
        <v/>
      </c>
      <c r="C14" s="825"/>
      <c r="D14" s="825"/>
      <c r="E14" s="1321">
        <f>名簿!E11</f>
        <v>0</v>
      </c>
      <c r="F14" s="563" t="str">
        <f>名簿!CM11</f>
        <v/>
      </c>
      <c r="G14" s="322" t="str">
        <f>名簿!Z11</f>
        <v/>
      </c>
      <c r="H14" s="322" t="str">
        <f>名簿!CM11</f>
        <v/>
      </c>
      <c r="I14" s="323" t="str">
        <f>名簿!Y11</f>
        <v/>
      </c>
      <c r="J14" s="323" t="str">
        <f>名簿!CN11</f>
        <v/>
      </c>
      <c r="K14" s="900">
        <f>名簿!CP11</f>
        <v>0</v>
      </c>
      <c r="L14" s="901" t="str">
        <f>名簿!CU11</f>
        <v>00</v>
      </c>
      <c r="M14" s="322" t="str">
        <f>名簿!Q11</f>
        <v/>
      </c>
      <c r="N14" s="1315">
        <f>名簿!D11</f>
        <v>0</v>
      </c>
      <c r="O14" s="327"/>
      <c r="P14" s="258" t="str">
        <f>IF(O14="","",IF(I14=1,VLOOKUP(O14,男子種目コード!$P$1:$Q$26,2,FALSE),IF(I14=2,VLOOKUP(O14,女子種目コード!$P$1:$Q$26,2,FALSE))))</f>
        <v/>
      </c>
      <c r="Q14" s="494" t="str">
        <f>IF(O14="","",HLOOKUP(O14,名簿!$AH$3:$CH$118,9,FALSE))</f>
        <v/>
      </c>
      <c r="R14" s="1002"/>
      <c r="S14" s="843" t="str">
        <f t="shared" si="4"/>
        <v/>
      </c>
      <c r="T14" s="844" t="str">
        <f t="shared" si="5"/>
        <v/>
      </c>
      <c r="U14" s="327"/>
      <c r="V14" s="258" t="str">
        <f>IF(U14="","",IF(I14=1,VLOOKUP(U14,男子種目コード!$P$1:$Q$26,2,FALSE),IF(I14=2,VLOOKUP(U14,女子種目コード!$P$1:$Q$26,2,FALSE))))</f>
        <v/>
      </c>
      <c r="W14" s="494" t="str">
        <f>IF(U14="","",HLOOKUP(U14,名簿!$AH$3:$CH$118,9,FALSE))</f>
        <v/>
      </c>
      <c r="X14" s="1004"/>
      <c r="Y14" s="843" t="str">
        <f t="shared" si="6"/>
        <v/>
      </c>
      <c r="Z14" s="844" t="str">
        <f t="shared" si="7"/>
        <v/>
      </c>
      <c r="AA14" s="569" t="str">
        <f>IF(X14="","",IF(I14=1,VLOOKUP(X14,男子種目コード!$J$2:$K$30,2,FALSE),IF(I14=2,VLOOKUP(X14,女子種目コード!$J$2:$K$28,2,FALSE))))</f>
        <v/>
      </c>
      <c r="AB14" s="818"/>
      <c r="AC14" s="831"/>
      <c r="AD14" s="322" t="str">
        <f>IF(AC14="","",IF(I14=1,VLOOKUP(AC14,男子種目コード!$J$2:$K$30,2,FALSE),IF(I14=2,VLOOKUP(AC14,女子種目コード!$J$2:$K$28,2,FALSE))))</f>
        <v/>
      </c>
      <c r="AE14" s="818"/>
      <c r="AF14" s="831"/>
      <c r="AG14" s="322" t="str">
        <f>IF(AF14="","",IF(I14=1,VLOOKUP(AF14,男子種目コード!$J$2:$K$30,2,FALSE),IF(I14=2,VLOOKUP(AF14,女子種目コード!$J$2:$K$28,2,FALSE))))</f>
        <v/>
      </c>
      <c r="AH14" s="819"/>
      <c r="AI14" s="20"/>
      <c r="AJ14" s="20"/>
      <c r="AK14" s="19"/>
      <c r="AL14" s="11" t="s">
        <v>148</v>
      </c>
      <c r="AM14" s="848" t="str">
        <f t="shared" si="8"/>
        <v/>
      </c>
      <c r="AN14" s="57" t="str">
        <f t="shared" si="9"/>
        <v/>
      </c>
      <c r="AO14" s="576" t="s">
        <v>305</v>
      </c>
      <c r="AP14" s="879">
        <f>COUNTIF($P$7:$P$116,14)+COUNTIF($V$7:$V$116,14)</f>
        <v>0</v>
      </c>
      <c r="AQ14" s="849"/>
      <c r="AR14" s="857" t="s">
        <v>22</v>
      </c>
      <c r="AS14" s="858" t="s">
        <v>522</v>
      </c>
      <c r="AU14" s="11" t="s">
        <v>149</v>
      </c>
      <c r="AV14" s="11" t="s">
        <v>149</v>
      </c>
      <c r="AX14" s="331">
        <f t="shared" si="0"/>
        <v>0</v>
      </c>
      <c r="AY14" s="224"/>
      <c r="AZ14" s="224"/>
      <c r="BA14" s="224"/>
      <c r="BB14" s="224"/>
      <c r="BC14" s="19">
        <f t="shared" si="1"/>
        <v>0</v>
      </c>
      <c r="BD14" s="19" t="str">
        <f t="shared" si="2"/>
        <v/>
      </c>
      <c r="BE14" s="19" t="str">
        <f t="shared" si="3"/>
        <v/>
      </c>
    </row>
    <row r="15" spans="1:57" ht="14.25" thickBot="1">
      <c r="B15" s="322" t="str">
        <f>名簿!P12</f>
        <v/>
      </c>
      <c r="C15" s="825"/>
      <c r="D15" s="825"/>
      <c r="E15" s="1321">
        <f>名簿!E12</f>
        <v>0</v>
      </c>
      <c r="F15" s="563" t="str">
        <f>名簿!CM12</f>
        <v/>
      </c>
      <c r="G15" s="322" t="str">
        <f>名簿!Z12</f>
        <v/>
      </c>
      <c r="H15" s="322" t="str">
        <f>名簿!CM12</f>
        <v/>
      </c>
      <c r="I15" s="323" t="str">
        <f>名簿!Y12</f>
        <v/>
      </c>
      <c r="J15" s="323" t="str">
        <f>名簿!CN12</f>
        <v/>
      </c>
      <c r="K15" s="900">
        <f>名簿!CP12</f>
        <v>0</v>
      </c>
      <c r="L15" s="901" t="str">
        <f>名簿!CU12</f>
        <v>00</v>
      </c>
      <c r="M15" s="322" t="str">
        <f>名簿!Q12</f>
        <v/>
      </c>
      <c r="N15" s="1315">
        <f>名簿!D12</f>
        <v>0</v>
      </c>
      <c r="O15" s="327"/>
      <c r="P15" s="258" t="str">
        <f>IF(O15="","",IF(I15=1,VLOOKUP(O15,男子種目コード!$P$1:$Q$26,2,FALSE),IF(I15=2,VLOOKUP(O15,女子種目コード!$P$1:$Q$26,2,FALSE))))</f>
        <v/>
      </c>
      <c r="Q15" s="494" t="str">
        <f>IF(O15="","",HLOOKUP(O15,名簿!$AH$3:$CH$118,10,FALSE))</f>
        <v/>
      </c>
      <c r="R15" s="1002"/>
      <c r="S15" s="843" t="str">
        <f t="shared" si="4"/>
        <v/>
      </c>
      <c r="T15" s="844" t="str">
        <f t="shared" si="5"/>
        <v/>
      </c>
      <c r="U15" s="327"/>
      <c r="V15" s="258" t="str">
        <f>IF(U15="","",IF(I15=1,VLOOKUP(U15,男子種目コード!$P$1:$Q$26,2,FALSE),IF(I15=2,VLOOKUP(U15,女子種目コード!$P$1:$Q$26,2,FALSE))))</f>
        <v/>
      </c>
      <c r="W15" s="494" t="str">
        <f>IF(U15="","",HLOOKUP(U15,名簿!$AH$3:$CH$118,10,FALSE))</f>
        <v/>
      </c>
      <c r="X15" s="1004"/>
      <c r="Y15" s="843" t="str">
        <f t="shared" si="6"/>
        <v/>
      </c>
      <c r="Z15" s="844" t="str">
        <f t="shared" si="7"/>
        <v/>
      </c>
      <c r="AA15" s="569" t="str">
        <f>IF(X15="","",IF(I15=1,VLOOKUP(X15,男子種目コード!$J$2:$K$30,2,FALSE),IF(I15=2,VLOOKUP(X15,女子種目コード!$J$2:$K$28,2,FALSE))))</f>
        <v/>
      </c>
      <c r="AB15" s="818"/>
      <c r="AC15" s="831"/>
      <c r="AD15" s="322" t="str">
        <f>IF(AC15="","",IF(I15=1,VLOOKUP(AC15,男子種目コード!$J$2:$K$30,2,FALSE),IF(I15=2,VLOOKUP(AC15,女子種目コード!$J$2:$K$28,2,FALSE))))</f>
        <v/>
      </c>
      <c r="AE15" s="818"/>
      <c r="AF15" s="831"/>
      <c r="AG15" s="322" t="str">
        <f>IF(AF15="","",IF(I15=1,VLOOKUP(AF15,男子種目コード!$J$2:$K$30,2,FALSE),IF(I15=2,VLOOKUP(AF15,女子種目コード!$J$2:$K$28,2,FALSE))))</f>
        <v/>
      </c>
      <c r="AH15" s="819"/>
      <c r="AI15" s="20"/>
      <c r="AJ15" s="20"/>
      <c r="AK15" s="19"/>
      <c r="AL15" s="11" t="s">
        <v>149</v>
      </c>
      <c r="AM15" s="848" t="str">
        <f t="shared" si="8"/>
        <v/>
      </c>
      <c r="AN15" s="57" t="str">
        <f t="shared" si="9"/>
        <v/>
      </c>
      <c r="AO15" s="576" t="s">
        <v>317</v>
      </c>
      <c r="AP15" s="879">
        <f>COUNTIF($P$7:$P$116,15)+COUNTIF($V$7:$V$116,15)</f>
        <v>0</v>
      </c>
      <c r="AQ15" s="849"/>
      <c r="AR15" s="860" t="s">
        <v>311</v>
      </c>
      <c r="AS15" s="861" t="s">
        <v>523</v>
      </c>
      <c r="AU15" s="11" t="s">
        <v>150</v>
      </c>
      <c r="AV15" s="11" t="s">
        <v>150</v>
      </c>
      <c r="AX15" s="331">
        <f t="shared" si="0"/>
        <v>0</v>
      </c>
      <c r="AY15" s="224"/>
      <c r="AZ15" s="224"/>
      <c r="BA15" s="224"/>
      <c r="BB15" s="224"/>
      <c r="BC15" s="19">
        <f t="shared" si="1"/>
        <v>0</v>
      </c>
      <c r="BD15" s="19" t="str">
        <f t="shared" si="2"/>
        <v/>
      </c>
      <c r="BE15" s="19" t="str">
        <f t="shared" si="3"/>
        <v/>
      </c>
    </row>
    <row r="16" spans="1:57" ht="14.25" thickBot="1">
      <c r="B16" s="322" t="str">
        <f>名簿!P13</f>
        <v/>
      </c>
      <c r="C16" s="825"/>
      <c r="D16" s="825"/>
      <c r="E16" s="1321">
        <f>名簿!E13</f>
        <v>0</v>
      </c>
      <c r="F16" s="563" t="str">
        <f>名簿!CM13</f>
        <v/>
      </c>
      <c r="G16" s="322" t="str">
        <f>名簿!Z13</f>
        <v/>
      </c>
      <c r="H16" s="322" t="str">
        <f>名簿!CM13</f>
        <v/>
      </c>
      <c r="I16" s="323" t="str">
        <f>名簿!Y13</f>
        <v/>
      </c>
      <c r="J16" s="323" t="str">
        <f>名簿!CN13</f>
        <v/>
      </c>
      <c r="K16" s="900">
        <f>名簿!CP13</f>
        <v>0</v>
      </c>
      <c r="L16" s="901" t="str">
        <f>名簿!CU13</f>
        <v>00</v>
      </c>
      <c r="M16" s="322" t="str">
        <f>名簿!Q13</f>
        <v/>
      </c>
      <c r="N16" s="1315">
        <f>名簿!D13</f>
        <v>0</v>
      </c>
      <c r="O16" s="327"/>
      <c r="P16" s="258" t="str">
        <f>IF(O16="","",IF(I16=1,VLOOKUP(O16,男子種目コード!$P$1:$Q$26,2,FALSE),IF(I16=2,VLOOKUP(O16,女子種目コード!$P$1:$Q$26,2,FALSE))))</f>
        <v/>
      </c>
      <c r="Q16" s="494" t="str">
        <f>IF(O16="","",HLOOKUP(O16,名簿!$AH$3:$CH$118,11,FALSE))</f>
        <v/>
      </c>
      <c r="R16" s="1002"/>
      <c r="S16" s="843" t="str">
        <f t="shared" si="4"/>
        <v/>
      </c>
      <c r="T16" s="844" t="str">
        <f t="shared" si="5"/>
        <v/>
      </c>
      <c r="U16" s="327"/>
      <c r="V16" s="258" t="str">
        <f>IF(U16="","",IF(I16=1,VLOOKUP(U16,男子種目コード!$P$1:$Q$26,2,FALSE),IF(I16=2,VLOOKUP(U16,女子種目コード!$P$1:$Q$26,2,FALSE))))</f>
        <v/>
      </c>
      <c r="W16" s="494" t="str">
        <f>IF(U16="","",HLOOKUP(U16,名簿!$AH$3:$CH$118,11,FALSE))</f>
        <v/>
      </c>
      <c r="X16" s="1004"/>
      <c r="Y16" s="843" t="str">
        <f t="shared" si="6"/>
        <v/>
      </c>
      <c r="Z16" s="844" t="str">
        <f t="shared" si="7"/>
        <v/>
      </c>
      <c r="AA16" s="569" t="str">
        <f>IF(X16="","",IF(I16=1,VLOOKUP(X16,男子種目コード!$J$2:$K$30,2,FALSE),IF(I16=2,VLOOKUP(X16,女子種目コード!$J$2:$K$28,2,FALSE))))</f>
        <v/>
      </c>
      <c r="AB16" s="818"/>
      <c r="AC16" s="831"/>
      <c r="AD16" s="322" t="str">
        <f>IF(AC16="","",IF(I16=1,VLOOKUP(AC16,男子種目コード!$J$2:$K$30,2,FALSE),IF(I16=2,VLOOKUP(AC16,女子種目コード!$J$2:$K$28,2,FALSE))))</f>
        <v/>
      </c>
      <c r="AE16" s="818"/>
      <c r="AF16" s="831"/>
      <c r="AG16" s="322" t="str">
        <f>IF(AF16="","",IF(I16=1,VLOOKUP(AF16,男子種目コード!$J$2:$K$30,2,FALSE),IF(I16=2,VLOOKUP(AF16,女子種目コード!$J$2:$K$28,2,FALSE))))</f>
        <v/>
      </c>
      <c r="AH16" s="819"/>
      <c r="AI16" s="20"/>
      <c r="AJ16" s="20"/>
      <c r="AK16" s="19"/>
      <c r="AL16" s="11" t="s">
        <v>150</v>
      </c>
      <c r="AM16" s="848" t="str">
        <f t="shared" si="8"/>
        <v/>
      </c>
      <c r="AN16" s="57" t="str">
        <f t="shared" si="9"/>
        <v/>
      </c>
      <c r="AO16" s="576" t="s">
        <v>318</v>
      </c>
      <c r="AP16" s="879">
        <f>COUNTIF($P$7:$P$116,16)+COUNTIF($V$7:$V$116,16)</f>
        <v>0</v>
      </c>
      <c r="AQ16" s="395"/>
      <c r="AR16" s="1206" t="s">
        <v>221</v>
      </c>
      <c r="AS16" s="1207"/>
      <c r="AU16" s="11" t="s">
        <v>151</v>
      </c>
      <c r="AV16" s="11" t="s">
        <v>160</v>
      </c>
      <c r="AX16" s="331">
        <f t="shared" si="0"/>
        <v>0</v>
      </c>
      <c r="AY16" s="224"/>
      <c r="AZ16" s="224"/>
      <c r="BA16" s="224"/>
      <c r="BB16" s="224"/>
      <c r="BC16" s="19">
        <f t="shared" si="1"/>
        <v>0</v>
      </c>
      <c r="BD16" s="19" t="str">
        <f t="shared" si="2"/>
        <v/>
      </c>
      <c r="BE16" s="19" t="str">
        <f t="shared" si="3"/>
        <v/>
      </c>
    </row>
    <row r="17" spans="2:57">
      <c r="B17" s="322" t="str">
        <f>名簿!P14</f>
        <v/>
      </c>
      <c r="C17" s="825"/>
      <c r="D17" s="825"/>
      <c r="E17" s="1321">
        <f>名簿!E14</f>
        <v>0</v>
      </c>
      <c r="F17" s="563" t="str">
        <f>名簿!CM14</f>
        <v/>
      </c>
      <c r="G17" s="322" t="str">
        <f>名簿!Z14</f>
        <v/>
      </c>
      <c r="H17" s="322" t="str">
        <f>名簿!CM14</f>
        <v/>
      </c>
      <c r="I17" s="323" t="str">
        <f>名簿!Y14</f>
        <v/>
      </c>
      <c r="J17" s="323" t="str">
        <f>名簿!CN14</f>
        <v/>
      </c>
      <c r="K17" s="900">
        <f>名簿!CP14</f>
        <v>0</v>
      </c>
      <c r="L17" s="901" t="str">
        <f>名簿!CU14</f>
        <v>00</v>
      </c>
      <c r="M17" s="322" t="str">
        <f>名簿!Q14</f>
        <v/>
      </c>
      <c r="N17" s="1315">
        <f>名簿!D14</f>
        <v>0</v>
      </c>
      <c r="O17" s="327"/>
      <c r="P17" s="258" t="str">
        <f>IF(O17="","",IF(I17=1,VLOOKUP(O17,男子種目コード!$P$1:$Q$26,2,FALSE),IF(I17=2,VLOOKUP(O17,女子種目コード!$P$1:$Q$26,2,FALSE))))</f>
        <v/>
      </c>
      <c r="Q17" s="494" t="str">
        <f>IF(O17="","",HLOOKUP(O17,名簿!$AH$3:$CH$118,12,FALSE))</f>
        <v/>
      </c>
      <c r="R17" s="1002"/>
      <c r="S17" s="843" t="str">
        <f t="shared" si="4"/>
        <v/>
      </c>
      <c r="T17" s="844" t="str">
        <f t="shared" si="5"/>
        <v/>
      </c>
      <c r="U17" s="327"/>
      <c r="V17" s="258" t="str">
        <f>IF(U17="","",IF(I17=1,VLOOKUP(U17,男子種目コード!$P$1:$Q$26,2,FALSE),IF(I17=2,VLOOKUP(U17,女子種目コード!$P$1:$Q$26,2,FALSE))))</f>
        <v/>
      </c>
      <c r="W17" s="494" t="str">
        <f>IF(U17="","",HLOOKUP(U17,名簿!$AH$3:$CH$118,12,FALSE))</f>
        <v/>
      </c>
      <c r="X17" s="1004"/>
      <c r="Y17" s="843" t="str">
        <f t="shared" si="6"/>
        <v/>
      </c>
      <c r="Z17" s="844" t="str">
        <f t="shared" si="7"/>
        <v/>
      </c>
      <c r="AA17" s="569" t="str">
        <f>IF(X17="","",IF(I17=1,VLOOKUP(X17,男子種目コード!$J$2:$K$30,2,FALSE),IF(I17=2,VLOOKUP(X17,女子種目コード!$J$2:$K$28,2,FALSE))))</f>
        <v/>
      </c>
      <c r="AB17" s="818"/>
      <c r="AC17" s="831"/>
      <c r="AD17" s="322" t="str">
        <f>IF(AC17="","",IF(I17=1,VLOOKUP(AC17,男子種目コード!$J$2:$K$30,2,FALSE),IF(I17=2,VLOOKUP(AC17,女子種目コード!$J$2:$K$28,2,FALSE))))</f>
        <v/>
      </c>
      <c r="AE17" s="818"/>
      <c r="AF17" s="831"/>
      <c r="AG17" s="322" t="str">
        <f>IF(AF17="","",IF(I17=1,VLOOKUP(AF17,男子種目コード!$J$2:$K$30,2,FALSE),IF(I17=2,VLOOKUP(AF17,女子種目コード!$J$2:$K$28,2,FALSE))))</f>
        <v/>
      </c>
      <c r="AH17" s="819"/>
      <c r="AI17" s="20"/>
      <c r="AJ17" s="20"/>
      <c r="AK17" s="19"/>
      <c r="AL17" s="11" t="s">
        <v>160</v>
      </c>
      <c r="AM17" s="848" t="str">
        <f t="shared" si="8"/>
        <v/>
      </c>
      <c r="AN17" s="57" t="str">
        <f t="shared" si="9"/>
        <v/>
      </c>
      <c r="AO17" s="576" t="s">
        <v>215</v>
      </c>
      <c r="AP17" s="879">
        <f>COUNTIF($P$7:$P$116,17)+COUNTIF($V$7:$V$116,17)</f>
        <v>0</v>
      </c>
      <c r="AQ17" s="395"/>
      <c r="AR17" s="855">
        <v>100</v>
      </c>
      <c r="AS17" s="856" t="s">
        <v>524</v>
      </c>
      <c r="AU17" s="11" t="s">
        <v>152</v>
      </c>
      <c r="AV17" s="11" t="s">
        <v>152</v>
      </c>
      <c r="AX17" s="331">
        <f t="shared" si="0"/>
        <v>0</v>
      </c>
      <c r="AY17" s="224"/>
      <c r="AZ17" s="224"/>
      <c r="BA17" s="224"/>
      <c r="BB17" s="224"/>
      <c r="BC17" s="19">
        <f t="shared" si="1"/>
        <v>0</v>
      </c>
      <c r="BD17" s="19" t="str">
        <f t="shared" si="2"/>
        <v/>
      </c>
      <c r="BE17" s="19" t="str">
        <f t="shared" si="3"/>
        <v/>
      </c>
    </row>
    <row r="18" spans="2:57">
      <c r="B18" s="322" t="str">
        <f>名簿!P15</f>
        <v/>
      </c>
      <c r="C18" s="825"/>
      <c r="D18" s="825"/>
      <c r="E18" s="1321">
        <f>名簿!E15</f>
        <v>0</v>
      </c>
      <c r="F18" s="563" t="str">
        <f>名簿!CM15</f>
        <v/>
      </c>
      <c r="G18" s="322" t="str">
        <f>名簿!Z15</f>
        <v/>
      </c>
      <c r="H18" s="322" t="str">
        <f>名簿!CM15</f>
        <v/>
      </c>
      <c r="I18" s="323" t="str">
        <f>名簿!Y15</f>
        <v/>
      </c>
      <c r="J18" s="323" t="str">
        <f>名簿!CN15</f>
        <v/>
      </c>
      <c r="K18" s="900">
        <f>名簿!CP15</f>
        <v>0</v>
      </c>
      <c r="L18" s="901" t="str">
        <f>名簿!CU15</f>
        <v>00</v>
      </c>
      <c r="M18" s="322" t="str">
        <f>名簿!Q15</f>
        <v/>
      </c>
      <c r="N18" s="1315">
        <f>名簿!D15</f>
        <v>0</v>
      </c>
      <c r="O18" s="327"/>
      <c r="P18" s="258" t="str">
        <f>IF(O18="","",IF(I18=1,VLOOKUP(O18,男子種目コード!$P$1:$Q$26,2,FALSE),IF(I18=2,VLOOKUP(O18,女子種目コード!$P$1:$Q$26,2,FALSE))))</f>
        <v/>
      </c>
      <c r="Q18" s="494" t="str">
        <f>IF(O18="","",HLOOKUP(O18,名簿!$AH$3:$CH$118,13,FALSE))</f>
        <v/>
      </c>
      <c r="R18" s="1002"/>
      <c r="S18" s="843" t="str">
        <f t="shared" si="4"/>
        <v/>
      </c>
      <c r="T18" s="844" t="str">
        <f t="shared" si="5"/>
        <v/>
      </c>
      <c r="U18" s="327"/>
      <c r="V18" s="258" t="str">
        <f>IF(U18="","",IF(I18=1,VLOOKUP(U18,男子種目コード!$P$1:$Q$26,2,FALSE),IF(I18=2,VLOOKUP(U18,女子種目コード!$P$1:$Q$26,2,FALSE))))</f>
        <v/>
      </c>
      <c r="W18" s="494" t="str">
        <f>IF(U18="","",HLOOKUP(U18,名簿!$AH$3:$CH$118,13,FALSE))</f>
        <v/>
      </c>
      <c r="X18" s="1004"/>
      <c r="Y18" s="843" t="str">
        <f t="shared" si="6"/>
        <v/>
      </c>
      <c r="Z18" s="844" t="str">
        <f t="shared" si="7"/>
        <v/>
      </c>
      <c r="AA18" s="569" t="str">
        <f>IF(X18="","",IF(I18=1,VLOOKUP(X18,男子種目コード!$J$2:$K$30,2,FALSE),IF(I18=2,VLOOKUP(X18,女子種目コード!$J$2:$K$28,2,FALSE))))</f>
        <v/>
      </c>
      <c r="AB18" s="818"/>
      <c r="AC18" s="831"/>
      <c r="AD18" s="322" t="str">
        <f>IF(AC18="","",IF(I18=1,VLOOKUP(AC18,男子種目コード!$J$2:$K$30,2,FALSE),IF(I18=2,VLOOKUP(AC18,女子種目コード!$J$2:$K$28,2,FALSE))))</f>
        <v/>
      </c>
      <c r="AE18" s="818"/>
      <c r="AF18" s="831"/>
      <c r="AG18" s="322" t="str">
        <f>IF(AF18="","",IF(I18=1,VLOOKUP(AF18,男子種目コード!$J$2:$K$30,2,FALSE),IF(I18=2,VLOOKUP(AF18,女子種目コード!$J$2:$K$28,2,FALSE))))</f>
        <v/>
      </c>
      <c r="AH18" s="819"/>
      <c r="AI18" s="20"/>
      <c r="AJ18" s="20"/>
      <c r="AK18" s="19"/>
      <c r="AL18" s="11" t="s">
        <v>151</v>
      </c>
      <c r="AM18" s="848" t="str">
        <f t="shared" si="8"/>
        <v/>
      </c>
      <c r="AN18" s="57" t="str">
        <f t="shared" si="9"/>
        <v/>
      </c>
      <c r="AO18" s="576" t="s">
        <v>54</v>
      </c>
      <c r="AP18" s="879">
        <f>COUNTIF($P$7:$P$116,25)+COUNTIF($V$7:$V$116,25)</f>
        <v>0</v>
      </c>
      <c r="AQ18" s="395"/>
      <c r="AR18" s="857">
        <v>1500</v>
      </c>
      <c r="AS18" s="858" t="s">
        <v>525</v>
      </c>
      <c r="AU18" s="79" t="s">
        <v>54</v>
      </c>
      <c r="AV18" s="79" t="s">
        <v>54</v>
      </c>
      <c r="AX18" s="331">
        <f t="shared" si="0"/>
        <v>0</v>
      </c>
      <c r="AY18" s="224"/>
      <c r="AZ18" s="224"/>
      <c r="BA18" s="224"/>
      <c r="BB18" s="224"/>
      <c r="BC18" s="19">
        <f t="shared" si="1"/>
        <v>0</v>
      </c>
      <c r="BD18" s="19" t="str">
        <f t="shared" si="2"/>
        <v/>
      </c>
      <c r="BE18" s="19" t="str">
        <f t="shared" si="3"/>
        <v/>
      </c>
    </row>
    <row r="19" spans="2:57">
      <c r="B19" s="322" t="str">
        <f>名簿!P16</f>
        <v/>
      </c>
      <c r="C19" s="825"/>
      <c r="D19" s="825"/>
      <c r="E19" s="1321">
        <f>名簿!E16</f>
        <v>0</v>
      </c>
      <c r="F19" s="563" t="str">
        <f>名簿!CM16</f>
        <v/>
      </c>
      <c r="G19" s="322" t="str">
        <f>名簿!Z16</f>
        <v/>
      </c>
      <c r="H19" s="322" t="str">
        <f>名簿!CM16</f>
        <v/>
      </c>
      <c r="I19" s="323" t="str">
        <f>名簿!Y16</f>
        <v/>
      </c>
      <c r="J19" s="323" t="str">
        <f>名簿!CN16</f>
        <v/>
      </c>
      <c r="K19" s="900">
        <f>名簿!CP16</f>
        <v>0</v>
      </c>
      <c r="L19" s="901" t="str">
        <f>名簿!CU16</f>
        <v>00</v>
      </c>
      <c r="M19" s="322" t="str">
        <f>名簿!Q16</f>
        <v/>
      </c>
      <c r="N19" s="1315">
        <f>名簿!D16</f>
        <v>0</v>
      </c>
      <c r="O19" s="327"/>
      <c r="P19" s="258" t="str">
        <f>IF(O19="","",IF(I19=1,VLOOKUP(O19,男子種目コード!$P$1:$Q$26,2,FALSE),IF(I19=2,VLOOKUP(O19,女子種目コード!$P$1:$Q$26,2,FALSE))))</f>
        <v/>
      </c>
      <c r="Q19" s="494" t="str">
        <f>IF(O19="","",HLOOKUP(O19,名簿!$AH$3:$CH$118,14,FALSE))</f>
        <v/>
      </c>
      <c r="R19" s="1002"/>
      <c r="S19" s="843" t="str">
        <f t="shared" si="4"/>
        <v/>
      </c>
      <c r="T19" s="844" t="str">
        <f t="shared" si="5"/>
        <v/>
      </c>
      <c r="U19" s="327"/>
      <c r="V19" s="258" t="str">
        <f>IF(U19="","",IF(I19=1,VLOOKUP(U19,男子種目コード!$P$1:$Q$26,2,FALSE),IF(I19=2,VLOOKUP(U19,女子種目コード!$P$1:$Q$26,2,FALSE))))</f>
        <v/>
      </c>
      <c r="W19" s="494" t="str">
        <f>IF(U19="","",HLOOKUP(U19,名簿!$AH$3:$CH$118,14,FALSE))</f>
        <v/>
      </c>
      <c r="X19" s="1004"/>
      <c r="Y19" s="843" t="str">
        <f t="shared" si="6"/>
        <v/>
      </c>
      <c r="Z19" s="844" t="str">
        <f t="shared" si="7"/>
        <v/>
      </c>
      <c r="AA19" s="569" t="str">
        <f>IF(X19="","",IF(I19=1,VLOOKUP(X19,男子種目コード!$J$2:$K$30,2,FALSE),IF(I19=2,VLOOKUP(X19,女子種目コード!$J$2:$K$28,2,FALSE))))</f>
        <v/>
      </c>
      <c r="AB19" s="818"/>
      <c r="AC19" s="831"/>
      <c r="AD19" s="322" t="str">
        <f>IF(AC19="","",IF(I19=1,VLOOKUP(AC19,男子種目コード!$J$2:$K$30,2,FALSE),IF(I19=2,VLOOKUP(AC19,女子種目コード!$J$2:$K$28,2,FALSE))))</f>
        <v/>
      </c>
      <c r="AE19" s="818"/>
      <c r="AF19" s="831"/>
      <c r="AG19" s="322" t="str">
        <f>IF(AF19="","",IF(I19=1,VLOOKUP(AF19,男子種目コード!$J$2:$K$30,2,FALSE),IF(I19=2,VLOOKUP(AF19,女子種目コード!$J$2:$K$28,2,FALSE))))</f>
        <v/>
      </c>
      <c r="AH19" s="819"/>
      <c r="AI19" s="20"/>
      <c r="AJ19" s="20"/>
      <c r="AK19" s="19"/>
      <c r="AL19" s="79" t="s">
        <v>53</v>
      </c>
      <c r="AM19" s="848" t="str">
        <f t="shared" si="8"/>
        <v/>
      </c>
      <c r="AN19" s="57" t="str">
        <f t="shared" si="9"/>
        <v/>
      </c>
      <c r="AO19" s="576" t="s">
        <v>306</v>
      </c>
      <c r="AP19" s="879">
        <f>COUNTIF($P$7:$P$116,18)+COUNTIF($V$7:$V$116,18)</f>
        <v>0</v>
      </c>
      <c r="AQ19" s="395"/>
      <c r="AR19" s="857" t="s">
        <v>319</v>
      </c>
      <c r="AS19" s="858" t="s">
        <v>526</v>
      </c>
      <c r="AU19" s="11" t="s">
        <v>155</v>
      </c>
      <c r="AV19" s="11" t="s">
        <v>155</v>
      </c>
      <c r="AX19" s="331">
        <f t="shared" si="0"/>
        <v>0</v>
      </c>
      <c r="AY19" s="224"/>
      <c r="AZ19" s="224"/>
      <c r="BA19" s="224"/>
      <c r="BB19" s="224"/>
      <c r="BC19" s="19">
        <f t="shared" si="1"/>
        <v>0</v>
      </c>
      <c r="BD19" s="19" t="str">
        <f t="shared" si="2"/>
        <v/>
      </c>
      <c r="BE19" s="19" t="str">
        <f t="shared" si="3"/>
        <v/>
      </c>
    </row>
    <row r="20" spans="2:57">
      <c r="B20" s="322" t="str">
        <f>名簿!P17</f>
        <v/>
      </c>
      <c r="C20" s="825"/>
      <c r="D20" s="825"/>
      <c r="E20" s="1321">
        <f>名簿!E17</f>
        <v>0</v>
      </c>
      <c r="F20" s="563" t="str">
        <f>名簿!CM17</f>
        <v/>
      </c>
      <c r="G20" s="322" t="str">
        <f>名簿!Z17</f>
        <v/>
      </c>
      <c r="H20" s="322" t="str">
        <f>名簿!CM17</f>
        <v/>
      </c>
      <c r="I20" s="323" t="str">
        <f>名簿!Y17</f>
        <v/>
      </c>
      <c r="J20" s="323" t="str">
        <f>名簿!CN17</f>
        <v/>
      </c>
      <c r="K20" s="900">
        <f>名簿!CP17</f>
        <v>0</v>
      </c>
      <c r="L20" s="901" t="str">
        <f>名簿!CU17</f>
        <v>00</v>
      </c>
      <c r="M20" s="322" t="str">
        <f>名簿!Q17</f>
        <v/>
      </c>
      <c r="N20" s="1315">
        <f>名簿!D17</f>
        <v>0</v>
      </c>
      <c r="O20" s="327"/>
      <c r="P20" s="258" t="str">
        <f>IF(O20="","",IF(I20=1,VLOOKUP(O20,男子種目コード!$P$1:$Q$26,2,FALSE),IF(I20=2,VLOOKUP(O20,女子種目コード!$P$1:$Q$26,2,FALSE))))</f>
        <v/>
      </c>
      <c r="Q20" s="494" t="str">
        <f>IF(O20="","",HLOOKUP(O20,名簿!$AH$3:$CH$118,15,FALSE))</f>
        <v/>
      </c>
      <c r="R20" s="1002"/>
      <c r="S20" s="843" t="str">
        <f t="shared" si="4"/>
        <v/>
      </c>
      <c r="T20" s="844" t="str">
        <f t="shared" si="5"/>
        <v/>
      </c>
      <c r="U20" s="327"/>
      <c r="V20" s="258" t="str">
        <f>IF(U20="","",IF(I20=1,VLOOKUP(U20,男子種目コード!$P$1:$Q$26,2,FALSE),IF(I20=2,VLOOKUP(U20,女子種目コード!$P$1:$Q$26,2,FALSE))))</f>
        <v/>
      </c>
      <c r="W20" s="494" t="str">
        <f>IF(U20="","",HLOOKUP(U20,名簿!$AH$3:$CH$118,15,FALSE))</f>
        <v/>
      </c>
      <c r="X20" s="1004"/>
      <c r="Y20" s="843" t="str">
        <f t="shared" si="6"/>
        <v/>
      </c>
      <c r="Z20" s="844" t="str">
        <f t="shared" si="7"/>
        <v/>
      </c>
      <c r="AA20" s="569" t="str">
        <f>IF(X20="","",IF(I20=1,VLOOKUP(X20,男子種目コード!$J$2:$K$30,2,FALSE),IF(I20=2,VLOOKUP(X20,女子種目コード!$J$2:$K$28,2,FALSE))))</f>
        <v/>
      </c>
      <c r="AB20" s="818"/>
      <c r="AC20" s="831"/>
      <c r="AD20" s="322" t="str">
        <f>IF(AC20="","",IF(I20=1,VLOOKUP(AC20,男子種目コード!$J$2:$K$30,2,FALSE),IF(I20=2,VLOOKUP(AC20,女子種目コード!$J$2:$K$28,2,FALSE))))</f>
        <v/>
      </c>
      <c r="AE20" s="818"/>
      <c r="AF20" s="831"/>
      <c r="AG20" s="322" t="str">
        <f>IF(AF20="","",IF(I20=1,VLOOKUP(AF20,男子種目コード!$J$2:$K$30,2,FALSE),IF(I20=2,VLOOKUP(AF20,女子種目コード!$J$2:$K$28,2,FALSE))))</f>
        <v/>
      </c>
      <c r="AH20" s="819"/>
      <c r="AI20" s="20"/>
      <c r="AJ20" s="20"/>
      <c r="AK20" s="19"/>
      <c r="AL20" s="11" t="s">
        <v>152</v>
      </c>
      <c r="AM20" s="848" t="str">
        <f t="shared" si="8"/>
        <v/>
      </c>
      <c r="AN20" s="57" t="str">
        <f t="shared" si="9"/>
        <v/>
      </c>
      <c r="AO20" s="576" t="s">
        <v>420</v>
      </c>
      <c r="AP20" s="879">
        <f>COUNTIF($P$7:$P$116,24)+COUNTIF($V$7:$V$116,24)</f>
        <v>0</v>
      </c>
      <c r="AQ20" s="395"/>
      <c r="AR20" s="857" t="s">
        <v>19</v>
      </c>
      <c r="AS20" s="858" t="s">
        <v>527</v>
      </c>
      <c r="AU20" s="79" t="s">
        <v>459</v>
      </c>
      <c r="AV20" s="79" t="s">
        <v>459</v>
      </c>
      <c r="AX20" s="331">
        <f t="shared" si="0"/>
        <v>0</v>
      </c>
      <c r="AY20" s="224"/>
      <c r="AZ20" s="224"/>
      <c r="BA20" s="224"/>
      <c r="BB20" s="224"/>
      <c r="BC20" s="19">
        <f t="shared" si="1"/>
        <v>0</v>
      </c>
      <c r="BD20" s="19" t="str">
        <f t="shared" si="2"/>
        <v/>
      </c>
      <c r="BE20" s="19" t="str">
        <f t="shared" si="3"/>
        <v/>
      </c>
    </row>
    <row r="21" spans="2:57">
      <c r="B21" s="322" t="str">
        <f>名簿!P18</f>
        <v/>
      </c>
      <c r="C21" s="825"/>
      <c r="D21" s="825"/>
      <c r="E21" s="1321">
        <f>名簿!E18</f>
        <v>0</v>
      </c>
      <c r="F21" s="563" t="str">
        <f>名簿!CM18</f>
        <v/>
      </c>
      <c r="G21" s="322" t="str">
        <f>名簿!Z18</f>
        <v/>
      </c>
      <c r="H21" s="322" t="str">
        <f>名簿!CM18</f>
        <v/>
      </c>
      <c r="I21" s="323" t="str">
        <f>名簿!Y18</f>
        <v/>
      </c>
      <c r="J21" s="323" t="str">
        <f>名簿!CN18</f>
        <v/>
      </c>
      <c r="K21" s="900">
        <f>名簿!CP18</f>
        <v>0</v>
      </c>
      <c r="L21" s="901" t="str">
        <f>名簿!CU18</f>
        <v>00</v>
      </c>
      <c r="M21" s="322" t="str">
        <f>名簿!Q18</f>
        <v/>
      </c>
      <c r="N21" s="1315">
        <f>名簿!D18</f>
        <v>0</v>
      </c>
      <c r="O21" s="327"/>
      <c r="P21" s="258" t="str">
        <f>IF(O21="","",IF(I21=1,VLOOKUP(O21,男子種目コード!$P$1:$Q$26,2,FALSE),IF(I21=2,VLOOKUP(O21,女子種目コード!$P$1:$Q$26,2,FALSE))))</f>
        <v/>
      </c>
      <c r="Q21" s="494" t="str">
        <f>IF(O21="","",HLOOKUP(O21,名簿!$AH$3:$CH$118,16,FALSE))</f>
        <v/>
      </c>
      <c r="R21" s="1002"/>
      <c r="S21" s="843" t="str">
        <f t="shared" si="4"/>
        <v/>
      </c>
      <c r="T21" s="844" t="str">
        <f t="shared" si="5"/>
        <v/>
      </c>
      <c r="U21" s="327"/>
      <c r="V21" s="258" t="str">
        <f>IF(U21="","",IF(I21=1,VLOOKUP(U21,男子種目コード!$P$1:$Q$26,2,FALSE),IF(I21=2,VLOOKUP(U21,女子種目コード!$P$1:$Q$26,2,FALSE))))</f>
        <v/>
      </c>
      <c r="W21" s="494" t="str">
        <f>IF(U21="","",HLOOKUP(U21,名簿!$AH$3:$CH$118,16,FALSE))</f>
        <v/>
      </c>
      <c r="X21" s="1004"/>
      <c r="Y21" s="843" t="str">
        <f t="shared" si="6"/>
        <v/>
      </c>
      <c r="Z21" s="844" t="str">
        <f t="shared" si="7"/>
        <v/>
      </c>
      <c r="AA21" s="569" t="str">
        <f>IF(X21="","",IF(I21=1,VLOOKUP(X21,男子種目コード!$J$2:$K$30,2,FALSE),IF(I21=2,VLOOKUP(X21,女子種目コード!$J$2:$K$28,2,FALSE))))</f>
        <v/>
      </c>
      <c r="AB21" s="818"/>
      <c r="AC21" s="831"/>
      <c r="AD21" s="322" t="str">
        <f>IF(AC21="","",IF(I21=1,VLOOKUP(AC21,男子種目コード!$J$2:$K$30,2,FALSE),IF(I21=2,VLOOKUP(AC21,女子種目コード!$J$2:$K$28,2,FALSE))))</f>
        <v/>
      </c>
      <c r="AE21" s="818"/>
      <c r="AF21" s="831"/>
      <c r="AG21" s="322" t="str">
        <f>IF(AF21="","",IF(I21=1,VLOOKUP(AF21,男子種目コード!$J$2:$K$30,2,FALSE),IF(I21=2,VLOOKUP(AF21,女子種目コード!$J$2:$K$28,2,FALSE))))</f>
        <v/>
      </c>
      <c r="AH21" s="819"/>
      <c r="AI21" s="20"/>
      <c r="AJ21" s="20"/>
      <c r="AK21" s="19"/>
      <c r="AL21" s="79" t="s">
        <v>54</v>
      </c>
      <c r="AM21" s="848" t="str">
        <f t="shared" si="8"/>
        <v/>
      </c>
      <c r="AN21" s="57" t="str">
        <f t="shared" si="9"/>
        <v/>
      </c>
      <c r="AO21" s="576" t="s">
        <v>216</v>
      </c>
      <c r="AP21" s="879">
        <f>COUNTIF($P$7:$P$116,20)+COUNTIF($V$7:$V$116,20)</f>
        <v>0</v>
      </c>
      <c r="AQ21" s="395"/>
      <c r="AR21" s="1212" t="s">
        <v>24</v>
      </c>
      <c r="AS21" s="858" t="s">
        <v>528</v>
      </c>
      <c r="AU21" s="11" t="s">
        <v>153</v>
      </c>
      <c r="AV21" s="11" t="s">
        <v>153</v>
      </c>
      <c r="AX21" s="331">
        <f t="shared" si="0"/>
        <v>0</v>
      </c>
      <c r="AY21" s="224"/>
      <c r="AZ21" s="224"/>
      <c r="BA21" s="224"/>
      <c r="BB21" s="224"/>
      <c r="BC21" s="19">
        <f t="shared" si="1"/>
        <v>0</v>
      </c>
      <c r="BD21" s="19" t="str">
        <f t="shared" si="2"/>
        <v/>
      </c>
      <c r="BE21" s="19" t="str">
        <f t="shared" si="3"/>
        <v/>
      </c>
    </row>
    <row r="22" spans="2:57">
      <c r="B22" s="322" t="str">
        <f>名簿!P19</f>
        <v/>
      </c>
      <c r="C22" s="825"/>
      <c r="D22" s="825"/>
      <c r="E22" s="1321">
        <f>名簿!E19</f>
        <v>0</v>
      </c>
      <c r="F22" s="563" t="str">
        <f>名簿!CM19</f>
        <v/>
      </c>
      <c r="G22" s="322" t="str">
        <f>名簿!Z19</f>
        <v/>
      </c>
      <c r="H22" s="322" t="str">
        <f>名簿!CM19</f>
        <v/>
      </c>
      <c r="I22" s="323" t="str">
        <f>名簿!Y19</f>
        <v/>
      </c>
      <c r="J22" s="323" t="str">
        <f>名簿!CN19</f>
        <v/>
      </c>
      <c r="K22" s="900">
        <f>名簿!CP19</f>
        <v>0</v>
      </c>
      <c r="L22" s="901" t="str">
        <f>名簿!CU19</f>
        <v>00</v>
      </c>
      <c r="M22" s="322" t="str">
        <f>名簿!Q19</f>
        <v/>
      </c>
      <c r="N22" s="1315">
        <f>名簿!D19</f>
        <v>0</v>
      </c>
      <c r="O22" s="327"/>
      <c r="P22" s="258" t="str">
        <f>IF(O22="","",IF(I22=1,VLOOKUP(O22,男子種目コード!$P$1:$Q$26,2,FALSE),IF(I22=2,VLOOKUP(O22,女子種目コード!$P$1:$Q$26,2,FALSE))))</f>
        <v/>
      </c>
      <c r="Q22" s="494" t="str">
        <f>IF(O22="","",HLOOKUP(O22,名簿!$AH$3:$CH$118,17,FALSE))</f>
        <v/>
      </c>
      <c r="R22" s="1002"/>
      <c r="S22" s="843" t="str">
        <f t="shared" si="4"/>
        <v/>
      </c>
      <c r="T22" s="844" t="str">
        <f t="shared" si="5"/>
        <v/>
      </c>
      <c r="U22" s="327"/>
      <c r="V22" s="258" t="str">
        <f>IF(U22="","",IF(I22=1,VLOOKUP(U22,男子種目コード!$P$1:$Q$26,2,FALSE),IF(I22=2,VLOOKUP(U22,女子種目コード!$P$1:$Q$26,2,FALSE))))</f>
        <v/>
      </c>
      <c r="W22" s="494" t="str">
        <f>IF(U22="","",HLOOKUP(U22,名簿!$AH$3:$CH$118,17,FALSE))</f>
        <v/>
      </c>
      <c r="X22" s="1004"/>
      <c r="Y22" s="843" t="str">
        <f t="shared" si="6"/>
        <v/>
      </c>
      <c r="Z22" s="844" t="str">
        <f t="shared" si="7"/>
        <v/>
      </c>
      <c r="AA22" s="569" t="str">
        <f>IF(X22="","",IF(I22=1,VLOOKUP(X22,男子種目コード!$J$2:$K$30,2,FALSE),IF(I22=2,VLOOKUP(X22,女子種目コード!$J$2:$K$28,2,FALSE))))</f>
        <v/>
      </c>
      <c r="AB22" s="818"/>
      <c r="AC22" s="831"/>
      <c r="AD22" s="322" t="str">
        <f>IF(AC22="","",IF(I22=1,VLOOKUP(AC22,男子種目コード!$J$2:$K$30,2,FALSE),IF(I22=2,VLOOKUP(AC22,女子種目コード!$J$2:$K$28,2,FALSE))))</f>
        <v/>
      </c>
      <c r="AE22" s="818"/>
      <c r="AF22" s="831"/>
      <c r="AG22" s="322" t="str">
        <f>IF(AF22="","",IF(I22=1,VLOOKUP(AF22,男子種目コード!$J$2:$K$30,2,FALSE),IF(I22=2,VLOOKUP(AF22,女子種目コード!$J$2:$K$28,2,FALSE))))</f>
        <v/>
      </c>
      <c r="AH22" s="819"/>
      <c r="AI22" s="20"/>
      <c r="AJ22" s="20"/>
      <c r="AK22" s="19"/>
      <c r="AL22" s="11" t="s">
        <v>153</v>
      </c>
      <c r="AM22" s="848" t="str">
        <f t="shared" si="8"/>
        <v/>
      </c>
      <c r="AN22" s="57" t="str">
        <f t="shared" si="9"/>
        <v/>
      </c>
      <c r="AO22" s="576" t="s">
        <v>155</v>
      </c>
      <c r="AP22" s="879">
        <f>COUNTIF($P$7:$P$116,22)+COUNTIF($V$7:$V$116,22)</f>
        <v>0</v>
      </c>
      <c r="AQ22" s="395"/>
      <c r="AR22" s="1213"/>
      <c r="AS22" s="858" t="s">
        <v>529</v>
      </c>
      <c r="AU22" s="11" t="s">
        <v>416</v>
      </c>
      <c r="AV22" s="11" t="s">
        <v>417</v>
      </c>
      <c r="AX22" s="331">
        <f t="shared" si="0"/>
        <v>0</v>
      </c>
      <c r="AY22" s="224"/>
      <c r="AZ22" s="224"/>
      <c r="BA22" s="224"/>
      <c r="BB22" s="224"/>
      <c r="BC22" s="19">
        <f t="shared" si="1"/>
        <v>0</v>
      </c>
      <c r="BD22" s="19" t="str">
        <f t="shared" si="2"/>
        <v/>
      </c>
      <c r="BE22" s="19" t="str">
        <f t="shared" si="3"/>
        <v/>
      </c>
    </row>
    <row r="23" spans="2:57">
      <c r="B23" s="322" t="str">
        <f>名簿!P20</f>
        <v/>
      </c>
      <c r="C23" s="825"/>
      <c r="D23" s="825"/>
      <c r="E23" s="1321">
        <f>名簿!E20</f>
        <v>0</v>
      </c>
      <c r="F23" s="563" t="str">
        <f>名簿!CM20</f>
        <v/>
      </c>
      <c r="G23" s="322" t="str">
        <f>名簿!Z20</f>
        <v/>
      </c>
      <c r="H23" s="322" t="str">
        <f>名簿!CM20</f>
        <v/>
      </c>
      <c r="I23" s="323" t="str">
        <f>名簿!Y20</f>
        <v/>
      </c>
      <c r="J23" s="323" t="str">
        <f>名簿!CN20</f>
        <v/>
      </c>
      <c r="K23" s="900">
        <f>名簿!CP20</f>
        <v>0</v>
      </c>
      <c r="L23" s="901" t="str">
        <f>名簿!CU20</f>
        <v>00</v>
      </c>
      <c r="M23" s="322" t="str">
        <f>名簿!Q20</f>
        <v/>
      </c>
      <c r="N23" s="1315">
        <f>名簿!D20</f>
        <v>0</v>
      </c>
      <c r="O23" s="327"/>
      <c r="P23" s="258" t="str">
        <f>IF(O23="","",IF(I23=1,VLOOKUP(O23,男子種目コード!$P$1:$Q$26,2,FALSE),IF(I23=2,VLOOKUP(O23,女子種目コード!$P$1:$Q$26,2,FALSE))))</f>
        <v/>
      </c>
      <c r="Q23" s="494" t="str">
        <f>IF(O23="","",HLOOKUP(O23,名簿!$AH$3:$CH$118,18,FALSE))</f>
        <v/>
      </c>
      <c r="R23" s="1002"/>
      <c r="S23" s="843" t="str">
        <f t="shared" si="4"/>
        <v/>
      </c>
      <c r="T23" s="844" t="str">
        <f t="shared" si="5"/>
        <v/>
      </c>
      <c r="U23" s="327"/>
      <c r="V23" s="258" t="str">
        <f>IF(U23="","",IF(I23=1,VLOOKUP(U23,男子種目コード!$P$1:$Q$26,2,FALSE),IF(I23=2,VLOOKUP(U23,女子種目コード!$P$1:$Q$26,2,FALSE))))</f>
        <v/>
      </c>
      <c r="W23" s="494" t="str">
        <f>IF(U23="","",HLOOKUP(U23,名簿!$AH$3:$CH$118,18,FALSE))</f>
        <v/>
      </c>
      <c r="X23" s="1004"/>
      <c r="Y23" s="843" t="str">
        <f t="shared" si="6"/>
        <v/>
      </c>
      <c r="Z23" s="844" t="str">
        <f t="shared" si="7"/>
        <v/>
      </c>
      <c r="AA23" s="569" t="str">
        <f>IF(X23="","",IF(I23=1,VLOOKUP(X23,男子種目コード!$J$2:$K$30,2,FALSE),IF(I23=2,VLOOKUP(X23,女子種目コード!$J$2:$K$28,2,FALSE))))</f>
        <v/>
      </c>
      <c r="AB23" s="818"/>
      <c r="AC23" s="831"/>
      <c r="AD23" s="322" t="str">
        <f>IF(AC23="","",IF(I23=1,VLOOKUP(AC23,男子種目コード!$J$2:$K$30,2,FALSE),IF(I23=2,VLOOKUP(AC23,女子種目コード!$J$2:$K$28,2,FALSE))))</f>
        <v/>
      </c>
      <c r="AE23" s="818"/>
      <c r="AF23" s="831"/>
      <c r="AG23" s="322" t="str">
        <f>IF(AF23="","",IF(I23=1,VLOOKUP(AF23,男子種目コード!$J$2:$K$30,2,FALSE),IF(I23=2,VLOOKUP(AF23,女子種目コード!$J$2:$K$28,2,FALSE))))</f>
        <v/>
      </c>
      <c r="AH23" s="819"/>
      <c r="AI23" s="20"/>
      <c r="AJ23" s="20"/>
      <c r="AK23" s="19"/>
      <c r="AL23" s="11" t="s">
        <v>154</v>
      </c>
      <c r="AM23" s="848" t="str">
        <f t="shared" si="8"/>
        <v/>
      </c>
      <c r="AN23" s="57" t="str">
        <f t="shared" si="9"/>
        <v/>
      </c>
      <c r="AO23" s="576" t="s">
        <v>461</v>
      </c>
      <c r="AP23" s="879">
        <f>COUNTIF($P$7:$P$116,23)+COUNTIF($V$7:$V$116,23)</f>
        <v>0</v>
      </c>
      <c r="AQ23" s="395"/>
      <c r="AR23" s="857" t="s">
        <v>22</v>
      </c>
      <c r="AS23" s="858" t="s">
        <v>522</v>
      </c>
      <c r="AU23" s="11" t="s">
        <v>55</v>
      </c>
      <c r="AV23" s="11" t="s">
        <v>55</v>
      </c>
      <c r="AX23" s="331">
        <f t="shared" si="0"/>
        <v>0</v>
      </c>
      <c r="AY23" s="224"/>
      <c r="AZ23" s="224"/>
      <c r="BA23" s="224"/>
      <c r="BB23" s="224"/>
      <c r="BC23" s="19">
        <f t="shared" si="1"/>
        <v>0</v>
      </c>
      <c r="BD23" s="19" t="str">
        <f t="shared" si="2"/>
        <v/>
      </c>
      <c r="BE23" s="19" t="str">
        <f t="shared" si="3"/>
        <v/>
      </c>
    </row>
    <row r="24" spans="2:57" ht="14.25" thickBot="1">
      <c r="B24" s="322" t="str">
        <f>名簿!P21</f>
        <v/>
      </c>
      <c r="C24" s="825"/>
      <c r="D24" s="825"/>
      <c r="E24" s="1321">
        <f>名簿!E21</f>
        <v>0</v>
      </c>
      <c r="F24" s="563" t="str">
        <f>名簿!CM21</f>
        <v/>
      </c>
      <c r="G24" s="322" t="str">
        <f>名簿!Z21</f>
        <v/>
      </c>
      <c r="H24" s="322" t="str">
        <f>名簿!CM21</f>
        <v/>
      </c>
      <c r="I24" s="323" t="str">
        <f>名簿!Y21</f>
        <v/>
      </c>
      <c r="J24" s="323" t="str">
        <f>名簿!CN21</f>
        <v/>
      </c>
      <c r="K24" s="900">
        <f>名簿!CP21</f>
        <v>0</v>
      </c>
      <c r="L24" s="901" t="str">
        <f>名簿!CU21</f>
        <v>00</v>
      </c>
      <c r="M24" s="322" t="str">
        <f>名簿!Q21</f>
        <v/>
      </c>
      <c r="N24" s="1315">
        <f>名簿!D21</f>
        <v>0</v>
      </c>
      <c r="O24" s="327"/>
      <c r="P24" s="258" t="str">
        <f>IF(O24="","",IF(I24=1,VLOOKUP(O24,男子種目コード!$P$1:$Q$26,2,FALSE),IF(I24=2,VLOOKUP(O24,女子種目コード!$P$1:$Q$26,2,FALSE))))</f>
        <v/>
      </c>
      <c r="Q24" s="494" t="str">
        <f>IF(O24="","",HLOOKUP(O24,名簿!$AH$3:$CH$118,19,FALSE))</f>
        <v/>
      </c>
      <c r="R24" s="1002"/>
      <c r="S24" s="843" t="str">
        <f t="shared" si="4"/>
        <v/>
      </c>
      <c r="T24" s="844" t="str">
        <f t="shared" si="5"/>
        <v/>
      </c>
      <c r="U24" s="327"/>
      <c r="V24" s="258" t="str">
        <f>IF(U24="","",IF(I24=1,VLOOKUP(U24,男子種目コード!$P$1:$Q$26,2,FALSE),IF(I24=2,VLOOKUP(U24,女子種目コード!$P$1:$Q$26,2,FALSE))))</f>
        <v/>
      </c>
      <c r="W24" s="494" t="str">
        <f>IF(U24="","",HLOOKUP(U24,名簿!$AH$3:$CH$118,19,FALSE))</f>
        <v/>
      </c>
      <c r="X24" s="1004"/>
      <c r="Y24" s="843" t="str">
        <f t="shared" si="6"/>
        <v/>
      </c>
      <c r="Z24" s="844" t="str">
        <f t="shared" si="7"/>
        <v/>
      </c>
      <c r="AA24" s="569" t="str">
        <f>IF(X24="","",IF(I24=1,VLOOKUP(X24,男子種目コード!$J$2:$K$30,2,FALSE),IF(I24=2,VLOOKUP(X24,女子種目コード!$J$2:$K$28,2,FALSE))))</f>
        <v/>
      </c>
      <c r="AB24" s="818"/>
      <c r="AC24" s="831"/>
      <c r="AD24" s="322" t="str">
        <f>IF(AC24="","",IF(I24=1,VLOOKUP(AC24,男子種目コード!$J$2:$K$30,2,FALSE),IF(I24=2,VLOOKUP(AC24,女子種目コード!$J$2:$K$28,2,FALSE))))</f>
        <v/>
      </c>
      <c r="AE24" s="818"/>
      <c r="AF24" s="831"/>
      <c r="AG24" s="322" t="str">
        <f>IF(AF24="","",IF(I24=1,VLOOKUP(AF24,男子種目コード!$J$2:$K$30,2,FALSE),IF(I24=2,VLOOKUP(AF24,女子種目コード!$J$2:$K$28,2,FALSE))))</f>
        <v/>
      </c>
      <c r="AH24" s="819"/>
      <c r="AI24" s="20"/>
      <c r="AJ24" s="20"/>
      <c r="AK24" s="19"/>
      <c r="AL24" s="11" t="s">
        <v>55</v>
      </c>
      <c r="AM24" s="848" t="str">
        <f t="shared" si="8"/>
        <v/>
      </c>
      <c r="AN24" s="57" t="str">
        <f t="shared" si="9"/>
        <v/>
      </c>
      <c r="AO24" s="854" t="s">
        <v>262</v>
      </c>
      <c r="AP24" s="880">
        <f>SUM(AP8:AP23)</f>
        <v>0</v>
      </c>
      <c r="AQ24" s="395"/>
      <c r="AR24" s="860" t="s">
        <v>311</v>
      </c>
      <c r="AS24" s="861" t="s">
        <v>523</v>
      </c>
      <c r="AU24" s="79" t="s">
        <v>459</v>
      </c>
      <c r="AV24" s="79" t="s">
        <v>459</v>
      </c>
      <c r="AX24" s="331">
        <f t="shared" si="0"/>
        <v>0</v>
      </c>
      <c r="AY24" s="224"/>
      <c r="AZ24" s="224"/>
      <c r="BA24" s="224"/>
      <c r="BB24" s="224"/>
      <c r="BC24" s="19">
        <f t="shared" si="1"/>
        <v>0</v>
      </c>
      <c r="BD24" s="19" t="str">
        <f t="shared" si="2"/>
        <v/>
      </c>
      <c r="BE24" s="19" t="str">
        <f t="shared" si="3"/>
        <v/>
      </c>
    </row>
    <row r="25" spans="2:57" ht="14.25" thickBot="1">
      <c r="B25" s="322" t="str">
        <f>名簿!P22</f>
        <v/>
      </c>
      <c r="C25" s="825"/>
      <c r="D25" s="825"/>
      <c r="E25" s="1321">
        <f>名簿!E22</f>
        <v>0</v>
      </c>
      <c r="F25" s="563" t="str">
        <f>名簿!CM22</f>
        <v/>
      </c>
      <c r="G25" s="322" t="str">
        <f>名簿!Z22</f>
        <v/>
      </c>
      <c r="H25" s="322" t="str">
        <f>名簿!CM22</f>
        <v/>
      </c>
      <c r="I25" s="323" t="str">
        <f>名簿!Y22</f>
        <v/>
      </c>
      <c r="J25" s="323" t="str">
        <f>名簿!CN22</f>
        <v/>
      </c>
      <c r="K25" s="900">
        <f>名簿!CP22</f>
        <v>0</v>
      </c>
      <c r="L25" s="901" t="str">
        <f>名簿!CU22</f>
        <v>00</v>
      </c>
      <c r="M25" s="322" t="str">
        <f>名簿!Q22</f>
        <v/>
      </c>
      <c r="N25" s="1315">
        <f>名簿!D22</f>
        <v>0</v>
      </c>
      <c r="O25" s="327"/>
      <c r="P25" s="258" t="str">
        <f>IF(O25="","",IF(I25=1,VLOOKUP(O25,男子種目コード!$P$1:$Q$26,2,FALSE),IF(I25=2,VLOOKUP(O25,女子種目コード!$P$1:$Q$26,2,FALSE))))</f>
        <v/>
      </c>
      <c r="Q25" s="494" t="str">
        <f>IF(O25="","",HLOOKUP(O25,名簿!$AH$3:$CH$118,20,FALSE))</f>
        <v/>
      </c>
      <c r="R25" s="1002"/>
      <c r="S25" s="843" t="str">
        <f t="shared" si="4"/>
        <v/>
      </c>
      <c r="T25" s="844" t="str">
        <f t="shared" si="5"/>
        <v/>
      </c>
      <c r="U25" s="327"/>
      <c r="V25" s="258" t="str">
        <f>IF(U25="","",IF(I25=1,VLOOKUP(U25,男子種目コード!$P$1:$Q$26,2,FALSE),IF(I25=2,VLOOKUP(U25,女子種目コード!$P$1:$Q$26,2,FALSE))))</f>
        <v/>
      </c>
      <c r="W25" s="494" t="str">
        <f>IF(U25="","",HLOOKUP(U25,名簿!$AH$3:$CH$118,20,FALSE))</f>
        <v/>
      </c>
      <c r="X25" s="1004"/>
      <c r="Y25" s="843" t="str">
        <f t="shared" si="6"/>
        <v/>
      </c>
      <c r="Z25" s="844" t="str">
        <f t="shared" si="7"/>
        <v/>
      </c>
      <c r="AA25" s="569" t="str">
        <f>IF(X25="","",IF(I25=1,VLOOKUP(X25,男子種目コード!$J$2:$K$30,2,FALSE),IF(I25=2,VLOOKUP(X25,女子種目コード!$J$2:$K$28,2,FALSE))))</f>
        <v/>
      </c>
      <c r="AB25" s="818"/>
      <c r="AC25" s="831"/>
      <c r="AD25" s="322" t="str">
        <f>IF(AC25="","",IF(I25=1,VLOOKUP(AC25,男子種目コード!$J$2:$K$30,2,FALSE),IF(I25=2,VLOOKUP(AC25,女子種目コード!$J$2:$K$28,2,FALSE))))</f>
        <v/>
      </c>
      <c r="AE25" s="818"/>
      <c r="AF25" s="831"/>
      <c r="AG25" s="322" t="str">
        <f>IF(AF25="","",IF(I25=1,VLOOKUP(AF25,男子種目コード!$J$2:$K$30,2,FALSE),IF(I25=2,VLOOKUP(AF25,女子種目コード!$J$2:$K$28,2,FALSE))))</f>
        <v/>
      </c>
      <c r="AH25" s="819"/>
      <c r="AI25" s="20"/>
      <c r="AJ25" s="20"/>
      <c r="AK25" s="19"/>
      <c r="AL25" s="11" t="s">
        <v>57</v>
      </c>
      <c r="AM25" s="848" t="str">
        <f t="shared" si="8"/>
        <v/>
      </c>
      <c r="AN25" s="57" t="str">
        <f t="shared" si="9"/>
        <v/>
      </c>
      <c r="AO25" s="1201" t="s">
        <v>108</v>
      </c>
      <c r="AP25" s="1202"/>
      <c r="AQ25" s="395"/>
      <c r="AR25" s="1206" t="s">
        <v>222</v>
      </c>
      <c r="AS25" s="1207"/>
      <c r="AU25" s="11"/>
      <c r="AV25" s="11"/>
      <c r="AX25" s="331">
        <f t="shared" si="0"/>
        <v>0</v>
      </c>
      <c r="AY25" s="224"/>
      <c r="AZ25" s="224"/>
      <c r="BA25" s="224"/>
      <c r="BB25" s="224"/>
      <c r="BC25" s="19">
        <f t="shared" si="1"/>
        <v>0</v>
      </c>
      <c r="BD25" s="19" t="str">
        <f t="shared" si="2"/>
        <v/>
      </c>
      <c r="BE25" s="19" t="str">
        <f t="shared" si="3"/>
        <v/>
      </c>
    </row>
    <row r="26" spans="2:57">
      <c r="B26" s="322" t="str">
        <f>名簿!P23</f>
        <v/>
      </c>
      <c r="C26" s="825"/>
      <c r="D26" s="825"/>
      <c r="E26" s="1321">
        <f>名簿!E23</f>
        <v>0</v>
      </c>
      <c r="F26" s="563" t="str">
        <f>名簿!CM23</f>
        <v/>
      </c>
      <c r="G26" s="322" t="str">
        <f>名簿!Z23</f>
        <v/>
      </c>
      <c r="H26" s="322" t="str">
        <f>名簿!CM23</f>
        <v/>
      </c>
      <c r="I26" s="323" t="str">
        <f>名簿!Y23</f>
        <v/>
      </c>
      <c r="J26" s="323" t="str">
        <f>名簿!CN23</f>
        <v/>
      </c>
      <c r="K26" s="900">
        <f>名簿!CP23</f>
        <v>0</v>
      </c>
      <c r="L26" s="901" t="str">
        <f>名簿!CU23</f>
        <v>00</v>
      </c>
      <c r="M26" s="322" t="str">
        <f>名簿!Q23</f>
        <v/>
      </c>
      <c r="N26" s="1315">
        <f>名簿!D23</f>
        <v>0</v>
      </c>
      <c r="O26" s="327"/>
      <c r="P26" s="258" t="str">
        <f>IF(O26="","",IF(I26=1,VLOOKUP(O26,男子種目コード!$P$1:$Q$26,2,FALSE),IF(I26=2,VLOOKUP(O26,女子種目コード!$P$1:$Q$26,2,FALSE))))</f>
        <v/>
      </c>
      <c r="Q26" s="494" t="str">
        <f>IF(O26="","",HLOOKUP(O26,名簿!$AH$3:$CH$118,21,FALSE))</f>
        <v/>
      </c>
      <c r="R26" s="1002"/>
      <c r="S26" s="843" t="str">
        <f t="shared" si="4"/>
        <v/>
      </c>
      <c r="T26" s="844" t="str">
        <f t="shared" si="5"/>
        <v/>
      </c>
      <c r="U26" s="327"/>
      <c r="V26" s="258" t="str">
        <f>IF(U26="","",IF(I26=1,VLOOKUP(U26,男子種目コード!$P$1:$Q$26,2,FALSE),IF(I26=2,VLOOKUP(U26,女子種目コード!$P$1:$Q$26,2,FALSE))))</f>
        <v/>
      </c>
      <c r="W26" s="494" t="str">
        <f>IF(U26="","",HLOOKUP(U26,名簿!$AH$3:$CH$118,21,FALSE))</f>
        <v/>
      </c>
      <c r="X26" s="1004"/>
      <c r="Y26" s="843" t="str">
        <f t="shared" si="6"/>
        <v/>
      </c>
      <c r="Z26" s="844" t="str">
        <f t="shared" si="7"/>
        <v/>
      </c>
      <c r="AA26" s="569" t="str">
        <f>IF(X26="","",IF(I26=1,VLOOKUP(X26,男子種目コード!$J$2:$K$30,2,FALSE),IF(I26=2,VLOOKUP(X26,女子種目コード!$J$2:$K$28,2,FALSE))))</f>
        <v/>
      </c>
      <c r="AB26" s="818"/>
      <c r="AC26" s="831"/>
      <c r="AD26" s="322" t="str">
        <f>IF(AC26="","",IF(I26=1,VLOOKUP(AC26,男子種目コード!$J$2:$K$30,2,FALSE),IF(I26=2,VLOOKUP(AC26,女子種目コード!$J$2:$K$28,2,FALSE))))</f>
        <v/>
      </c>
      <c r="AE26" s="818"/>
      <c r="AF26" s="831"/>
      <c r="AG26" s="322" t="str">
        <f>IF(AF26="","",IF(I26=1,VLOOKUP(AF26,男子種目コード!$J$2:$K$30,2,FALSE),IF(I26=2,VLOOKUP(AF26,女子種目コード!$J$2:$K$28,2,FALSE))))</f>
        <v/>
      </c>
      <c r="AH26" s="819"/>
      <c r="AI26" s="20"/>
      <c r="AJ26" s="20"/>
      <c r="AK26" s="19"/>
      <c r="AL26" s="11" t="s">
        <v>155</v>
      </c>
      <c r="AM26" s="848" t="str">
        <f t="shared" si="8"/>
        <v/>
      </c>
      <c r="AN26" s="57" t="str">
        <f t="shared" si="9"/>
        <v/>
      </c>
      <c r="AO26" s="577" t="s">
        <v>320</v>
      </c>
      <c r="AP26" s="878">
        <f>COUNTIF($P$7:$P$116,35)+COUNTIF($V$7:$V$116,35)</f>
        <v>0</v>
      </c>
      <c r="AQ26" s="395"/>
      <c r="AR26" s="855">
        <v>100</v>
      </c>
      <c r="AS26" s="856" t="s">
        <v>530</v>
      </c>
      <c r="AU26" s="11"/>
      <c r="AV26" s="22"/>
      <c r="AX26" s="331">
        <f t="shared" si="0"/>
        <v>0</v>
      </c>
      <c r="AY26" s="224"/>
      <c r="AZ26" s="224"/>
      <c r="BA26" s="224"/>
      <c r="BB26" s="224"/>
      <c r="BC26" s="19">
        <f t="shared" si="1"/>
        <v>0</v>
      </c>
      <c r="BD26" s="19" t="str">
        <f t="shared" si="2"/>
        <v/>
      </c>
      <c r="BE26" s="19" t="str">
        <f t="shared" si="3"/>
        <v/>
      </c>
    </row>
    <row r="27" spans="2:57">
      <c r="B27" s="322" t="str">
        <f>名簿!P24</f>
        <v/>
      </c>
      <c r="C27" s="825"/>
      <c r="D27" s="825"/>
      <c r="E27" s="1321">
        <f>名簿!E24</f>
        <v>0</v>
      </c>
      <c r="F27" s="563" t="str">
        <f>名簿!CM24</f>
        <v/>
      </c>
      <c r="G27" s="322" t="str">
        <f>名簿!Z24</f>
        <v/>
      </c>
      <c r="H27" s="322" t="str">
        <f>名簿!CM24</f>
        <v/>
      </c>
      <c r="I27" s="323" t="str">
        <f>名簿!Y24</f>
        <v/>
      </c>
      <c r="J27" s="323" t="str">
        <f>名簿!CN24</f>
        <v/>
      </c>
      <c r="K27" s="900">
        <f>名簿!CP24</f>
        <v>0</v>
      </c>
      <c r="L27" s="901" t="str">
        <f>名簿!CU24</f>
        <v>00</v>
      </c>
      <c r="M27" s="322" t="str">
        <f>名簿!Q24</f>
        <v/>
      </c>
      <c r="N27" s="1315">
        <f>名簿!D24</f>
        <v>0</v>
      </c>
      <c r="O27" s="327"/>
      <c r="P27" s="258" t="str">
        <f>IF(O27="","",IF(I27=1,VLOOKUP(O27,男子種目コード!$P$1:$Q$26,2,FALSE),IF(I27=2,VLOOKUP(O27,女子種目コード!$P$1:$Q$26,2,FALSE))))</f>
        <v/>
      </c>
      <c r="Q27" s="494" t="str">
        <f>IF(O27="","",HLOOKUP(O27,名簿!$AH$3:$CH$118,22,FALSE))</f>
        <v/>
      </c>
      <c r="R27" s="1002"/>
      <c r="S27" s="843" t="str">
        <f t="shared" si="4"/>
        <v/>
      </c>
      <c r="T27" s="844" t="str">
        <f t="shared" si="5"/>
        <v/>
      </c>
      <c r="U27" s="327"/>
      <c r="V27" s="258" t="str">
        <f>IF(U27="","",IF(I27=1,VLOOKUP(U27,男子種目コード!$P$1:$Q$26,2,FALSE),IF(I27=2,VLOOKUP(U27,女子種目コード!$P$1:$Q$26,2,FALSE))))</f>
        <v/>
      </c>
      <c r="W27" s="494" t="str">
        <f>IF(U27="","",HLOOKUP(U27,名簿!$AH$3:$CH$118,22,FALSE))</f>
        <v/>
      </c>
      <c r="X27" s="1004"/>
      <c r="Y27" s="843" t="str">
        <f t="shared" si="6"/>
        <v/>
      </c>
      <c r="Z27" s="844" t="str">
        <f t="shared" si="7"/>
        <v/>
      </c>
      <c r="AA27" s="569" t="str">
        <f>IF(X27="","",IF(I27=1,VLOOKUP(X27,男子種目コード!$J$2:$K$30,2,FALSE),IF(I27=2,VLOOKUP(X27,女子種目コード!$J$2:$K$28,2,FALSE))))</f>
        <v/>
      </c>
      <c r="AB27" s="818"/>
      <c r="AC27" s="831"/>
      <c r="AD27" s="322" t="str">
        <f>IF(AC27="","",IF(I27=1,VLOOKUP(AC27,男子種目コード!$J$2:$K$30,2,FALSE),IF(I27=2,VLOOKUP(AC27,女子種目コード!$J$2:$K$28,2,FALSE))))</f>
        <v/>
      </c>
      <c r="AE27" s="818"/>
      <c r="AF27" s="831"/>
      <c r="AG27" s="322" t="str">
        <f>IF(AF27="","",IF(I27=1,VLOOKUP(AF27,男子種目コード!$J$2:$K$30,2,FALSE),IF(I27=2,VLOOKUP(AF27,女子種目コード!$J$2:$K$28,2,FALSE))))</f>
        <v/>
      </c>
      <c r="AH27" s="819"/>
      <c r="AI27" s="20"/>
      <c r="AJ27" s="20"/>
      <c r="AK27" s="19"/>
      <c r="AL27" s="79" t="s">
        <v>161</v>
      </c>
      <c r="AM27" s="848" t="str">
        <f t="shared" si="8"/>
        <v/>
      </c>
      <c r="AN27" s="57" t="str">
        <f t="shared" si="9"/>
        <v/>
      </c>
      <c r="AO27" s="444" t="s">
        <v>321</v>
      </c>
      <c r="AP27" s="879">
        <f>COUNTIF($P$7:$P$116,36)+COUNTIF($V$7:$V$116,36)</f>
        <v>0</v>
      </c>
      <c r="AQ27" s="395"/>
      <c r="AR27" s="857">
        <v>1500</v>
      </c>
      <c r="AS27" s="858" t="s">
        <v>531</v>
      </c>
      <c r="AU27" s="79"/>
      <c r="AV27" s="11"/>
      <c r="AX27" s="331">
        <f t="shared" si="0"/>
        <v>0</v>
      </c>
      <c r="AY27" s="224"/>
      <c r="AZ27" s="224"/>
      <c r="BA27" s="224"/>
      <c r="BB27" s="224"/>
      <c r="BC27" s="19">
        <f t="shared" si="1"/>
        <v>0</v>
      </c>
      <c r="BD27" s="19" t="str">
        <f t="shared" si="2"/>
        <v/>
      </c>
      <c r="BE27" s="19" t="str">
        <f t="shared" si="3"/>
        <v/>
      </c>
    </row>
    <row r="28" spans="2:57">
      <c r="B28" s="322" t="str">
        <f>名簿!P25</f>
        <v/>
      </c>
      <c r="C28" s="825"/>
      <c r="D28" s="825"/>
      <c r="E28" s="1321">
        <f>名簿!E25</f>
        <v>0</v>
      </c>
      <c r="F28" s="563" t="str">
        <f>名簿!CM25</f>
        <v/>
      </c>
      <c r="G28" s="322" t="str">
        <f>名簿!Z25</f>
        <v/>
      </c>
      <c r="H28" s="322" t="str">
        <f>名簿!CM25</f>
        <v/>
      </c>
      <c r="I28" s="323" t="str">
        <f>名簿!Y25</f>
        <v/>
      </c>
      <c r="J28" s="323" t="str">
        <f>名簿!CN25</f>
        <v/>
      </c>
      <c r="K28" s="900">
        <f>名簿!CP25</f>
        <v>0</v>
      </c>
      <c r="L28" s="901" t="str">
        <f>名簿!CU25</f>
        <v>00</v>
      </c>
      <c r="M28" s="322" t="str">
        <f>名簿!Q25</f>
        <v/>
      </c>
      <c r="N28" s="1315">
        <f>名簿!D25</f>
        <v>0</v>
      </c>
      <c r="O28" s="327"/>
      <c r="P28" s="258" t="str">
        <f>IF(O28="","",IF(I28=1,VLOOKUP(O28,男子種目コード!$P$1:$Q$26,2,FALSE),IF(I28=2,VLOOKUP(O28,女子種目コード!$P$1:$Q$26,2,FALSE))))</f>
        <v/>
      </c>
      <c r="Q28" s="494" t="str">
        <f>IF(O28="","",HLOOKUP(O28,名簿!$AH$3:$CH$118,23,FALSE))</f>
        <v/>
      </c>
      <c r="R28" s="1002"/>
      <c r="S28" s="843" t="str">
        <f t="shared" si="4"/>
        <v/>
      </c>
      <c r="T28" s="844" t="str">
        <f t="shared" si="5"/>
        <v/>
      </c>
      <c r="U28" s="327"/>
      <c r="V28" s="258" t="str">
        <f>IF(U28="","",IF(I28=1,VLOOKUP(U28,男子種目コード!$P$1:$Q$26,2,FALSE),IF(I28=2,VLOOKUP(U28,女子種目コード!$P$1:$Q$26,2,FALSE))))</f>
        <v/>
      </c>
      <c r="W28" s="494" t="str">
        <f>IF(U28="","",HLOOKUP(U28,名簿!$AH$3:$CH$118,23,FALSE))</f>
        <v/>
      </c>
      <c r="X28" s="1004"/>
      <c r="Y28" s="843" t="str">
        <f t="shared" si="6"/>
        <v/>
      </c>
      <c r="Z28" s="844" t="str">
        <f t="shared" si="7"/>
        <v/>
      </c>
      <c r="AA28" s="569" t="str">
        <f>IF(X28="","",IF(I28=1,VLOOKUP(X28,男子種目コード!$J$2:$K$30,2,FALSE),IF(I28=2,VLOOKUP(X28,女子種目コード!$J$2:$K$28,2,FALSE))))</f>
        <v/>
      </c>
      <c r="AB28" s="818"/>
      <c r="AC28" s="831"/>
      <c r="AD28" s="322" t="str">
        <f>IF(AC28="","",IF(I28=1,VLOOKUP(AC28,男子種目コード!$J$2:$K$30,2,FALSE),IF(I28=2,VLOOKUP(AC28,女子種目コード!$J$2:$K$28,2,FALSE))))</f>
        <v/>
      </c>
      <c r="AE28" s="818"/>
      <c r="AF28" s="831"/>
      <c r="AG28" s="322" t="str">
        <f>IF(AF28="","",IF(I28=1,VLOOKUP(AF28,男子種目コード!$J$2:$K$30,2,FALSE),IF(I28=2,VLOOKUP(AF28,女子種目コード!$J$2:$K$28,2,FALSE))))</f>
        <v/>
      </c>
      <c r="AH28" s="819"/>
      <c r="AI28" s="20"/>
      <c r="AJ28" s="20"/>
      <c r="AK28" s="19"/>
      <c r="AL28" s="11"/>
      <c r="AM28" s="848" t="str">
        <f t="shared" si="8"/>
        <v/>
      </c>
      <c r="AN28" s="57" t="str">
        <f t="shared" si="9"/>
        <v/>
      </c>
      <c r="AO28" s="444" t="s">
        <v>322</v>
      </c>
      <c r="AP28" s="879">
        <f>COUNTIF($P$7:$P$116,37)+COUNTIF($V$7:$V$116,37)</f>
        <v>0</v>
      </c>
      <c r="AQ28" s="395"/>
      <c r="AR28" s="857" t="s">
        <v>19</v>
      </c>
      <c r="AS28" s="858" t="s">
        <v>532</v>
      </c>
      <c r="AU28" s="11"/>
      <c r="AV28" s="79"/>
      <c r="AX28" s="331">
        <f t="shared" si="0"/>
        <v>0</v>
      </c>
      <c r="AY28" s="224"/>
      <c r="AZ28" s="224"/>
      <c r="BA28" s="224"/>
      <c r="BB28" s="224"/>
      <c r="BC28" s="19">
        <f t="shared" si="1"/>
        <v>0</v>
      </c>
      <c r="BD28" s="19" t="str">
        <f t="shared" si="2"/>
        <v/>
      </c>
      <c r="BE28" s="19" t="str">
        <f t="shared" si="3"/>
        <v/>
      </c>
    </row>
    <row r="29" spans="2:57" ht="14.25" thickBot="1">
      <c r="B29" s="322" t="str">
        <f>名簿!P26</f>
        <v/>
      </c>
      <c r="C29" s="825"/>
      <c r="D29" s="825"/>
      <c r="E29" s="1321">
        <f>名簿!E26</f>
        <v>0</v>
      </c>
      <c r="F29" s="563" t="str">
        <f>名簿!CM26</f>
        <v/>
      </c>
      <c r="G29" s="322" t="str">
        <f>名簿!Z26</f>
        <v/>
      </c>
      <c r="H29" s="322" t="str">
        <f>名簿!CM26</f>
        <v/>
      </c>
      <c r="I29" s="323" t="str">
        <f>名簿!Y26</f>
        <v/>
      </c>
      <c r="J29" s="323" t="str">
        <f>名簿!CN26</f>
        <v/>
      </c>
      <c r="K29" s="900">
        <f>名簿!CP26</f>
        <v>0</v>
      </c>
      <c r="L29" s="901" t="str">
        <f>名簿!CU26</f>
        <v>00</v>
      </c>
      <c r="M29" s="322" t="str">
        <f>名簿!Q26</f>
        <v/>
      </c>
      <c r="N29" s="1315">
        <f>名簿!D26</f>
        <v>0</v>
      </c>
      <c r="O29" s="327"/>
      <c r="P29" s="258" t="str">
        <f>IF(O29="","",IF(I29=1,VLOOKUP(O29,男子種目コード!$P$1:$Q$26,2,FALSE),IF(I29=2,VLOOKUP(O29,女子種目コード!$P$1:$Q$26,2,FALSE))))</f>
        <v/>
      </c>
      <c r="Q29" s="494" t="str">
        <f>IF(O29="","",HLOOKUP(O29,名簿!$AH$3:$CH$118,24,FALSE))</f>
        <v/>
      </c>
      <c r="R29" s="1002"/>
      <c r="S29" s="843" t="str">
        <f t="shared" si="4"/>
        <v/>
      </c>
      <c r="T29" s="844" t="str">
        <f t="shared" si="5"/>
        <v/>
      </c>
      <c r="U29" s="327"/>
      <c r="V29" s="258" t="str">
        <f>IF(U29="","",IF(I29=1,VLOOKUP(U29,男子種目コード!$P$1:$Q$26,2,FALSE),IF(I29=2,VLOOKUP(U29,女子種目コード!$P$1:$Q$26,2,FALSE))))</f>
        <v/>
      </c>
      <c r="W29" s="494" t="str">
        <f>IF(U29="","",HLOOKUP(U29,名簿!$AH$3:$CH$118,24,FALSE))</f>
        <v/>
      </c>
      <c r="X29" s="1004"/>
      <c r="Y29" s="843" t="str">
        <f t="shared" si="6"/>
        <v/>
      </c>
      <c r="Z29" s="844" t="str">
        <f t="shared" si="7"/>
        <v/>
      </c>
      <c r="AA29" s="569" t="str">
        <f>IF(X29="","",IF(I29=1,VLOOKUP(X29,男子種目コード!$J$2:$K$30,2,FALSE),IF(I29=2,VLOOKUP(X29,女子種目コード!$J$2:$K$28,2,FALSE))))</f>
        <v/>
      </c>
      <c r="AB29" s="818"/>
      <c r="AC29" s="831"/>
      <c r="AD29" s="322" t="str">
        <f>IF(AC29="","",IF(I29=1,VLOOKUP(AC29,男子種目コード!$J$2:$K$30,2,FALSE),IF(I29=2,VLOOKUP(AC29,女子種目コード!$J$2:$K$28,2,FALSE))))</f>
        <v/>
      </c>
      <c r="AE29" s="818"/>
      <c r="AF29" s="831"/>
      <c r="AG29" s="322" t="str">
        <f>IF(AF29="","",IF(I29=1,VLOOKUP(AF29,男子種目コード!$J$2:$K$30,2,FALSE),IF(I29=2,VLOOKUP(AF29,女子種目コード!$J$2:$K$28,2,FALSE))))</f>
        <v/>
      </c>
      <c r="AH29" s="819"/>
      <c r="AI29" s="20"/>
      <c r="AJ29" s="20"/>
      <c r="AK29" s="19"/>
      <c r="AL29" s="11"/>
      <c r="AM29" s="848" t="str">
        <f t="shared" si="8"/>
        <v/>
      </c>
      <c r="AN29" s="57" t="str">
        <f t="shared" si="9"/>
        <v/>
      </c>
      <c r="AO29" s="444" t="s">
        <v>307</v>
      </c>
      <c r="AP29" s="879">
        <f>COUNTIF($P$7:$P$116,38)+COUNTIF($V$7:$V$116,38)</f>
        <v>0</v>
      </c>
      <c r="AQ29" s="395"/>
      <c r="AR29" s="860" t="s">
        <v>95</v>
      </c>
      <c r="AS29" s="861" t="s">
        <v>523</v>
      </c>
      <c r="AU29" s="11"/>
      <c r="AV29" s="11"/>
      <c r="AX29" s="331">
        <f t="shared" si="0"/>
        <v>0</v>
      </c>
      <c r="AY29" s="224"/>
      <c r="AZ29" s="224"/>
      <c r="BA29" s="224"/>
      <c r="BB29" s="224"/>
      <c r="BC29" s="19">
        <f t="shared" si="1"/>
        <v>0</v>
      </c>
      <c r="BD29" s="19" t="str">
        <f t="shared" si="2"/>
        <v/>
      </c>
      <c r="BE29" s="19" t="str">
        <f t="shared" si="3"/>
        <v/>
      </c>
    </row>
    <row r="30" spans="2:57" ht="14.25" thickBot="1">
      <c r="B30" s="322" t="str">
        <f>名簿!P27</f>
        <v/>
      </c>
      <c r="C30" s="825"/>
      <c r="D30" s="825"/>
      <c r="E30" s="1321">
        <f>名簿!E27</f>
        <v>0</v>
      </c>
      <c r="F30" s="563" t="str">
        <f>名簿!CM27</f>
        <v/>
      </c>
      <c r="G30" s="322" t="str">
        <f>名簿!Z27</f>
        <v/>
      </c>
      <c r="H30" s="322" t="str">
        <f>名簿!CM27</f>
        <v/>
      </c>
      <c r="I30" s="323" t="str">
        <f>名簿!Y27</f>
        <v/>
      </c>
      <c r="J30" s="323" t="str">
        <f>名簿!CN27</f>
        <v/>
      </c>
      <c r="K30" s="900">
        <f>名簿!CP27</f>
        <v>0</v>
      </c>
      <c r="L30" s="901" t="str">
        <f>名簿!CU27</f>
        <v>00</v>
      </c>
      <c r="M30" s="322" t="str">
        <f>名簿!Q27</f>
        <v/>
      </c>
      <c r="N30" s="1315">
        <f>名簿!D27</f>
        <v>0</v>
      </c>
      <c r="O30" s="327"/>
      <c r="P30" s="258" t="str">
        <f>IF(O30="","",IF(I30=1,VLOOKUP(O30,男子種目コード!$P$1:$Q$26,2,FALSE),IF(I30=2,VLOOKUP(O30,女子種目コード!$P$1:$Q$26,2,FALSE))))</f>
        <v/>
      </c>
      <c r="Q30" s="494" t="str">
        <f>IF(O30="","",HLOOKUP(O30,名簿!$AH$3:$CH$118,25,FALSE))</f>
        <v/>
      </c>
      <c r="R30" s="1002"/>
      <c r="S30" s="843" t="str">
        <f t="shared" si="4"/>
        <v/>
      </c>
      <c r="T30" s="844" t="str">
        <f t="shared" si="5"/>
        <v/>
      </c>
      <c r="U30" s="327"/>
      <c r="V30" s="258" t="str">
        <f>IF(U30="","",IF(I30=1,VLOOKUP(U30,男子種目コード!$P$1:$Q$26,2,FALSE),IF(I30=2,VLOOKUP(U30,女子種目コード!$P$1:$Q$26,2,FALSE))))</f>
        <v/>
      </c>
      <c r="W30" s="494" t="str">
        <f>IF(U30="","",HLOOKUP(U30,名簿!$AH$3:$CH$118,25,FALSE))</f>
        <v/>
      </c>
      <c r="X30" s="1004"/>
      <c r="Y30" s="843" t="str">
        <f t="shared" si="6"/>
        <v/>
      </c>
      <c r="Z30" s="844" t="str">
        <f t="shared" si="7"/>
        <v/>
      </c>
      <c r="AA30" s="569" t="str">
        <f>IF(X30="","",IF(I30=1,VLOOKUP(X30,男子種目コード!$J$2:$K$30,2,FALSE),IF(I30=2,VLOOKUP(X30,女子種目コード!$J$2:$K$28,2,FALSE))))</f>
        <v/>
      </c>
      <c r="AB30" s="818"/>
      <c r="AC30" s="831"/>
      <c r="AD30" s="322" t="str">
        <f>IF(AC30="","",IF(I30=1,VLOOKUP(AC30,男子種目コード!$J$2:$K$30,2,FALSE),IF(I30=2,VLOOKUP(AC30,女子種目コード!$J$2:$K$28,2,FALSE))))</f>
        <v/>
      </c>
      <c r="AE30" s="818"/>
      <c r="AF30" s="831"/>
      <c r="AG30" s="322" t="str">
        <f>IF(AF30="","",IF(I30=1,VLOOKUP(AF30,男子種目コード!$J$2:$K$30,2,FALSE),IF(I30=2,VLOOKUP(AF30,女子種目コード!$J$2:$K$28,2,FALSE))))</f>
        <v/>
      </c>
      <c r="AH30" s="819"/>
      <c r="AI30" s="20"/>
      <c r="AJ30" s="20"/>
      <c r="AK30" s="19"/>
      <c r="AL30" s="11"/>
      <c r="AM30" s="848" t="str">
        <f t="shared" si="8"/>
        <v/>
      </c>
      <c r="AN30" s="57" t="str">
        <f t="shared" si="9"/>
        <v/>
      </c>
      <c r="AO30" s="444" t="s">
        <v>217</v>
      </c>
      <c r="AP30" s="879">
        <f>COUNTIF($P$7:$P$116,39)+COUNTIF($V$7:$V$116,39)</f>
        <v>0</v>
      </c>
      <c r="AQ30" s="395"/>
      <c r="AR30" s="1203" t="s">
        <v>224</v>
      </c>
      <c r="AS30" s="1204"/>
      <c r="AU30" s="11"/>
      <c r="AV30" s="11"/>
      <c r="AX30" s="331">
        <f t="shared" si="0"/>
        <v>0</v>
      </c>
      <c r="AY30" s="224"/>
      <c r="AZ30" s="224"/>
      <c r="BA30" s="224"/>
      <c r="BB30" s="224"/>
      <c r="BC30" s="19">
        <f t="shared" si="1"/>
        <v>0</v>
      </c>
      <c r="BD30" s="19" t="str">
        <f t="shared" si="2"/>
        <v/>
      </c>
      <c r="BE30" s="19" t="str">
        <f t="shared" si="3"/>
        <v/>
      </c>
    </row>
    <row r="31" spans="2:57">
      <c r="B31" s="322" t="str">
        <f>名簿!P28</f>
        <v/>
      </c>
      <c r="C31" s="825"/>
      <c r="D31" s="825"/>
      <c r="E31" s="1321">
        <f>名簿!E28</f>
        <v>0</v>
      </c>
      <c r="F31" s="563" t="str">
        <f>名簿!CM28</f>
        <v/>
      </c>
      <c r="G31" s="322" t="str">
        <f>名簿!Z28</f>
        <v/>
      </c>
      <c r="H31" s="322" t="str">
        <f>名簿!CM28</f>
        <v/>
      </c>
      <c r="I31" s="323" t="str">
        <f>名簿!Y28</f>
        <v/>
      </c>
      <c r="J31" s="323" t="str">
        <f>名簿!CN28</f>
        <v/>
      </c>
      <c r="K31" s="900">
        <f>名簿!CP28</f>
        <v>0</v>
      </c>
      <c r="L31" s="901" t="str">
        <f>名簿!CU28</f>
        <v>00</v>
      </c>
      <c r="M31" s="322" t="str">
        <f>名簿!Q28</f>
        <v/>
      </c>
      <c r="N31" s="1315">
        <f>名簿!D28</f>
        <v>0</v>
      </c>
      <c r="O31" s="327"/>
      <c r="P31" s="258" t="str">
        <f>IF(O31="","",IF(I31=1,VLOOKUP(O31,男子種目コード!$P$1:$Q$26,2,FALSE),IF(I31=2,VLOOKUP(O31,女子種目コード!$P$1:$Q$26,2,FALSE))))</f>
        <v/>
      </c>
      <c r="Q31" s="494" t="str">
        <f>IF(O31="","",HLOOKUP(O31,名簿!$AH$3:$CH$118,26,FALSE))</f>
        <v/>
      </c>
      <c r="R31" s="1002"/>
      <c r="S31" s="843" t="str">
        <f t="shared" si="4"/>
        <v/>
      </c>
      <c r="T31" s="844" t="str">
        <f t="shared" si="5"/>
        <v/>
      </c>
      <c r="U31" s="327"/>
      <c r="V31" s="258" t="str">
        <f>IF(U31="","",IF(I31=1,VLOOKUP(U31,男子種目コード!$P$1:$Q$26,2,FALSE),IF(I31=2,VLOOKUP(U31,女子種目コード!$P$1:$Q$26,2,FALSE))))</f>
        <v/>
      </c>
      <c r="W31" s="494" t="str">
        <f>IF(U31="","",HLOOKUP(U31,名簿!$AH$3:$CH$118,26,FALSE))</f>
        <v/>
      </c>
      <c r="X31" s="1004"/>
      <c r="Y31" s="843" t="str">
        <f t="shared" si="6"/>
        <v/>
      </c>
      <c r="Z31" s="844" t="str">
        <f t="shared" si="7"/>
        <v/>
      </c>
      <c r="AA31" s="569" t="str">
        <f>IF(X31="","",IF(I31=1,VLOOKUP(X31,男子種目コード!$J$2:$K$30,2,FALSE),IF(I31=2,VLOOKUP(X31,女子種目コード!$J$2:$K$28,2,FALSE))))</f>
        <v/>
      </c>
      <c r="AB31" s="818"/>
      <c r="AC31" s="831"/>
      <c r="AD31" s="322" t="str">
        <f>IF(AC31="","",IF(I31=1,VLOOKUP(AC31,男子種目コード!$J$2:$K$30,2,FALSE),IF(I31=2,VLOOKUP(AC31,女子種目コード!$J$2:$K$28,2,FALSE))))</f>
        <v/>
      </c>
      <c r="AE31" s="818"/>
      <c r="AF31" s="831"/>
      <c r="AG31" s="322" t="str">
        <f>IF(AF31="","",IF(I31=1,VLOOKUP(AF31,男子種目コード!$J$2:$K$30,2,FALSE),IF(I31=2,VLOOKUP(AF31,女子種目コード!$J$2:$K$28,2,FALSE))))</f>
        <v/>
      </c>
      <c r="AH31" s="819"/>
      <c r="AI31" s="20"/>
      <c r="AJ31" s="20"/>
      <c r="AK31" s="19"/>
      <c r="AL31" s="11"/>
      <c r="AM31" s="848" t="str">
        <f t="shared" si="8"/>
        <v/>
      </c>
      <c r="AN31" s="57" t="str">
        <f t="shared" si="9"/>
        <v/>
      </c>
      <c r="AO31" s="444" t="s">
        <v>148</v>
      </c>
      <c r="AP31" s="879">
        <f>COUNTIF($P$7:$P$116,53)+COUNTIF($V$7:$V$116,53)</f>
        <v>0</v>
      </c>
      <c r="AQ31" s="395"/>
      <c r="AR31" s="855">
        <v>100</v>
      </c>
      <c r="AS31" s="856" t="s">
        <v>533</v>
      </c>
      <c r="AU31" s="11"/>
      <c r="AV31" s="11"/>
      <c r="AX31" s="331">
        <f t="shared" si="0"/>
        <v>0</v>
      </c>
      <c r="AY31" s="224"/>
      <c r="AZ31" s="224"/>
      <c r="BA31" s="224"/>
      <c r="BB31" s="224"/>
      <c r="BC31" s="19">
        <f t="shared" si="1"/>
        <v>0</v>
      </c>
      <c r="BD31" s="19" t="str">
        <f t="shared" si="2"/>
        <v/>
      </c>
      <c r="BE31" s="19" t="str">
        <f t="shared" si="3"/>
        <v/>
      </c>
    </row>
    <row r="32" spans="2:57">
      <c r="B32" s="322" t="str">
        <f>名簿!P29</f>
        <v/>
      </c>
      <c r="C32" s="825"/>
      <c r="D32" s="825"/>
      <c r="E32" s="1321">
        <f>名簿!E29</f>
        <v>0</v>
      </c>
      <c r="F32" s="563" t="str">
        <f>名簿!CM29</f>
        <v/>
      </c>
      <c r="G32" s="322" t="str">
        <f>名簿!Z29</f>
        <v/>
      </c>
      <c r="H32" s="322" t="str">
        <f>名簿!CM29</f>
        <v/>
      </c>
      <c r="I32" s="323" t="str">
        <f>名簿!Y29</f>
        <v/>
      </c>
      <c r="J32" s="323" t="str">
        <f>名簿!CN29</f>
        <v/>
      </c>
      <c r="K32" s="900">
        <f>名簿!CP29</f>
        <v>0</v>
      </c>
      <c r="L32" s="901" t="str">
        <f>名簿!CU29</f>
        <v>00</v>
      </c>
      <c r="M32" s="322" t="str">
        <f>名簿!Q29</f>
        <v/>
      </c>
      <c r="N32" s="1315">
        <f>名簿!D29</f>
        <v>0</v>
      </c>
      <c r="O32" s="327"/>
      <c r="P32" s="258" t="str">
        <f>IF(O32="","",IF(I32=1,VLOOKUP(O32,男子種目コード!$P$1:$Q$26,2,FALSE),IF(I32=2,VLOOKUP(O32,女子種目コード!$P$1:$Q$26,2,FALSE))))</f>
        <v/>
      </c>
      <c r="Q32" s="494" t="str">
        <f>IF(O32="","",HLOOKUP(O32,名簿!$AH$3:$CH$118,27,FALSE))</f>
        <v/>
      </c>
      <c r="R32" s="1002"/>
      <c r="S32" s="843" t="str">
        <f t="shared" si="4"/>
        <v/>
      </c>
      <c r="T32" s="844" t="str">
        <f t="shared" si="5"/>
        <v/>
      </c>
      <c r="U32" s="327"/>
      <c r="V32" s="258" t="str">
        <f>IF(U32="","",IF(I32=1,VLOOKUP(U32,男子種目コード!$P$1:$Q$26,2,FALSE),IF(I32=2,VLOOKUP(U32,女子種目コード!$P$1:$Q$26,2,FALSE))))</f>
        <v/>
      </c>
      <c r="W32" s="494" t="str">
        <f>IF(U32="","",HLOOKUP(U32,名簿!$AH$3:$CH$118,27,FALSE))</f>
        <v/>
      </c>
      <c r="X32" s="1004"/>
      <c r="Y32" s="843" t="str">
        <f t="shared" si="6"/>
        <v/>
      </c>
      <c r="Z32" s="844" t="str">
        <f t="shared" si="7"/>
        <v/>
      </c>
      <c r="AA32" s="569" t="str">
        <f>IF(X32="","",IF(I32=1,VLOOKUP(X32,男子種目コード!$J$2:$K$30,2,FALSE),IF(I32=2,VLOOKUP(X32,女子種目コード!$J$2:$K$28,2,FALSE))))</f>
        <v/>
      </c>
      <c r="AB32" s="818"/>
      <c r="AC32" s="831"/>
      <c r="AD32" s="322" t="str">
        <f>IF(AC32="","",IF(I32=1,VLOOKUP(AC32,男子種目コード!$J$2:$K$30,2,FALSE),IF(I32=2,VLOOKUP(AC32,女子種目コード!$J$2:$K$28,2,FALSE))))</f>
        <v/>
      </c>
      <c r="AE32" s="818"/>
      <c r="AF32" s="831"/>
      <c r="AG32" s="322" t="str">
        <f>IF(AF32="","",IF(I32=1,VLOOKUP(AF32,男子種目コード!$J$2:$K$30,2,FALSE),IF(I32=2,VLOOKUP(AF32,女子種目コード!$J$2:$K$28,2,FALSE))))</f>
        <v/>
      </c>
      <c r="AH32" s="819"/>
      <c r="AI32" s="20"/>
      <c r="AJ32" s="20"/>
      <c r="AK32" s="19"/>
      <c r="AL32" s="11"/>
      <c r="AM32" s="848" t="str">
        <f t="shared" si="8"/>
        <v/>
      </c>
      <c r="AN32" s="57" t="str">
        <f t="shared" si="9"/>
        <v/>
      </c>
      <c r="AO32" s="444" t="s">
        <v>308</v>
      </c>
      <c r="AP32" s="879">
        <f>COUNTIF($P$7:$P$116,40)+COUNTIF($V$7:$V$116,40)</f>
        <v>0</v>
      </c>
      <c r="AQ32" s="395"/>
      <c r="AR32" s="857">
        <v>200</v>
      </c>
      <c r="AS32" s="858" t="s">
        <v>534</v>
      </c>
      <c r="AU32" s="11"/>
      <c r="AV32" s="11"/>
      <c r="AX32" s="331">
        <f t="shared" si="0"/>
        <v>0</v>
      </c>
      <c r="AY32" s="224"/>
      <c r="AZ32" s="224"/>
      <c r="BA32" s="224"/>
      <c r="BB32" s="224"/>
      <c r="BC32" s="19">
        <f t="shared" si="1"/>
        <v>0</v>
      </c>
      <c r="BD32" s="19" t="str">
        <f t="shared" si="2"/>
        <v/>
      </c>
      <c r="BE32" s="19" t="str">
        <f t="shared" si="3"/>
        <v/>
      </c>
    </row>
    <row r="33" spans="2:57">
      <c r="B33" s="322" t="str">
        <f>名簿!P30</f>
        <v/>
      </c>
      <c r="C33" s="825"/>
      <c r="D33" s="825"/>
      <c r="E33" s="1321">
        <f>名簿!E30</f>
        <v>0</v>
      </c>
      <c r="F33" s="563" t="str">
        <f>名簿!CM30</f>
        <v/>
      </c>
      <c r="G33" s="322" t="str">
        <f>名簿!Z30</f>
        <v/>
      </c>
      <c r="H33" s="322" t="str">
        <f>名簿!CM30</f>
        <v/>
      </c>
      <c r="I33" s="323" t="str">
        <f>名簿!Y30</f>
        <v/>
      </c>
      <c r="J33" s="323" t="str">
        <f>名簿!CN30</f>
        <v/>
      </c>
      <c r="K33" s="900">
        <f>名簿!CP30</f>
        <v>0</v>
      </c>
      <c r="L33" s="901" t="str">
        <f>名簿!CU30</f>
        <v>00</v>
      </c>
      <c r="M33" s="322" t="str">
        <f>名簿!Q30</f>
        <v/>
      </c>
      <c r="N33" s="1315">
        <f>名簿!D30</f>
        <v>0</v>
      </c>
      <c r="O33" s="327"/>
      <c r="P33" s="258" t="str">
        <f>IF(O33="","",IF(I33=1,VLOOKUP(O33,男子種目コード!$P$1:$Q$26,2,FALSE),IF(I33=2,VLOOKUP(O33,女子種目コード!$P$1:$Q$26,2,FALSE))))</f>
        <v/>
      </c>
      <c r="Q33" s="494" t="str">
        <f>IF(O33="","",HLOOKUP(O33,名簿!$AH$3:$CH$118,28,FALSE))</f>
        <v/>
      </c>
      <c r="R33" s="1002"/>
      <c r="S33" s="843" t="str">
        <f t="shared" si="4"/>
        <v/>
      </c>
      <c r="T33" s="844" t="str">
        <f t="shared" si="5"/>
        <v/>
      </c>
      <c r="U33" s="327"/>
      <c r="V33" s="258" t="str">
        <f>IF(U33="","",IF(I33=1,VLOOKUP(U33,男子種目コード!$P$1:$Q$26,2,FALSE),IF(I33=2,VLOOKUP(U33,女子種目コード!$P$1:$Q$26,2,FALSE))))</f>
        <v/>
      </c>
      <c r="W33" s="494" t="str">
        <f>IF(U33="","",HLOOKUP(U33,名簿!$AH$3:$CH$118,28,FALSE))</f>
        <v/>
      </c>
      <c r="X33" s="1004"/>
      <c r="Y33" s="843" t="str">
        <f t="shared" si="6"/>
        <v/>
      </c>
      <c r="Z33" s="844" t="str">
        <f t="shared" si="7"/>
        <v/>
      </c>
      <c r="AA33" s="569"/>
      <c r="AB33" s="818"/>
      <c r="AC33" s="831"/>
      <c r="AD33" s="322"/>
      <c r="AE33" s="818"/>
      <c r="AF33" s="831"/>
      <c r="AG33" s="322"/>
      <c r="AH33" s="819"/>
      <c r="AI33" s="20"/>
      <c r="AJ33" s="20"/>
      <c r="AK33" s="19"/>
      <c r="AL33" s="11"/>
      <c r="AM33" s="848" t="str">
        <f t="shared" si="8"/>
        <v/>
      </c>
      <c r="AN33" s="57" t="str">
        <f t="shared" si="9"/>
        <v/>
      </c>
      <c r="AO33" s="444" t="s">
        <v>309</v>
      </c>
      <c r="AP33" s="879">
        <f>COUNTIF($P$7:$P$116,41)+COUNTIF($V$7:$V$116,41)</f>
        <v>0</v>
      </c>
      <c r="AQ33" s="395"/>
      <c r="AR33" s="857">
        <v>3000</v>
      </c>
      <c r="AS33" s="858" t="s">
        <v>535</v>
      </c>
      <c r="AU33" s="11"/>
      <c r="AV33" s="11"/>
      <c r="AX33" s="331">
        <f t="shared" si="0"/>
        <v>0</v>
      </c>
      <c r="AY33" s="224"/>
      <c r="AZ33" s="224"/>
      <c r="BA33" s="224"/>
      <c r="BB33" s="224"/>
      <c r="BC33" s="19">
        <f t="shared" si="1"/>
        <v>0</v>
      </c>
      <c r="BD33" s="19" t="str">
        <f t="shared" si="2"/>
        <v/>
      </c>
      <c r="BE33" s="19" t="str">
        <f t="shared" si="3"/>
        <v/>
      </c>
    </row>
    <row r="34" spans="2:57">
      <c r="B34" s="322" t="str">
        <f>名簿!P31</f>
        <v/>
      </c>
      <c r="C34" s="825"/>
      <c r="D34" s="825"/>
      <c r="E34" s="1321">
        <f>名簿!E31</f>
        <v>0</v>
      </c>
      <c r="F34" s="563" t="str">
        <f>名簿!CM31</f>
        <v/>
      </c>
      <c r="G34" s="322" t="str">
        <f>名簿!Z31</f>
        <v/>
      </c>
      <c r="H34" s="322" t="str">
        <f>名簿!CM31</f>
        <v/>
      </c>
      <c r="I34" s="323" t="str">
        <f>名簿!Y31</f>
        <v/>
      </c>
      <c r="J34" s="323" t="str">
        <f>名簿!CN31</f>
        <v/>
      </c>
      <c r="K34" s="900">
        <f>名簿!CP31</f>
        <v>0</v>
      </c>
      <c r="L34" s="901" t="str">
        <f>名簿!CU31</f>
        <v>00</v>
      </c>
      <c r="M34" s="322" t="str">
        <f>名簿!Q31</f>
        <v/>
      </c>
      <c r="N34" s="1315">
        <f>名簿!D31</f>
        <v>0</v>
      </c>
      <c r="O34" s="327"/>
      <c r="P34" s="258" t="str">
        <f>IF(O34="","",IF(I34=1,VLOOKUP(O34,男子種目コード!$P$1:$Q$26,2,FALSE),IF(I34=2,VLOOKUP(O34,女子種目コード!$P$1:$Q$26,2,FALSE))))</f>
        <v/>
      </c>
      <c r="Q34" s="494" t="str">
        <f>IF(O34="","",HLOOKUP(O34,名簿!$AH$3:$CH$118,29,FALSE))</f>
        <v/>
      </c>
      <c r="R34" s="1002"/>
      <c r="S34" s="843" t="str">
        <f t="shared" si="4"/>
        <v/>
      </c>
      <c r="T34" s="844" t="str">
        <f t="shared" si="5"/>
        <v/>
      </c>
      <c r="U34" s="327"/>
      <c r="V34" s="258" t="str">
        <f>IF(U34="","",IF(I34=1,VLOOKUP(U34,男子種目コード!$P$1:$Q$26,2,FALSE),IF(I34=2,VLOOKUP(U34,女子種目コード!$P$1:$Q$26,2,FALSE))))</f>
        <v/>
      </c>
      <c r="W34" s="494" t="str">
        <f>IF(U34="","",HLOOKUP(U34,名簿!$AH$3:$CH$118,29,FALSE))</f>
        <v/>
      </c>
      <c r="X34" s="1004"/>
      <c r="Y34" s="843" t="str">
        <f t="shared" si="6"/>
        <v/>
      </c>
      <c r="Z34" s="844" t="str">
        <f t="shared" si="7"/>
        <v/>
      </c>
      <c r="AA34" s="569"/>
      <c r="AB34" s="818"/>
      <c r="AC34" s="831"/>
      <c r="AD34" s="322"/>
      <c r="AE34" s="818"/>
      <c r="AF34" s="831"/>
      <c r="AG34" s="322"/>
      <c r="AH34" s="819"/>
      <c r="AI34" s="20"/>
      <c r="AJ34" s="20"/>
      <c r="AK34" s="19"/>
      <c r="AL34" s="11"/>
      <c r="AM34" s="848" t="str">
        <f t="shared" si="8"/>
        <v/>
      </c>
      <c r="AN34" s="57" t="str">
        <f t="shared" si="9"/>
        <v/>
      </c>
      <c r="AO34" s="444" t="s">
        <v>310</v>
      </c>
      <c r="AP34" s="879">
        <f>COUNTIF($P$7:$P$116,42)+COUNTIF($V$7:$V$116,42)</f>
        <v>0</v>
      </c>
      <c r="AQ34" s="395"/>
      <c r="AR34" s="857" t="s">
        <v>323</v>
      </c>
      <c r="AS34" s="858" t="s">
        <v>536</v>
      </c>
      <c r="AU34" s="11"/>
      <c r="AV34" s="11"/>
      <c r="AX34" s="331">
        <f t="shared" si="0"/>
        <v>0</v>
      </c>
      <c r="AY34" s="224"/>
      <c r="AZ34" s="224"/>
      <c r="BA34" s="224"/>
      <c r="BB34" s="224"/>
      <c r="BC34" s="19">
        <f t="shared" si="1"/>
        <v>0</v>
      </c>
      <c r="BD34" s="19" t="str">
        <f t="shared" si="2"/>
        <v/>
      </c>
      <c r="BE34" s="19" t="str">
        <f t="shared" si="3"/>
        <v/>
      </c>
    </row>
    <row r="35" spans="2:57">
      <c r="B35" s="322" t="str">
        <f>名簿!P32</f>
        <v/>
      </c>
      <c r="C35" s="825"/>
      <c r="D35" s="825"/>
      <c r="E35" s="1321">
        <f>名簿!E32</f>
        <v>0</v>
      </c>
      <c r="F35" s="563" t="str">
        <f>名簿!CM32</f>
        <v/>
      </c>
      <c r="G35" s="322" t="str">
        <f>名簿!Z32</f>
        <v/>
      </c>
      <c r="H35" s="322" t="str">
        <f>名簿!CM32</f>
        <v/>
      </c>
      <c r="I35" s="323" t="str">
        <f>名簿!Y32</f>
        <v/>
      </c>
      <c r="J35" s="323" t="str">
        <f>名簿!CN32</f>
        <v/>
      </c>
      <c r="K35" s="900">
        <f>名簿!CP32</f>
        <v>0</v>
      </c>
      <c r="L35" s="901" t="str">
        <f>名簿!CU32</f>
        <v>00</v>
      </c>
      <c r="M35" s="322" t="str">
        <f>名簿!Q32</f>
        <v/>
      </c>
      <c r="N35" s="1315">
        <f>名簿!D32</f>
        <v>0</v>
      </c>
      <c r="O35" s="327"/>
      <c r="P35" s="258" t="str">
        <f>IF(O35="","",IF(I35=1,VLOOKUP(O35,男子種目コード!$P$1:$Q$26,2,FALSE),IF(I35=2,VLOOKUP(O35,女子種目コード!$P$1:$Q$26,2,FALSE))))</f>
        <v/>
      </c>
      <c r="Q35" s="494" t="str">
        <f>IF(O35="","",HLOOKUP(O35,名簿!$AH$3:$CH$118,30,FALSE))</f>
        <v/>
      </c>
      <c r="R35" s="1002"/>
      <c r="S35" s="843" t="str">
        <f t="shared" si="4"/>
        <v/>
      </c>
      <c r="T35" s="844" t="str">
        <f t="shared" si="5"/>
        <v/>
      </c>
      <c r="U35" s="327"/>
      <c r="V35" s="258" t="str">
        <f>IF(U35="","",IF(I35=1,VLOOKUP(U35,男子種目コード!$P$1:$Q$26,2,FALSE),IF(I35=2,VLOOKUP(U35,女子種目コード!$P$1:$Q$26,2,FALSE))))</f>
        <v/>
      </c>
      <c r="W35" s="494" t="str">
        <f>IF(U35="","",HLOOKUP(U35,名簿!$AH$3:$CH$118,30,FALSE))</f>
        <v/>
      </c>
      <c r="X35" s="1004"/>
      <c r="Y35" s="843" t="str">
        <f t="shared" si="6"/>
        <v/>
      </c>
      <c r="Z35" s="844" t="str">
        <f t="shared" si="7"/>
        <v/>
      </c>
      <c r="AA35" s="569" t="str">
        <f>IF(X35="","",IF(I35=1,VLOOKUP(X35,男子種目コード!$J$2:$K$30,2,FALSE),IF(I35=2,VLOOKUP(X35,女子種目コード!$J$2:$K$28,2,FALSE))))</f>
        <v/>
      </c>
      <c r="AB35" s="818"/>
      <c r="AC35" s="831"/>
      <c r="AD35" s="322" t="str">
        <f>IF(AC35="","",IF(I35=1,VLOOKUP(AC35,男子種目コード!$J$2:$K$30,2,FALSE),IF(I35=2,VLOOKUP(AC35,女子種目コード!$J$2:$K$28,2,FALSE))))</f>
        <v/>
      </c>
      <c r="AE35" s="818"/>
      <c r="AF35" s="831"/>
      <c r="AG35" s="322" t="str">
        <f>IF(AF35="","",IF(I35=1,VLOOKUP(AF35,男子種目コード!$J$2:$K$30,2,FALSE),IF(I35=2,VLOOKUP(AF35,女子種目コード!$J$2:$K$28,2,FALSE))))</f>
        <v/>
      </c>
      <c r="AH35" s="819"/>
      <c r="AI35" s="20"/>
      <c r="AJ35" s="20"/>
      <c r="AK35" s="19"/>
      <c r="AL35" s="11"/>
      <c r="AM35" s="848" t="str">
        <f t="shared" si="8"/>
        <v/>
      </c>
      <c r="AN35" s="57" t="str">
        <f t="shared" si="9"/>
        <v/>
      </c>
      <c r="AO35" s="444" t="s">
        <v>218</v>
      </c>
      <c r="AP35" s="879">
        <f>COUNTIF($P$7:$P$116,44)+COUNTIF($V$7:$V$116,44)</f>
        <v>0</v>
      </c>
      <c r="AQ35" s="395"/>
      <c r="AR35" s="857" t="s">
        <v>212</v>
      </c>
      <c r="AS35" s="858" t="s">
        <v>537</v>
      </c>
      <c r="AU35" s="11"/>
      <c r="AV35" s="11"/>
      <c r="AX35" s="331">
        <f t="shared" si="0"/>
        <v>0</v>
      </c>
      <c r="AY35" s="224"/>
      <c r="AZ35" s="224"/>
      <c r="BA35" s="224"/>
      <c r="BB35" s="224"/>
      <c r="BC35" s="19">
        <f t="shared" si="1"/>
        <v>0</v>
      </c>
      <c r="BD35" s="19" t="str">
        <f t="shared" si="2"/>
        <v/>
      </c>
      <c r="BE35" s="19" t="str">
        <f t="shared" si="3"/>
        <v/>
      </c>
    </row>
    <row r="36" spans="2:57">
      <c r="B36" s="322" t="str">
        <f>名簿!P33</f>
        <v/>
      </c>
      <c r="C36" s="825"/>
      <c r="D36" s="825"/>
      <c r="E36" s="1321">
        <f>名簿!E33</f>
        <v>0</v>
      </c>
      <c r="F36" s="563" t="str">
        <f>名簿!CM33</f>
        <v/>
      </c>
      <c r="G36" s="322" t="str">
        <f>名簿!Z33</f>
        <v/>
      </c>
      <c r="H36" s="322" t="str">
        <f>名簿!CM33</f>
        <v/>
      </c>
      <c r="I36" s="323" t="str">
        <f>名簿!Y33</f>
        <v/>
      </c>
      <c r="J36" s="323" t="str">
        <f>名簿!CN33</f>
        <v/>
      </c>
      <c r="K36" s="900">
        <f>名簿!CP33</f>
        <v>0</v>
      </c>
      <c r="L36" s="901" t="str">
        <f>名簿!CU33</f>
        <v>00</v>
      </c>
      <c r="M36" s="322" t="str">
        <f>名簿!Q33</f>
        <v/>
      </c>
      <c r="N36" s="1315">
        <f>名簿!D33</f>
        <v>0</v>
      </c>
      <c r="O36" s="327"/>
      <c r="P36" s="258" t="str">
        <f>IF(O36="","",IF(I36=1,VLOOKUP(O36,男子種目コード!$P$1:$Q$26,2,FALSE),IF(I36=2,VLOOKUP(O36,女子種目コード!$P$1:$Q$26,2,FALSE))))</f>
        <v/>
      </c>
      <c r="Q36" s="494" t="str">
        <f>IF(O36="","",HLOOKUP(O36,名簿!$AH$3:$CH$118,31,FALSE))</f>
        <v/>
      </c>
      <c r="R36" s="1002"/>
      <c r="S36" s="843" t="str">
        <f t="shared" si="4"/>
        <v/>
      </c>
      <c r="T36" s="844" t="str">
        <f t="shared" si="5"/>
        <v/>
      </c>
      <c r="U36" s="327"/>
      <c r="V36" s="258" t="str">
        <f>IF(U36="","",IF(I36=1,VLOOKUP(U36,男子種目コード!$P$1:$Q$26,2,FALSE),IF(I36=2,VLOOKUP(U36,女子種目コード!$P$1:$Q$26,2,FALSE))))</f>
        <v/>
      </c>
      <c r="W36" s="494" t="str">
        <f>IF(U36="","",HLOOKUP(U36,名簿!$AH$3:$CH$118,31,FALSE))</f>
        <v/>
      </c>
      <c r="X36" s="1004"/>
      <c r="Y36" s="843" t="str">
        <f t="shared" si="6"/>
        <v/>
      </c>
      <c r="Z36" s="844" t="str">
        <f t="shared" si="7"/>
        <v/>
      </c>
      <c r="AA36" s="569" t="str">
        <f>IF(X36="","",IF(I36=1,VLOOKUP(X36,男子種目コード!$J$2:$K$30,2,FALSE),IF(I36=2,VLOOKUP(X36,女子種目コード!$J$2:$K$28,2,FALSE))))</f>
        <v/>
      </c>
      <c r="AB36" s="818"/>
      <c r="AC36" s="831"/>
      <c r="AD36" s="322" t="str">
        <f>IF(AC36="","",IF(I36=1,VLOOKUP(AC36,男子種目コード!$J$2:$K$30,2,FALSE),IF(I36=2,VLOOKUP(AC36,女子種目コード!$J$2:$K$28,2,FALSE))))</f>
        <v/>
      </c>
      <c r="AE36" s="818"/>
      <c r="AF36" s="831"/>
      <c r="AG36" s="322" t="str">
        <f>IF(AF36="","",IF(I36=1,VLOOKUP(AF36,男子種目コード!$J$2:$K$30,2,FALSE),IF(I36=2,VLOOKUP(AF36,女子種目コード!$J$2:$K$28,2,FALSE))))</f>
        <v/>
      </c>
      <c r="AH36" s="819"/>
      <c r="AI36" s="20"/>
      <c r="AJ36" s="20"/>
      <c r="AK36" s="19"/>
      <c r="AL36" s="79"/>
      <c r="AM36" s="848" t="str">
        <f t="shared" si="8"/>
        <v/>
      </c>
      <c r="AN36" s="57" t="str">
        <f t="shared" si="9"/>
        <v/>
      </c>
      <c r="AO36" s="444" t="s">
        <v>54</v>
      </c>
      <c r="AP36" s="879">
        <f>COUNTIF($P$7:$P$116,45)+COUNTIF($V$7:$V$116,45)</f>
        <v>0</v>
      </c>
      <c r="AQ36" s="395"/>
      <c r="AR36" s="1212" t="s">
        <v>24</v>
      </c>
      <c r="AS36" s="858" t="s">
        <v>538</v>
      </c>
      <c r="AU36" s="79"/>
      <c r="AV36" s="11"/>
      <c r="AX36" s="331">
        <f t="shared" si="0"/>
        <v>0</v>
      </c>
      <c r="AY36" s="224"/>
      <c r="AZ36" s="224"/>
      <c r="BA36" s="224"/>
      <c r="BB36" s="224"/>
      <c r="BC36" s="19">
        <f t="shared" si="1"/>
        <v>0</v>
      </c>
      <c r="BD36" s="19" t="str">
        <f t="shared" si="2"/>
        <v/>
      </c>
      <c r="BE36" s="19" t="str">
        <f t="shared" si="3"/>
        <v/>
      </c>
    </row>
    <row r="37" spans="2:57">
      <c r="B37" s="322" t="str">
        <f>名簿!P34</f>
        <v/>
      </c>
      <c r="C37" s="825"/>
      <c r="D37" s="825"/>
      <c r="E37" s="1321">
        <f>名簿!E34</f>
        <v>0</v>
      </c>
      <c r="F37" s="563" t="str">
        <f>名簿!CM34</f>
        <v/>
      </c>
      <c r="G37" s="322" t="str">
        <f>名簿!Z34</f>
        <v/>
      </c>
      <c r="H37" s="322" t="str">
        <f>名簿!CM34</f>
        <v/>
      </c>
      <c r="I37" s="323" t="str">
        <f>名簿!Y34</f>
        <v/>
      </c>
      <c r="J37" s="323" t="str">
        <f>名簿!CN34</f>
        <v/>
      </c>
      <c r="K37" s="900">
        <f>名簿!CP34</f>
        <v>0</v>
      </c>
      <c r="L37" s="901" t="str">
        <f>名簿!CU34</f>
        <v>00</v>
      </c>
      <c r="M37" s="322" t="str">
        <f>名簿!Q34</f>
        <v/>
      </c>
      <c r="N37" s="1315">
        <f>名簿!D34</f>
        <v>0</v>
      </c>
      <c r="O37" s="327"/>
      <c r="P37" s="258" t="str">
        <f>IF(O37="","",IF(I37=1,VLOOKUP(O37,男子種目コード!$P$1:$Q$26,2,FALSE),IF(I37=2,VLOOKUP(O37,女子種目コード!$P$1:$Q$26,2,FALSE))))</f>
        <v/>
      </c>
      <c r="Q37" s="494" t="str">
        <f>IF(O37="","",HLOOKUP(O37,名簿!$AH$3:$CH$118,32,FALSE))</f>
        <v/>
      </c>
      <c r="R37" s="1002"/>
      <c r="S37" s="843" t="str">
        <f t="shared" si="4"/>
        <v/>
      </c>
      <c r="T37" s="844" t="str">
        <f t="shared" si="5"/>
        <v/>
      </c>
      <c r="U37" s="327"/>
      <c r="V37" s="258" t="str">
        <f>IF(U37="","",IF(I37=1,VLOOKUP(U37,男子種目コード!$P$1:$Q$26,2,FALSE),IF(I37=2,VLOOKUP(U37,女子種目コード!$P$1:$Q$26,2,FALSE))))</f>
        <v/>
      </c>
      <c r="W37" s="494" t="str">
        <f>IF(U37="","",HLOOKUP(U37,名簿!$AH$3:$CH$118,32,FALSE))</f>
        <v/>
      </c>
      <c r="X37" s="1004"/>
      <c r="Y37" s="843" t="str">
        <f t="shared" si="6"/>
        <v/>
      </c>
      <c r="Z37" s="844" t="str">
        <f t="shared" si="7"/>
        <v/>
      </c>
      <c r="AA37" s="569" t="str">
        <f>IF(X37="","",IF(I37=1,VLOOKUP(X37,男子種目コード!$J$2:$K$30,2,FALSE),IF(I37=2,VLOOKUP(X37,女子種目コード!$J$2:$K$28,2,FALSE))))</f>
        <v/>
      </c>
      <c r="AB37" s="818"/>
      <c r="AC37" s="831"/>
      <c r="AD37" s="322" t="str">
        <f>IF(AC37="","",IF(I37=1,VLOOKUP(AC37,男子種目コード!$J$2:$K$30,2,FALSE),IF(I37=2,VLOOKUP(AC37,女子種目コード!$J$2:$K$28,2,FALSE))))</f>
        <v/>
      </c>
      <c r="AE37" s="818"/>
      <c r="AF37" s="831"/>
      <c r="AG37" s="322" t="str">
        <f>IF(AF37="","",IF(I37=1,VLOOKUP(AF37,男子種目コード!$J$2:$K$30,2,FALSE),IF(I37=2,VLOOKUP(AF37,女子種目コード!$J$2:$K$28,2,FALSE))))</f>
        <v/>
      </c>
      <c r="AH37" s="819"/>
      <c r="AI37" s="20"/>
      <c r="AJ37" s="20"/>
      <c r="AK37" s="19"/>
      <c r="AL37" s="79"/>
      <c r="AM37" s="848" t="str">
        <f t="shared" si="8"/>
        <v/>
      </c>
      <c r="AN37" s="57" t="str">
        <f t="shared" si="9"/>
        <v/>
      </c>
      <c r="AO37" s="444" t="s">
        <v>325</v>
      </c>
      <c r="AP37" s="879">
        <f>COUNTIF($P$7:$P$116,46)+COUNTIF($V$7:$V$116,46)</f>
        <v>0</v>
      </c>
      <c r="AQ37" s="395"/>
      <c r="AR37" s="1213"/>
      <c r="AS37" s="858" t="s">
        <v>539</v>
      </c>
      <c r="AU37" s="79"/>
      <c r="AV37" s="79"/>
      <c r="AX37" s="331">
        <f t="shared" si="0"/>
        <v>0</v>
      </c>
      <c r="AY37" s="224"/>
      <c r="AZ37" s="224"/>
      <c r="BA37" s="224"/>
      <c r="BB37" s="224"/>
      <c r="BC37" s="19">
        <f t="shared" si="1"/>
        <v>0</v>
      </c>
      <c r="BD37" s="19" t="str">
        <f t="shared" si="2"/>
        <v/>
      </c>
      <c r="BE37" s="19" t="str">
        <f t="shared" si="3"/>
        <v/>
      </c>
    </row>
    <row r="38" spans="2:57">
      <c r="B38" s="322" t="str">
        <f>名簿!P35</f>
        <v/>
      </c>
      <c r="C38" s="825"/>
      <c r="D38" s="825"/>
      <c r="E38" s="1321">
        <f>名簿!E35</f>
        <v>0</v>
      </c>
      <c r="F38" s="563" t="str">
        <f>名簿!CM35</f>
        <v/>
      </c>
      <c r="G38" s="322" t="str">
        <f>名簿!Z35</f>
        <v/>
      </c>
      <c r="H38" s="322" t="str">
        <f>名簿!CM35</f>
        <v/>
      </c>
      <c r="I38" s="323" t="str">
        <f>名簿!Y35</f>
        <v/>
      </c>
      <c r="J38" s="323" t="str">
        <f>名簿!CN35</f>
        <v/>
      </c>
      <c r="K38" s="900">
        <f>名簿!CP35</f>
        <v>0</v>
      </c>
      <c r="L38" s="901" t="str">
        <f>名簿!CU35</f>
        <v>00</v>
      </c>
      <c r="M38" s="322" t="str">
        <f>名簿!Q35</f>
        <v/>
      </c>
      <c r="N38" s="1315">
        <f>名簿!D35</f>
        <v>0</v>
      </c>
      <c r="O38" s="327"/>
      <c r="P38" s="258" t="str">
        <f>IF(O38="","",IF(I38=1,VLOOKUP(O38,男子種目コード!$P$1:$Q$26,2,FALSE),IF(I38=2,VLOOKUP(O38,女子種目コード!$P$1:$Q$26,2,FALSE))))</f>
        <v/>
      </c>
      <c r="Q38" s="494" t="str">
        <f>IF(O38="","",HLOOKUP(O38,名簿!$AH$3:$CH$118,33,FALSE))</f>
        <v/>
      </c>
      <c r="R38" s="1002"/>
      <c r="S38" s="843" t="str">
        <f t="shared" si="4"/>
        <v/>
      </c>
      <c r="T38" s="844" t="str">
        <f t="shared" si="5"/>
        <v/>
      </c>
      <c r="U38" s="327"/>
      <c r="V38" s="258" t="str">
        <f>IF(U38="","",IF(I38=1,VLOOKUP(U38,男子種目コード!$P$1:$Q$26,2,FALSE),IF(I38=2,VLOOKUP(U38,女子種目コード!$P$1:$Q$26,2,FALSE))))</f>
        <v/>
      </c>
      <c r="W38" s="494" t="str">
        <f>IF(U38="","",HLOOKUP(U38,名簿!$AH$3:$CH$118,33,FALSE))</f>
        <v/>
      </c>
      <c r="X38" s="1004"/>
      <c r="Y38" s="843" t="str">
        <f t="shared" si="6"/>
        <v/>
      </c>
      <c r="Z38" s="844" t="str">
        <f t="shared" si="7"/>
        <v/>
      </c>
      <c r="AA38" s="569" t="str">
        <f>IF(X38="","",IF(I38=1,VLOOKUP(X38,男子種目コード!$J$2:$K$30,2,FALSE),IF(I38=2,VLOOKUP(X38,女子種目コード!$J$2:$K$28,2,FALSE))))</f>
        <v/>
      </c>
      <c r="AB38" s="818"/>
      <c r="AC38" s="831"/>
      <c r="AD38" s="322" t="str">
        <f>IF(AC38="","",IF(I38=1,VLOOKUP(AC38,男子種目コード!$J$2:$K$30,2,FALSE),IF(I38=2,VLOOKUP(AC38,女子種目コード!$J$2:$K$28,2,FALSE))))</f>
        <v/>
      </c>
      <c r="AE38" s="818"/>
      <c r="AF38" s="831"/>
      <c r="AG38" s="322" t="str">
        <f>IF(AF38="","",IF(I38=1,VLOOKUP(AF38,男子種目コード!$J$2:$K$30,2,FALSE),IF(I38=2,VLOOKUP(AF38,女子種目コード!$J$2:$K$28,2,FALSE))))</f>
        <v/>
      </c>
      <c r="AH38" s="819"/>
      <c r="AI38" s="20"/>
      <c r="AJ38" s="20"/>
      <c r="AK38" s="19"/>
      <c r="AL38" s="79"/>
      <c r="AM38" s="848" t="str">
        <f t="shared" si="8"/>
        <v/>
      </c>
      <c r="AN38" s="57" t="str">
        <f t="shared" si="9"/>
        <v/>
      </c>
      <c r="AO38" s="444" t="s">
        <v>421</v>
      </c>
      <c r="AP38" s="879">
        <f>COUNTIF($P$7:$P$116,52)+COUNTIF($V$7:$V$116,52)</f>
        <v>0</v>
      </c>
      <c r="AQ38" s="395"/>
      <c r="AR38" s="857" t="s">
        <v>22</v>
      </c>
      <c r="AS38" s="858" t="s">
        <v>540</v>
      </c>
      <c r="AU38" s="79"/>
      <c r="AV38" s="79"/>
      <c r="AX38" s="331">
        <f t="shared" si="0"/>
        <v>0</v>
      </c>
      <c r="AY38" s="224"/>
      <c r="AZ38" s="224"/>
      <c r="BA38" s="224"/>
      <c r="BB38" s="224"/>
      <c r="BC38" s="19">
        <f t="shared" si="1"/>
        <v>0</v>
      </c>
      <c r="BD38" s="19" t="str">
        <f t="shared" si="2"/>
        <v/>
      </c>
      <c r="BE38" s="19" t="str">
        <f t="shared" si="3"/>
        <v/>
      </c>
    </row>
    <row r="39" spans="2:57" ht="14.25" thickBot="1">
      <c r="B39" s="322" t="str">
        <f>名簿!P36</f>
        <v/>
      </c>
      <c r="C39" s="825"/>
      <c r="D39" s="825"/>
      <c r="E39" s="1321">
        <f>名簿!E36</f>
        <v>0</v>
      </c>
      <c r="F39" s="563" t="str">
        <f>名簿!CM36</f>
        <v/>
      </c>
      <c r="G39" s="322" t="str">
        <f>名簿!Z36</f>
        <v/>
      </c>
      <c r="H39" s="322" t="str">
        <f>名簿!CM36</f>
        <v/>
      </c>
      <c r="I39" s="323" t="str">
        <f>名簿!Y36</f>
        <v/>
      </c>
      <c r="J39" s="323" t="str">
        <f>名簿!CN36</f>
        <v/>
      </c>
      <c r="K39" s="900">
        <f>名簿!CP36</f>
        <v>0</v>
      </c>
      <c r="L39" s="901" t="str">
        <f>名簿!CU36</f>
        <v>00</v>
      </c>
      <c r="M39" s="322" t="str">
        <f>名簿!Q36</f>
        <v/>
      </c>
      <c r="N39" s="1315">
        <f>名簿!D36</f>
        <v>0</v>
      </c>
      <c r="O39" s="327"/>
      <c r="P39" s="258" t="str">
        <f>IF(O39="","",IF(I39=1,VLOOKUP(O39,男子種目コード!$P$1:$Q$26,2,FALSE),IF(I39=2,VLOOKUP(O39,女子種目コード!$P$1:$Q$26,2,FALSE))))</f>
        <v/>
      </c>
      <c r="Q39" s="494" t="str">
        <f>IF(O39="","",HLOOKUP(O39,名簿!$AH$3:$CH$118,34,FALSE))</f>
        <v/>
      </c>
      <c r="R39" s="1002"/>
      <c r="S39" s="843" t="str">
        <f t="shared" si="4"/>
        <v/>
      </c>
      <c r="T39" s="844" t="str">
        <f t="shared" si="5"/>
        <v/>
      </c>
      <c r="U39" s="327"/>
      <c r="V39" s="258" t="str">
        <f>IF(U39="","",IF(I39=1,VLOOKUP(U39,男子種目コード!$P$1:$Q$26,2,FALSE),IF(I39=2,VLOOKUP(U39,女子種目コード!$P$1:$Q$26,2,FALSE))))</f>
        <v/>
      </c>
      <c r="W39" s="494" t="str">
        <f>IF(U39="","",HLOOKUP(U39,名簿!$AH$3:$CH$118,34,FALSE))</f>
        <v/>
      </c>
      <c r="X39" s="1004"/>
      <c r="Y39" s="843" t="str">
        <f t="shared" si="6"/>
        <v/>
      </c>
      <c r="Z39" s="844" t="str">
        <f t="shared" si="7"/>
        <v/>
      </c>
      <c r="AA39" s="569" t="str">
        <f>IF(X39="","",IF(I39=1,VLOOKUP(X39,男子種目コード!$J$2:$K$30,2,FALSE),IF(I39=2,VLOOKUP(X39,女子種目コード!$J$2:$K$28,2,FALSE))))</f>
        <v/>
      </c>
      <c r="AB39" s="818"/>
      <c r="AC39" s="831"/>
      <c r="AD39" s="322" t="str">
        <f>IF(AC39="","",IF(I39=1,VLOOKUP(AC39,男子種目コード!$J$2:$K$30,2,FALSE),IF(I39=2,VLOOKUP(AC39,女子種目コード!$J$2:$K$28,2,FALSE))))</f>
        <v/>
      </c>
      <c r="AE39" s="818"/>
      <c r="AF39" s="831"/>
      <c r="AG39" s="322" t="str">
        <f>IF(AF39="","",IF(I39=1,VLOOKUP(AF39,男子種目コード!$J$2:$K$30,2,FALSE),IF(I39=2,VLOOKUP(AF39,女子種目コード!$J$2:$K$28,2,FALSE))))</f>
        <v/>
      </c>
      <c r="AH39" s="819"/>
      <c r="AI39" s="20"/>
      <c r="AJ39" s="20"/>
      <c r="AK39" s="19"/>
      <c r="AL39" s="79"/>
      <c r="AM39" s="848" t="str">
        <f t="shared" si="8"/>
        <v/>
      </c>
      <c r="AN39" s="57" t="str">
        <f t="shared" si="9"/>
        <v/>
      </c>
      <c r="AO39" s="444" t="s">
        <v>216</v>
      </c>
      <c r="AP39" s="879">
        <f>COUNTIF($P$7:$P$116,48)+COUNTIF($V$7:$V$116,48)</f>
        <v>0</v>
      </c>
      <c r="AQ39" s="395"/>
      <c r="AR39" s="863" t="s">
        <v>324</v>
      </c>
      <c r="AS39" s="861" t="s">
        <v>541</v>
      </c>
      <c r="AU39" s="79"/>
      <c r="AV39" s="79"/>
      <c r="AX39" s="331">
        <f t="shared" ref="AX39:AX70" si="10">IF(OR(AM39=1,U39=""),0,1)</f>
        <v>0</v>
      </c>
      <c r="AY39" s="224"/>
      <c r="AZ39" s="224"/>
      <c r="BA39" s="224"/>
      <c r="BB39" s="224"/>
      <c r="BC39" s="19">
        <f t="shared" ref="BC39:BC70" si="11">COUNT(P39,V39,AA39)</f>
        <v>0</v>
      </c>
      <c r="BD39" s="19" t="str">
        <f t="shared" ref="BD39:BD70" si="12">IF(I39=1,BC39,"")</f>
        <v/>
      </c>
      <c r="BE39" s="19" t="str">
        <f t="shared" ref="BE39:BE70" si="13">IF(I39=2,BC39,"")</f>
        <v/>
      </c>
    </row>
    <row r="40" spans="2:57" ht="14.25" thickBot="1">
      <c r="B40" s="322" t="str">
        <f>名簿!P37</f>
        <v/>
      </c>
      <c r="C40" s="825"/>
      <c r="D40" s="825"/>
      <c r="E40" s="1321">
        <f>名簿!E37</f>
        <v>0</v>
      </c>
      <c r="F40" s="563" t="str">
        <f>名簿!CM37</f>
        <v/>
      </c>
      <c r="G40" s="322" t="str">
        <f>名簿!Z37</f>
        <v/>
      </c>
      <c r="H40" s="322" t="str">
        <f>名簿!CM37</f>
        <v/>
      </c>
      <c r="I40" s="323" t="str">
        <f>名簿!Y37</f>
        <v/>
      </c>
      <c r="J40" s="323" t="str">
        <f>名簿!CN37</f>
        <v/>
      </c>
      <c r="K40" s="900">
        <f>名簿!CP37</f>
        <v>0</v>
      </c>
      <c r="L40" s="901" t="str">
        <f>名簿!CU37</f>
        <v>00</v>
      </c>
      <c r="M40" s="322" t="str">
        <f>名簿!Q37</f>
        <v/>
      </c>
      <c r="N40" s="1315">
        <f>名簿!D37</f>
        <v>0</v>
      </c>
      <c r="O40" s="327"/>
      <c r="P40" s="258" t="str">
        <f>IF(O40="","",IF(I40=1,VLOOKUP(O40,男子種目コード!$P$1:$Q$26,2,FALSE),IF(I40=2,VLOOKUP(O40,女子種目コード!$P$1:$Q$26,2,FALSE))))</f>
        <v/>
      </c>
      <c r="Q40" s="494" t="str">
        <f>IF(O40="","",HLOOKUP(O40,名簿!$AH$3:$CH$118,35,FALSE))</f>
        <v/>
      </c>
      <c r="R40" s="1002"/>
      <c r="S40" s="843" t="str">
        <f t="shared" si="4"/>
        <v/>
      </c>
      <c r="T40" s="844" t="str">
        <f t="shared" si="5"/>
        <v/>
      </c>
      <c r="U40" s="327"/>
      <c r="V40" s="258" t="str">
        <f>IF(U40="","",IF(I40=1,VLOOKUP(U40,男子種目コード!$P$1:$Q$26,2,FALSE),IF(I40=2,VLOOKUP(U40,女子種目コード!$P$1:$Q$26,2,FALSE))))</f>
        <v/>
      </c>
      <c r="W40" s="494" t="str">
        <f>IF(U40="","",HLOOKUP(U40,名簿!$AH$3:$CH$118,35,FALSE))</f>
        <v/>
      </c>
      <c r="X40" s="1004"/>
      <c r="Y40" s="843" t="str">
        <f t="shared" si="6"/>
        <v/>
      </c>
      <c r="Z40" s="844" t="str">
        <f t="shared" si="7"/>
        <v/>
      </c>
      <c r="AA40" s="569" t="str">
        <f>IF(X40="","",IF(I40=1,VLOOKUP(X40,男子種目コード!$J$2:$K$30,2,FALSE),IF(I40=2,VLOOKUP(X40,女子種目コード!$J$2:$K$28,2,FALSE))))</f>
        <v/>
      </c>
      <c r="AB40" s="818"/>
      <c r="AC40" s="831"/>
      <c r="AD40" s="322" t="str">
        <f>IF(AC40="","",IF(I40=1,VLOOKUP(AC40,男子種目コード!$J$2:$K$30,2,FALSE),IF(I40=2,VLOOKUP(AC40,女子種目コード!$J$2:$K$28,2,FALSE))))</f>
        <v/>
      </c>
      <c r="AE40" s="818"/>
      <c r="AF40" s="831"/>
      <c r="AG40" s="322" t="str">
        <f>IF(AF40="","",IF(I40=1,VLOOKUP(AF40,男子種目コード!$J$2:$K$30,2,FALSE),IF(I40=2,VLOOKUP(AF40,女子種目コード!$J$2:$K$28,2,FALSE))))</f>
        <v/>
      </c>
      <c r="AH40" s="819"/>
      <c r="AI40" s="20"/>
      <c r="AJ40" s="20"/>
      <c r="AK40" s="19"/>
      <c r="AL40" s="79"/>
      <c r="AM40" s="848" t="str">
        <f t="shared" si="8"/>
        <v/>
      </c>
      <c r="AN40" s="57" t="str">
        <f t="shared" si="9"/>
        <v/>
      </c>
      <c r="AO40" s="444" t="s">
        <v>155</v>
      </c>
      <c r="AP40" s="879">
        <f>COUNTIF($P$7:$P$116,50)+COUNTIF($V$7:$V$116,50)</f>
        <v>0</v>
      </c>
      <c r="AQ40" s="395"/>
      <c r="AR40" s="1203" t="s">
        <v>225</v>
      </c>
      <c r="AS40" s="1204"/>
      <c r="AU40" s="79"/>
      <c r="AV40" s="79"/>
      <c r="AX40" s="331">
        <f t="shared" si="10"/>
        <v>0</v>
      </c>
      <c r="AY40" s="224"/>
      <c r="AZ40" s="224"/>
      <c r="BA40" s="224"/>
      <c r="BB40" s="224"/>
      <c r="BC40" s="19">
        <f t="shared" si="11"/>
        <v>0</v>
      </c>
      <c r="BD40" s="19" t="str">
        <f t="shared" si="12"/>
        <v/>
      </c>
      <c r="BE40" s="19" t="str">
        <f t="shared" si="13"/>
        <v/>
      </c>
    </row>
    <row r="41" spans="2:57">
      <c r="B41" s="322" t="str">
        <f>名簿!P38</f>
        <v/>
      </c>
      <c r="C41" s="825"/>
      <c r="D41" s="825"/>
      <c r="E41" s="1321">
        <f>名簿!E38</f>
        <v>0</v>
      </c>
      <c r="F41" s="563" t="str">
        <f>名簿!CM38</f>
        <v/>
      </c>
      <c r="G41" s="322" t="str">
        <f>名簿!Z38</f>
        <v/>
      </c>
      <c r="H41" s="322" t="str">
        <f>名簿!CM38</f>
        <v/>
      </c>
      <c r="I41" s="323" t="str">
        <f>名簿!Y38</f>
        <v/>
      </c>
      <c r="J41" s="323" t="str">
        <f>名簿!CN38</f>
        <v/>
      </c>
      <c r="K41" s="900">
        <f>名簿!CP38</f>
        <v>0</v>
      </c>
      <c r="L41" s="901" t="str">
        <f>名簿!CU38</f>
        <v>00</v>
      </c>
      <c r="M41" s="322" t="str">
        <f>名簿!Q38</f>
        <v/>
      </c>
      <c r="N41" s="1315">
        <f>名簿!D38</f>
        <v>0</v>
      </c>
      <c r="O41" s="327"/>
      <c r="P41" s="258" t="str">
        <f>IF(O41="","",IF(I41=1,VLOOKUP(O41,男子種目コード!$P$1:$Q$26,2,FALSE),IF(I41=2,VLOOKUP(O41,女子種目コード!$P$1:$Q$26,2,FALSE))))</f>
        <v/>
      </c>
      <c r="Q41" s="494" t="str">
        <f>IF(O41="","",HLOOKUP(O41,名簿!$AH$3:$CH$118,36,FALSE))</f>
        <v/>
      </c>
      <c r="R41" s="1002"/>
      <c r="S41" s="843" t="str">
        <f t="shared" si="4"/>
        <v/>
      </c>
      <c r="T41" s="844" t="str">
        <f t="shared" si="5"/>
        <v/>
      </c>
      <c r="U41" s="327"/>
      <c r="V41" s="258" t="str">
        <f>IF(U41="","",IF(I41=1,VLOOKUP(U41,男子種目コード!$P$1:$Q$26,2,FALSE),IF(I41=2,VLOOKUP(U41,女子種目コード!$P$1:$Q$26,2,FALSE))))</f>
        <v/>
      </c>
      <c r="W41" s="494" t="str">
        <f>IF(U41="","",HLOOKUP(U41,名簿!$AH$3:$CH$118,36,FALSE))</f>
        <v/>
      </c>
      <c r="X41" s="1004"/>
      <c r="Y41" s="843" t="str">
        <f t="shared" si="6"/>
        <v/>
      </c>
      <c r="Z41" s="844" t="str">
        <f t="shared" si="7"/>
        <v/>
      </c>
      <c r="AA41" s="569" t="str">
        <f>IF(X41="","",IF(I41=1,VLOOKUP(X41,男子種目コード!$J$2:$K$30,2,FALSE),IF(I41=2,VLOOKUP(X41,女子種目コード!$J$2:$K$28,2,FALSE))))</f>
        <v/>
      </c>
      <c r="AB41" s="818"/>
      <c r="AC41" s="831"/>
      <c r="AD41" s="322" t="str">
        <f>IF(AC41="","",IF(I41=1,VLOOKUP(AC41,男子種目コード!$J$2:$K$30,2,FALSE),IF(I41=2,VLOOKUP(AC41,女子種目コード!$J$2:$K$28,2,FALSE))))</f>
        <v/>
      </c>
      <c r="AE41" s="818"/>
      <c r="AF41" s="831"/>
      <c r="AG41" s="322" t="str">
        <f>IF(AF41="","",IF(I41=1,VLOOKUP(AF41,男子種目コード!$J$2:$K$30,2,FALSE),IF(I41=2,VLOOKUP(AF41,女子種目コード!$J$2:$K$28,2,FALSE))))</f>
        <v/>
      </c>
      <c r="AH41" s="819"/>
      <c r="AI41" s="20"/>
      <c r="AJ41" s="20"/>
      <c r="AK41" s="19"/>
      <c r="AL41" s="11"/>
      <c r="AM41" s="848" t="str">
        <f t="shared" si="8"/>
        <v/>
      </c>
      <c r="AN41" s="57" t="str">
        <f t="shared" si="9"/>
        <v/>
      </c>
      <c r="AO41" s="444" t="s">
        <v>461</v>
      </c>
      <c r="AP41" s="879">
        <f>COUNTIF($P$7:$P$116,51)+COUNTIF($V$7:$V$116,51)</f>
        <v>0</v>
      </c>
      <c r="AQ41" s="395"/>
      <c r="AR41" s="855">
        <v>100</v>
      </c>
      <c r="AS41" s="856" t="s">
        <v>542</v>
      </c>
      <c r="AU41" s="11"/>
      <c r="AV41" s="79"/>
      <c r="AX41" s="331">
        <f t="shared" si="10"/>
        <v>0</v>
      </c>
      <c r="AY41" s="224"/>
      <c r="AZ41" s="224"/>
      <c r="BA41" s="224"/>
      <c r="BB41" s="224"/>
      <c r="BC41" s="19">
        <f t="shared" si="11"/>
        <v>0</v>
      </c>
      <c r="BD41" s="19" t="str">
        <f t="shared" si="12"/>
        <v/>
      </c>
      <c r="BE41" s="19" t="str">
        <f t="shared" si="13"/>
        <v/>
      </c>
    </row>
    <row r="42" spans="2:57" ht="14.25" thickBot="1">
      <c r="B42" s="322" t="str">
        <f>名簿!P39</f>
        <v/>
      </c>
      <c r="C42" s="825"/>
      <c r="D42" s="825"/>
      <c r="E42" s="1321">
        <f>名簿!E39</f>
        <v>0</v>
      </c>
      <c r="F42" s="563" t="str">
        <f>名簿!CM39</f>
        <v/>
      </c>
      <c r="G42" s="322" t="str">
        <f>名簿!Z39</f>
        <v/>
      </c>
      <c r="H42" s="322" t="str">
        <f>名簿!CM39</f>
        <v/>
      </c>
      <c r="I42" s="323" t="str">
        <f>名簿!Y39</f>
        <v/>
      </c>
      <c r="J42" s="323" t="str">
        <f>名簿!CN39</f>
        <v/>
      </c>
      <c r="K42" s="900">
        <f>名簿!CP39</f>
        <v>0</v>
      </c>
      <c r="L42" s="901" t="str">
        <f>名簿!CU39</f>
        <v>00</v>
      </c>
      <c r="M42" s="322" t="str">
        <f>名簿!Q39</f>
        <v/>
      </c>
      <c r="N42" s="1315">
        <f>名簿!D39</f>
        <v>0</v>
      </c>
      <c r="O42" s="327"/>
      <c r="P42" s="258" t="str">
        <f>IF(O42="","",IF(I42=1,VLOOKUP(O42,男子種目コード!$P$1:$Q$26,2,FALSE),IF(I42=2,VLOOKUP(O42,女子種目コード!$P$1:$Q$26,2,FALSE))))</f>
        <v/>
      </c>
      <c r="Q42" s="494" t="str">
        <f>IF(O42="","",HLOOKUP(O42,名簿!$AH$3:$CH$118,37,FALSE))</f>
        <v/>
      </c>
      <c r="R42" s="1002"/>
      <c r="S42" s="843" t="str">
        <f t="shared" si="4"/>
        <v/>
      </c>
      <c r="T42" s="844" t="str">
        <f t="shared" si="5"/>
        <v/>
      </c>
      <c r="U42" s="327"/>
      <c r="V42" s="258" t="str">
        <f>IF(U42="","",IF(I42=1,VLOOKUP(U42,男子種目コード!$P$1:$Q$26,2,FALSE),IF(I42=2,VLOOKUP(U42,女子種目コード!$P$1:$Q$26,2,FALSE))))</f>
        <v/>
      </c>
      <c r="W42" s="494" t="str">
        <f>IF(U42="","",HLOOKUP(U42,名簿!$AH$3:$CH$118,37,FALSE))</f>
        <v/>
      </c>
      <c r="X42" s="1004"/>
      <c r="Y42" s="843" t="str">
        <f t="shared" si="6"/>
        <v/>
      </c>
      <c r="Z42" s="844" t="str">
        <f t="shared" si="7"/>
        <v/>
      </c>
      <c r="AA42" s="569" t="str">
        <f>IF(X42="","",IF(I42=1,VLOOKUP(X42,男子種目コード!$J$2:$K$30,2,FALSE),IF(I42=2,VLOOKUP(X42,女子種目コード!$J$2:$K$28,2,FALSE))))</f>
        <v/>
      </c>
      <c r="AB42" s="818"/>
      <c r="AC42" s="831"/>
      <c r="AD42" s="322" t="str">
        <f>IF(AC42="","",IF(I42=1,VLOOKUP(AC42,男子種目コード!$J$2:$K$30,2,FALSE),IF(I42=2,VLOOKUP(AC42,女子種目コード!$J$2:$K$28,2,FALSE))))</f>
        <v/>
      </c>
      <c r="AE42" s="818"/>
      <c r="AF42" s="831"/>
      <c r="AG42" s="322" t="str">
        <f>IF(AF42="","",IF(I42=1,VLOOKUP(AF42,男子種目コード!$J$2:$K$30,2,FALSE),IF(I42=2,VLOOKUP(AF42,女子種目コード!$J$2:$K$28,2,FALSE))))</f>
        <v/>
      </c>
      <c r="AH42" s="819"/>
      <c r="AI42" s="20"/>
      <c r="AJ42" s="20"/>
      <c r="AK42" s="19"/>
      <c r="AL42" s="11"/>
      <c r="AM42" s="848" t="str">
        <f t="shared" si="8"/>
        <v/>
      </c>
      <c r="AN42" s="57" t="str">
        <f t="shared" si="9"/>
        <v/>
      </c>
      <c r="AO42" s="573" t="s">
        <v>262</v>
      </c>
      <c r="AP42" s="881">
        <f>SUM(AP26:AP41)</f>
        <v>0</v>
      </c>
      <c r="AQ42" s="395"/>
      <c r="AR42" s="857">
        <v>1500</v>
      </c>
      <c r="AS42" s="858" t="s">
        <v>543</v>
      </c>
      <c r="AU42" s="11"/>
      <c r="AV42" s="11"/>
      <c r="AX42" s="331">
        <f t="shared" si="10"/>
        <v>0</v>
      </c>
      <c r="AY42" s="224"/>
      <c r="AZ42" s="224"/>
      <c r="BA42" s="224"/>
      <c r="BB42" s="224"/>
      <c r="BC42" s="19">
        <f t="shared" si="11"/>
        <v>0</v>
      </c>
      <c r="BD42" s="19" t="str">
        <f t="shared" si="12"/>
        <v/>
      </c>
      <c r="BE42" s="19" t="str">
        <f t="shared" si="13"/>
        <v/>
      </c>
    </row>
    <row r="43" spans="2:57">
      <c r="B43" s="322" t="str">
        <f>名簿!P40</f>
        <v/>
      </c>
      <c r="C43" s="825"/>
      <c r="D43" s="825"/>
      <c r="E43" s="1321">
        <f>名簿!E40</f>
        <v>0</v>
      </c>
      <c r="F43" s="563" t="str">
        <f>名簿!CM40</f>
        <v/>
      </c>
      <c r="G43" s="322" t="str">
        <f>名簿!Z40</f>
        <v/>
      </c>
      <c r="H43" s="322" t="str">
        <f>名簿!CM40</f>
        <v/>
      </c>
      <c r="I43" s="323" t="str">
        <f>名簿!Y40</f>
        <v/>
      </c>
      <c r="J43" s="323" t="str">
        <f>名簿!CN40</f>
        <v/>
      </c>
      <c r="K43" s="900">
        <f>名簿!CP40</f>
        <v>0</v>
      </c>
      <c r="L43" s="901" t="str">
        <f>名簿!CU40</f>
        <v>00</v>
      </c>
      <c r="M43" s="322" t="str">
        <f>名簿!Q40</f>
        <v/>
      </c>
      <c r="N43" s="1315">
        <f>名簿!D40</f>
        <v>0</v>
      </c>
      <c r="O43" s="327"/>
      <c r="P43" s="258" t="str">
        <f>IF(O43="","",IF(I43=1,VLOOKUP(O43,男子種目コード!$P$1:$Q$26,2,FALSE),IF(I43=2,VLOOKUP(O43,女子種目コード!$P$1:$Q$26,2,FALSE))))</f>
        <v/>
      </c>
      <c r="Q43" s="494" t="str">
        <f>IF(O43="","",HLOOKUP(O43,名簿!$AH$3:$CH$118,38,FALSE))</f>
        <v/>
      </c>
      <c r="R43" s="1002"/>
      <c r="S43" s="843" t="str">
        <f t="shared" si="4"/>
        <v/>
      </c>
      <c r="T43" s="844" t="str">
        <f t="shared" si="5"/>
        <v/>
      </c>
      <c r="U43" s="327"/>
      <c r="V43" s="258" t="str">
        <f>IF(U43="","",IF(I43=1,VLOOKUP(U43,男子種目コード!$P$1:$Q$26,2,FALSE),IF(I43=2,VLOOKUP(U43,女子種目コード!$P$1:$Q$26,2,FALSE))))</f>
        <v/>
      </c>
      <c r="W43" s="494" t="str">
        <f>IF(U43="","",HLOOKUP(U43,名簿!$AH$3:$CH$118,38,FALSE))</f>
        <v/>
      </c>
      <c r="X43" s="1004"/>
      <c r="Y43" s="843" t="str">
        <f t="shared" si="6"/>
        <v/>
      </c>
      <c r="Z43" s="844" t="str">
        <f t="shared" si="7"/>
        <v/>
      </c>
      <c r="AA43" s="569" t="str">
        <f>IF(X43="","",IF(I43=1,VLOOKUP(X43,男子種目コード!$J$2:$K$30,2,FALSE),IF(I43=2,VLOOKUP(X43,女子種目コード!$J$2:$K$28,2,FALSE))))</f>
        <v/>
      </c>
      <c r="AB43" s="818"/>
      <c r="AC43" s="831"/>
      <c r="AD43" s="322" t="str">
        <f>IF(AC43="","",IF(I43=1,VLOOKUP(AC43,男子種目コード!$J$2:$K$30,2,FALSE),IF(I43=2,VLOOKUP(AC43,女子種目コード!$J$2:$K$28,2,FALSE))))</f>
        <v/>
      </c>
      <c r="AE43" s="818"/>
      <c r="AF43" s="831"/>
      <c r="AG43" s="322" t="str">
        <f>IF(AF43="","",IF(I43=1,VLOOKUP(AF43,男子種目コード!$J$2:$K$30,2,FALSE),IF(I43=2,VLOOKUP(AF43,女子種目コード!$J$2:$K$28,2,FALSE))))</f>
        <v/>
      </c>
      <c r="AH43" s="819"/>
      <c r="AI43" s="20"/>
      <c r="AJ43" s="20"/>
      <c r="AK43" s="19"/>
      <c r="AL43" s="838"/>
      <c r="AM43" s="848" t="str">
        <f t="shared" si="8"/>
        <v/>
      </c>
      <c r="AN43" s="57" t="str">
        <f t="shared" si="9"/>
        <v/>
      </c>
      <c r="AO43" s="849"/>
      <c r="AP43" s="867"/>
      <c r="AQ43" s="395"/>
      <c r="AR43" s="857" t="s">
        <v>326</v>
      </c>
      <c r="AS43" s="858" t="s">
        <v>544</v>
      </c>
      <c r="AU43" s="22"/>
      <c r="AV43" s="11"/>
      <c r="AX43" s="331">
        <f t="shared" si="10"/>
        <v>0</v>
      </c>
      <c r="AY43" s="224"/>
      <c r="AZ43" s="224"/>
      <c r="BA43" s="224"/>
      <c r="BB43" s="224"/>
      <c r="BC43" s="19">
        <f t="shared" si="11"/>
        <v>0</v>
      </c>
      <c r="BD43" s="19" t="str">
        <f t="shared" si="12"/>
        <v/>
      </c>
      <c r="BE43" s="19" t="str">
        <f t="shared" si="13"/>
        <v/>
      </c>
    </row>
    <row r="44" spans="2:57">
      <c r="B44" s="322" t="str">
        <f>名簿!P41</f>
        <v/>
      </c>
      <c r="C44" s="825"/>
      <c r="D44" s="825"/>
      <c r="E44" s="1321">
        <f>名簿!E41</f>
        <v>0</v>
      </c>
      <c r="F44" s="563" t="str">
        <f>名簿!CM41</f>
        <v/>
      </c>
      <c r="G44" s="322" t="str">
        <f>名簿!Z41</f>
        <v/>
      </c>
      <c r="H44" s="322" t="str">
        <f>名簿!CM41</f>
        <v/>
      </c>
      <c r="I44" s="323" t="str">
        <f>名簿!Y41</f>
        <v/>
      </c>
      <c r="J44" s="323" t="str">
        <f>名簿!CN41</f>
        <v/>
      </c>
      <c r="K44" s="900">
        <f>名簿!CP41</f>
        <v>0</v>
      </c>
      <c r="L44" s="901" t="str">
        <f>名簿!CU41</f>
        <v>00</v>
      </c>
      <c r="M44" s="322" t="str">
        <f>名簿!Q41</f>
        <v/>
      </c>
      <c r="N44" s="1315">
        <f>名簿!D41</f>
        <v>0</v>
      </c>
      <c r="O44" s="327"/>
      <c r="P44" s="258" t="str">
        <f>IF(O44="","",IF(I44=1,VLOOKUP(O44,男子種目コード!$P$1:$Q$26,2,FALSE),IF(I44=2,VLOOKUP(O44,女子種目コード!$P$1:$Q$26,2,FALSE))))</f>
        <v/>
      </c>
      <c r="Q44" s="494" t="str">
        <f>IF(O44="","",HLOOKUP(O44,名簿!$AH$3:$CH$118,39,FALSE))</f>
        <v/>
      </c>
      <c r="R44" s="1002"/>
      <c r="S44" s="843" t="str">
        <f t="shared" si="4"/>
        <v/>
      </c>
      <c r="T44" s="844" t="str">
        <f t="shared" si="5"/>
        <v/>
      </c>
      <c r="U44" s="327"/>
      <c r="V44" s="258" t="str">
        <f>IF(U44="","",IF(I44=1,VLOOKUP(U44,男子種目コード!$P$1:$Q$26,2,FALSE),IF(I44=2,VLOOKUP(U44,女子種目コード!$P$1:$Q$26,2,FALSE))))</f>
        <v/>
      </c>
      <c r="W44" s="494" t="str">
        <f>IF(U44="","",HLOOKUP(U44,名簿!$AH$3:$CH$118,39,FALSE))</f>
        <v/>
      </c>
      <c r="X44" s="1004"/>
      <c r="Y44" s="843" t="str">
        <f t="shared" si="6"/>
        <v/>
      </c>
      <c r="Z44" s="844" t="str">
        <f t="shared" si="7"/>
        <v/>
      </c>
      <c r="AA44" s="569" t="str">
        <f>IF(X44="","",IF(I44=1,VLOOKUP(X44,男子種目コード!$J$2:$K$30,2,FALSE),IF(I44=2,VLOOKUP(X44,女子種目コード!$J$2:$K$28,2,FALSE))))</f>
        <v/>
      </c>
      <c r="AB44" s="818"/>
      <c r="AC44" s="831"/>
      <c r="AD44" s="322" t="str">
        <f>IF(AC44="","",IF(I44=1,VLOOKUP(AC44,男子種目コード!$J$2:$K$30,2,FALSE),IF(I44=2,VLOOKUP(AC44,女子種目コード!$J$2:$K$28,2,FALSE))))</f>
        <v/>
      </c>
      <c r="AE44" s="818"/>
      <c r="AF44" s="831"/>
      <c r="AG44" s="322" t="str">
        <f>IF(AF44="","",IF(I44=1,VLOOKUP(AF44,男子種目コード!$J$2:$K$30,2,FALSE),IF(I44=2,VLOOKUP(AF44,女子種目コード!$J$2:$K$28,2,FALSE))))</f>
        <v/>
      </c>
      <c r="AH44" s="819"/>
      <c r="AI44" s="20"/>
      <c r="AJ44" s="20"/>
      <c r="AK44" s="19"/>
      <c r="AL44" s="838"/>
      <c r="AM44" s="848" t="str">
        <f t="shared" si="8"/>
        <v/>
      </c>
      <c r="AN44" s="57" t="str">
        <f t="shared" si="9"/>
        <v/>
      </c>
      <c r="AO44" s="1170"/>
      <c r="AP44" s="1170"/>
      <c r="AQ44" s="395"/>
      <c r="AR44" s="857" t="s">
        <v>19</v>
      </c>
      <c r="AS44" s="864" t="s">
        <v>545</v>
      </c>
      <c r="AU44" s="22"/>
      <c r="AV44" s="22"/>
      <c r="AX44" s="331">
        <f t="shared" si="10"/>
        <v>0</v>
      </c>
      <c r="AY44" s="224"/>
      <c r="AZ44" s="224"/>
      <c r="BA44" s="224"/>
      <c r="BB44" s="224"/>
      <c r="BC44" s="19">
        <f t="shared" si="11"/>
        <v>0</v>
      </c>
      <c r="BD44" s="19" t="str">
        <f t="shared" si="12"/>
        <v/>
      </c>
      <c r="BE44" s="19" t="str">
        <f t="shared" si="13"/>
        <v/>
      </c>
    </row>
    <row r="45" spans="2:57">
      <c r="B45" s="322" t="str">
        <f>名簿!P42</f>
        <v/>
      </c>
      <c r="C45" s="825"/>
      <c r="D45" s="825"/>
      <c r="E45" s="1321">
        <f>名簿!E42</f>
        <v>0</v>
      </c>
      <c r="F45" s="563" t="str">
        <f>名簿!CM42</f>
        <v/>
      </c>
      <c r="G45" s="322" t="str">
        <f>名簿!Z42</f>
        <v/>
      </c>
      <c r="H45" s="322" t="str">
        <f>名簿!CM42</f>
        <v/>
      </c>
      <c r="I45" s="323" t="str">
        <f>名簿!Y42</f>
        <v/>
      </c>
      <c r="J45" s="323" t="str">
        <f>名簿!CN42</f>
        <v/>
      </c>
      <c r="K45" s="900">
        <f>名簿!CP42</f>
        <v>0</v>
      </c>
      <c r="L45" s="901" t="str">
        <f>名簿!CU42</f>
        <v>00</v>
      </c>
      <c r="M45" s="322" t="str">
        <f>名簿!Q42</f>
        <v/>
      </c>
      <c r="N45" s="1315">
        <f>名簿!D42</f>
        <v>0</v>
      </c>
      <c r="O45" s="327"/>
      <c r="P45" s="258" t="str">
        <f>IF(O45="","",IF(I45=1,VLOOKUP(O45,男子種目コード!$P$1:$Q$26,2,FALSE),IF(I45=2,VLOOKUP(O45,女子種目コード!$P$1:$Q$26,2,FALSE))))</f>
        <v/>
      </c>
      <c r="Q45" s="494" t="str">
        <f>IF(O45="","",HLOOKUP(O45,名簿!$AH$3:$CH$118,40,FALSE))</f>
        <v/>
      </c>
      <c r="R45" s="1002"/>
      <c r="S45" s="843" t="str">
        <f t="shared" si="4"/>
        <v/>
      </c>
      <c r="T45" s="844" t="str">
        <f t="shared" si="5"/>
        <v/>
      </c>
      <c r="U45" s="327"/>
      <c r="V45" s="258" t="str">
        <f>IF(U45="","",IF(I45=1,VLOOKUP(U45,男子種目コード!$P$1:$Q$26,2,FALSE),IF(I45=2,VLOOKUP(U45,女子種目コード!$P$1:$Q$26,2,FALSE))))</f>
        <v/>
      </c>
      <c r="W45" s="494" t="str">
        <f>IF(U45="","",HLOOKUP(U45,名簿!$AH$3:$CH$118,40,FALSE))</f>
        <v/>
      </c>
      <c r="X45" s="1004"/>
      <c r="Y45" s="843" t="str">
        <f t="shared" si="6"/>
        <v/>
      </c>
      <c r="Z45" s="844" t="str">
        <f t="shared" si="7"/>
        <v/>
      </c>
      <c r="AA45" s="569" t="str">
        <f>IF(X45="","",IF(I45=1,VLOOKUP(X45,男子種目コード!$J$2:$K$30,2,FALSE),IF(I45=2,VLOOKUP(X45,女子種目コード!$J$2:$K$28,2,FALSE))))</f>
        <v/>
      </c>
      <c r="AB45" s="818"/>
      <c r="AC45" s="831"/>
      <c r="AD45" s="322" t="str">
        <f>IF(AC45="","",IF(I45=1,VLOOKUP(AC45,男子種目コード!$J$2:$K$30,2,FALSE),IF(I45=2,VLOOKUP(AC45,女子種目コード!$J$2:$K$28,2,FALSE))))</f>
        <v/>
      </c>
      <c r="AE45" s="818"/>
      <c r="AF45" s="831"/>
      <c r="AG45" s="322" t="str">
        <f>IF(AF45="","",IF(I45=1,VLOOKUP(AF45,男子種目コード!$J$2:$K$30,2,FALSE),IF(I45=2,VLOOKUP(AF45,女子種目コード!$J$2:$K$28,2,FALSE))))</f>
        <v/>
      </c>
      <c r="AH45" s="819"/>
      <c r="AI45" s="20"/>
      <c r="AJ45" s="20"/>
      <c r="AK45" s="19"/>
      <c r="AL45" s="838"/>
      <c r="AM45" s="848" t="str">
        <f t="shared" si="8"/>
        <v/>
      </c>
      <c r="AN45" s="57" t="str">
        <f t="shared" si="9"/>
        <v/>
      </c>
      <c r="AO45" s="1170"/>
      <c r="AP45" s="1170"/>
      <c r="AQ45" s="395"/>
      <c r="AR45" s="857" t="s">
        <v>24</v>
      </c>
      <c r="AS45" s="864" t="s">
        <v>546</v>
      </c>
      <c r="AU45" s="22"/>
      <c r="AV45" s="22"/>
      <c r="AX45" s="331">
        <f t="shared" si="10"/>
        <v>0</v>
      </c>
      <c r="AY45" s="224"/>
      <c r="AZ45" s="224"/>
      <c r="BA45" s="224"/>
      <c r="BB45" s="224"/>
      <c r="BC45" s="19">
        <f t="shared" si="11"/>
        <v>0</v>
      </c>
      <c r="BD45" s="19" t="str">
        <f t="shared" si="12"/>
        <v/>
      </c>
      <c r="BE45" s="19" t="str">
        <f t="shared" si="13"/>
        <v/>
      </c>
    </row>
    <row r="46" spans="2:57">
      <c r="B46" s="322" t="str">
        <f>名簿!P43</f>
        <v/>
      </c>
      <c r="C46" s="825"/>
      <c r="D46" s="825"/>
      <c r="E46" s="1321">
        <f>名簿!E43</f>
        <v>0</v>
      </c>
      <c r="F46" s="563" t="str">
        <f>名簿!CM43</f>
        <v/>
      </c>
      <c r="G46" s="322" t="str">
        <f>名簿!Z43</f>
        <v/>
      </c>
      <c r="H46" s="322" t="str">
        <f>名簿!CM43</f>
        <v/>
      </c>
      <c r="I46" s="323" t="str">
        <f>名簿!Y43</f>
        <v/>
      </c>
      <c r="J46" s="323" t="str">
        <f>名簿!CN43</f>
        <v/>
      </c>
      <c r="K46" s="900">
        <f>名簿!CP43</f>
        <v>0</v>
      </c>
      <c r="L46" s="901" t="str">
        <f>名簿!CU43</f>
        <v>00</v>
      </c>
      <c r="M46" s="322" t="str">
        <f>名簿!Q43</f>
        <v/>
      </c>
      <c r="N46" s="1315">
        <f>名簿!D43</f>
        <v>0</v>
      </c>
      <c r="O46" s="327"/>
      <c r="P46" s="258" t="str">
        <f>IF(O46="","",IF(I46=1,VLOOKUP(O46,男子種目コード!$P$1:$Q$26,2,FALSE),IF(I46=2,VLOOKUP(O46,女子種目コード!$P$1:$Q$26,2,FALSE))))</f>
        <v/>
      </c>
      <c r="Q46" s="494" t="str">
        <f>IF(O46="","",HLOOKUP(O46,名簿!$AH$3:$CH$118,41,FALSE))</f>
        <v/>
      </c>
      <c r="R46" s="1002"/>
      <c r="S46" s="843" t="str">
        <f t="shared" si="4"/>
        <v/>
      </c>
      <c r="T46" s="844" t="str">
        <f t="shared" si="5"/>
        <v/>
      </c>
      <c r="U46" s="327"/>
      <c r="V46" s="258" t="str">
        <f>IF(U46="","",IF(I46=1,VLOOKUP(U46,男子種目コード!$P$1:$Q$26,2,FALSE),IF(I46=2,VLOOKUP(U46,女子種目コード!$P$1:$Q$26,2,FALSE))))</f>
        <v/>
      </c>
      <c r="W46" s="494" t="str">
        <f>IF(U46="","",HLOOKUP(U46,名簿!$AH$3:$CH$118,41,FALSE))</f>
        <v/>
      </c>
      <c r="X46" s="1004"/>
      <c r="Y46" s="843" t="str">
        <f t="shared" si="6"/>
        <v/>
      </c>
      <c r="Z46" s="844" t="str">
        <f t="shared" si="7"/>
        <v/>
      </c>
      <c r="AA46" s="569" t="str">
        <f>IF(X46="","",IF(I46=1,VLOOKUP(X46,男子種目コード!$J$2:$K$30,2,FALSE),IF(I46=2,VLOOKUP(X46,女子種目コード!$J$2:$K$28,2,FALSE))))</f>
        <v/>
      </c>
      <c r="AB46" s="818"/>
      <c r="AC46" s="831"/>
      <c r="AD46" s="322" t="str">
        <f>IF(AC46="","",IF(I46=1,VLOOKUP(AC46,男子種目コード!$J$2:$K$30,2,FALSE),IF(I46=2,VLOOKUP(AC46,女子種目コード!$J$2:$K$28,2,FALSE))))</f>
        <v/>
      </c>
      <c r="AE46" s="818"/>
      <c r="AF46" s="831"/>
      <c r="AG46" s="322" t="str">
        <f>IF(AF46="","",IF(I46=1,VLOOKUP(AF46,男子種目コード!$J$2:$K$30,2,FALSE),IF(I46=2,VLOOKUP(AF46,女子種目コード!$J$2:$K$28,2,FALSE))))</f>
        <v/>
      </c>
      <c r="AH46" s="819"/>
      <c r="AI46" s="20"/>
      <c r="AJ46" s="20"/>
      <c r="AK46" s="19"/>
      <c r="AL46" s="838"/>
      <c r="AM46" s="848" t="str">
        <f t="shared" si="8"/>
        <v/>
      </c>
      <c r="AN46" s="57" t="str">
        <f t="shared" si="9"/>
        <v/>
      </c>
      <c r="AO46" s="850"/>
      <c r="AP46" s="399"/>
      <c r="AQ46" s="396"/>
      <c r="AR46" s="857" t="s">
        <v>22</v>
      </c>
      <c r="AS46" s="864" t="s">
        <v>540</v>
      </c>
      <c r="AU46" s="22"/>
      <c r="AV46" s="22"/>
      <c r="AX46" s="331">
        <f t="shared" si="10"/>
        <v>0</v>
      </c>
      <c r="AY46" s="224"/>
      <c r="AZ46" s="224"/>
      <c r="BA46" s="224"/>
      <c r="BB46" s="224"/>
      <c r="BC46" s="19">
        <f t="shared" si="11"/>
        <v>0</v>
      </c>
      <c r="BD46" s="19" t="str">
        <f t="shared" si="12"/>
        <v/>
      </c>
      <c r="BE46" s="19" t="str">
        <f t="shared" si="13"/>
        <v/>
      </c>
    </row>
    <row r="47" spans="2:57" ht="14.25" thickBot="1">
      <c r="B47" s="322" t="str">
        <f>名簿!P44</f>
        <v/>
      </c>
      <c r="C47" s="825"/>
      <c r="D47" s="825"/>
      <c r="E47" s="1321">
        <f>名簿!E44</f>
        <v>0</v>
      </c>
      <c r="F47" s="563" t="str">
        <f>名簿!CM44</f>
        <v/>
      </c>
      <c r="G47" s="322" t="str">
        <f>名簿!Z44</f>
        <v/>
      </c>
      <c r="H47" s="322" t="str">
        <f>名簿!CM44</f>
        <v/>
      </c>
      <c r="I47" s="323" t="str">
        <f>名簿!Y44</f>
        <v/>
      </c>
      <c r="J47" s="323" t="str">
        <f>名簿!CN44</f>
        <v/>
      </c>
      <c r="K47" s="900">
        <f>名簿!CP44</f>
        <v>0</v>
      </c>
      <c r="L47" s="901" t="str">
        <f>名簿!CU44</f>
        <v>00</v>
      </c>
      <c r="M47" s="322" t="str">
        <f>名簿!Q44</f>
        <v/>
      </c>
      <c r="N47" s="1315">
        <f>名簿!D44</f>
        <v>0</v>
      </c>
      <c r="O47" s="327"/>
      <c r="P47" s="258" t="str">
        <f>IF(O47="","",IF(I47=1,VLOOKUP(O47,男子種目コード!$P$1:$Q$26,2,FALSE),IF(I47=2,VLOOKUP(O47,女子種目コード!$P$1:$Q$26,2,FALSE))))</f>
        <v/>
      </c>
      <c r="Q47" s="494" t="str">
        <f>IF(O47="","",HLOOKUP(O47,名簿!$AH$3:$CH$118,42,FALSE))</f>
        <v/>
      </c>
      <c r="R47" s="1002"/>
      <c r="S47" s="843" t="str">
        <f t="shared" si="4"/>
        <v/>
      </c>
      <c r="T47" s="844" t="str">
        <f t="shared" si="5"/>
        <v/>
      </c>
      <c r="U47" s="327"/>
      <c r="V47" s="258" t="str">
        <f>IF(U47="","",IF(I47=1,VLOOKUP(U47,男子種目コード!$P$1:$Q$26,2,FALSE),IF(I47=2,VLOOKUP(U47,女子種目コード!$P$1:$Q$26,2,FALSE))))</f>
        <v/>
      </c>
      <c r="W47" s="494" t="str">
        <f>IF(U47="","",HLOOKUP(U47,名簿!$AH$3:$CH$118,42,FALSE))</f>
        <v/>
      </c>
      <c r="X47" s="1004"/>
      <c r="Y47" s="843" t="str">
        <f t="shared" si="6"/>
        <v/>
      </c>
      <c r="Z47" s="844" t="str">
        <f t="shared" si="7"/>
        <v/>
      </c>
      <c r="AA47" s="569" t="str">
        <f>IF(X47="","",IF(I47=1,VLOOKUP(X47,男子種目コード!$J$2:$K$30,2,FALSE),IF(I47=2,VLOOKUP(X47,女子種目コード!$J$2:$K$28,2,FALSE))))</f>
        <v/>
      </c>
      <c r="AB47" s="818"/>
      <c r="AC47" s="831"/>
      <c r="AD47" s="322" t="str">
        <f>IF(AC47="","",IF(I47=1,VLOOKUP(AC47,男子種目コード!$J$2:$K$30,2,FALSE),IF(I47=2,VLOOKUP(AC47,女子種目コード!$J$2:$K$28,2,FALSE))))</f>
        <v/>
      </c>
      <c r="AE47" s="818"/>
      <c r="AF47" s="831"/>
      <c r="AG47" s="322" t="str">
        <f>IF(AF47="","",IF(I47=1,VLOOKUP(AF47,男子種目コード!$J$2:$K$30,2,FALSE),IF(I47=2,VLOOKUP(AF47,女子種目コード!$J$2:$K$28,2,FALSE))))</f>
        <v/>
      </c>
      <c r="AH47" s="819"/>
      <c r="AI47" s="20"/>
      <c r="AJ47" s="20"/>
      <c r="AK47" s="19"/>
      <c r="AL47" s="838"/>
      <c r="AM47" s="848" t="str">
        <f t="shared" si="8"/>
        <v/>
      </c>
      <c r="AN47" s="57" t="str">
        <f t="shared" si="9"/>
        <v/>
      </c>
      <c r="AO47" s="850"/>
      <c r="AP47" s="399"/>
      <c r="AQ47" s="397"/>
      <c r="AR47" s="863" t="s">
        <v>99</v>
      </c>
      <c r="AS47" s="865" t="s">
        <v>541</v>
      </c>
      <c r="AU47" s="22"/>
      <c r="AV47" s="22"/>
      <c r="AX47" s="331">
        <f t="shared" si="10"/>
        <v>0</v>
      </c>
      <c r="AY47" s="224"/>
      <c r="AZ47" s="224"/>
      <c r="BA47" s="224"/>
      <c r="BB47" s="224"/>
      <c r="BC47" s="19">
        <f t="shared" si="11"/>
        <v>0</v>
      </c>
      <c r="BD47" s="19" t="str">
        <f t="shared" si="12"/>
        <v/>
      </c>
      <c r="BE47" s="19" t="str">
        <f t="shared" si="13"/>
        <v/>
      </c>
    </row>
    <row r="48" spans="2:57" ht="14.25" thickBot="1">
      <c r="B48" s="322" t="str">
        <f>名簿!P45</f>
        <v/>
      </c>
      <c r="C48" s="825"/>
      <c r="D48" s="825"/>
      <c r="E48" s="1321">
        <f>名簿!E45</f>
        <v>0</v>
      </c>
      <c r="F48" s="563" t="str">
        <f>名簿!CM45</f>
        <v/>
      </c>
      <c r="G48" s="322" t="str">
        <f>名簿!Z45</f>
        <v/>
      </c>
      <c r="H48" s="322" t="str">
        <f>名簿!CM45</f>
        <v/>
      </c>
      <c r="I48" s="323" t="str">
        <f>名簿!Y45</f>
        <v/>
      </c>
      <c r="J48" s="323" t="str">
        <f>名簿!CN45</f>
        <v/>
      </c>
      <c r="K48" s="900">
        <f>名簿!CP45</f>
        <v>0</v>
      </c>
      <c r="L48" s="901" t="str">
        <f>名簿!CU45</f>
        <v>00</v>
      </c>
      <c r="M48" s="322" t="str">
        <f>名簿!Q45</f>
        <v/>
      </c>
      <c r="N48" s="1315">
        <f>名簿!D45</f>
        <v>0</v>
      </c>
      <c r="O48" s="327"/>
      <c r="P48" s="258" t="str">
        <f>IF(O48="","",IF(I48=1,VLOOKUP(O48,男子種目コード!$P$1:$Q$26,2,FALSE),IF(I48=2,VLOOKUP(O48,女子種目コード!$P$1:$Q$26,2,FALSE))))</f>
        <v/>
      </c>
      <c r="Q48" s="494" t="str">
        <f>IF(O48="","",HLOOKUP(O48,名簿!$AH$3:$CH$118,43,FALSE))</f>
        <v/>
      </c>
      <c r="R48" s="1002"/>
      <c r="S48" s="843" t="str">
        <f t="shared" si="4"/>
        <v/>
      </c>
      <c r="T48" s="844" t="str">
        <f t="shared" si="5"/>
        <v/>
      </c>
      <c r="U48" s="327"/>
      <c r="V48" s="258" t="str">
        <f>IF(U48="","",IF(I48=1,VLOOKUP(U48,男子種目コード!$P$1:$Q$26,2,FALSE),IF(I48=2,VLOOKUP(U48,女子種目コード!$P$1:$Q$26,2,FALSE))))</f>
        <v/>
      </c>
      <c r="W48" s="494" t="str">
        <f>IF(U48="","",HLOOKUP(U48,名簿!$AH$3:$CH$118,43,FALSE))</f>
        <v/>
      </c>
      <c r="X48" s="1004"/>
      <c r="Y48" s="843" t="str">
        <f t="shared" si="6"/>
        <v/>
      </c>
      <c r="Z48" s="844" t="str">
        <f t="shared" si="7"/>
        <v/>
      </c>
      <c r="AA48" s="569" t="str">
        <f>IF(X48="","",IF(I48=1,VLOOKUP(X48,男子種目コード!$J$2:$K$30,2,FALSE),IF(I48=2,VLOOKUP(X48,女子種目コード!$J$2:$K$28,2,FALSE))))</f>
        <v/>
      </c>
      <c r="AB48" s="818"/>
      <c r="AC48" s="831"/>
      <c r="AD48" s="322" t="str">
        <f>IF(AC48="","",IF(I48=1,VLOOKUP(AC48,男子種目コード!$J$2:$K$30,2,FALSE),IF(I48=2,VLOOKUP(AC48,女子種目コード!$J$2:$K$28,2,FALSE))))</f>
        <v/>
      </c>
      <c r="AE48" s="818"/>
      <c r="AF48" s="831"/>
      <c r="AG48" s="322" t="str">
        <f>IF(AF48="","",IF(I48=1,VLOOKUP(AF48,男子種目コード!$J$2:$K$30,2,FALSE),IF(I48=2,VLOOKUP(AF48,女子種目コード!$J$2:$K$28,2,FALSE))))</f>
        <v/>
      </c>
      <c r="AH48" s="819"/>
      <c r="AI48" s="20"/>
      <c r="AJ48" s="20"/>
      <c r="AK48" s="19"/>
      <c r="AL48" s="838"/>
      <c r="AM48" s="848" t="str">
        <f t="shared" si="8"/>
        <v/>
      </c>
      <c r="AN48" s="57" t="str">
        <f t="shared" si="9"/>
        <v/>
      </c>
      <c r="AO48" s="850"/>
      <c r="AP48" s="399"/>
      <c r="AQ48" s="398"/>
      <c r="AR48" s="1203" t="s">
        <v>226</v>
      </c>
      <c r="AS48" s="1204"/>
      <c r="AU48" s="22"/>
      <c r="AV48" s="22"/>
      <c r="AX48" s="331">
        <f t="shared" si="10"/>
        <v>0</v>
      </c>
      <c r="AY48" s="224"/>
      <c r="AZ48" s="224"/>
      <c r="BA48" s="224"/>
      <c r="BB48" s="224"/>
      <c r="BC48" s="19">
        <f t="shared" si="11"/>
        <v>0</v>
      </c>
      <c r="BD48" s="19" t="str">
        <f t="shared" si="12"/>
        <v/>
      </c>
      <c r="BE48" s="19" t="str">
        <f t="shared" si="13"/>
        <v/>
      </c>
    </row>
    <row r="49" spans="2:57">
      <c r="B49" s="322" t="str">
        <f>名簿!P46</f>
        <v/>
      </c>
      <c r="C49" s="825"/>
      <c r="D49" s="825"/>
      <c r="E49" s="1321">
        <f>名簿!E46</f>
        <v>0</v>
      </c>
      <c r="F49" s="563" t="str">
        <f>名簿!CM46</f>
        <v/>
      </c>
      <c r="G49" s="322" t="str">
        <f>名簿!Z46</f>
        <v/>
      </c>
      <c r="H49" s="322" t="str">
        <f>名簿!CM46</f>
        <v/>
      </c>
      <c r="I49" s="323" t="str">
        <f>名簿!Y46</f>
        <v/>
      </c>
      <c r="J49" s="323" t="str">
        <f>名簿!CN46</f>
        <v/>
      </c>
      <c r="K49" s="900">
        <f>名簿!CP46</f>
        <v>0</v>
      </c>
      <c r="L49" s="901" t="str">
        <f>名簿!CU46</f>
        <v>00</v>
      </c>
      <c r="M49" s="322" t="str">
        <f>名簿!Q46</f>
        <v/>
      </c>
      <c r="N49" s="1315">
        <f>名簿!D46</f>
        <v>0</v>
      </c>
      <c r="O49" s="327"/>
      <c r="P49" s="258" t="str">
        <f>IF(O49="","",IF(I49=1,VLOOKUP(O49,男子種目コード!$P$1:$Q$26,2,FALSE),IF(I49=2,VLOOKUP(O49,女子種目コード!$P$1:$Q$26,2,FALSE))))</f>
        <v/>
      </c>
      <c r="Q49" s="494" t="str">
        <f>IF(O49="","",HLOOKUP(O49,名簿!$AH$3:$CH$118,44,FALSE))</f>
        <v/>
      </c>
      <c r="R49" s="1002"/>
      <c r="S49" s="843" t="str">
        <f t="shared" si="4"/>
        <v/>
      </c>
      <c r="T49" s="844" t="str">
        <f t="shared" si="5"/>
        <v/>
      </c>
      <c r="U49" s="327"/>
      <c r="V49" s="258" t="str">
        <f>IF(U49="","",IF(I49=1,VLOOKUP(U49,男子種目コード!$P$1:$Q$26,2,FALSE),IF(I49=2,VLOOKUP(U49,女子種目コード!$P$1:$Q$26,2,FALSE))))</f>
        <v/>
      </c>
      <c r="W49" s="494" t="str">
        <f>IF(U49="","",HLOOKUP(U49,名簿!$AH$3:$CH$118,44,FALSE))</f>
        <v/>
      </c>
      <c r="X49" s="1004"/>
      <c r="Y49" s="843" t="str">
        <f t="shared" si="6"/>
        <v/>
      </c>
      <c r="Z49" s="844" t="str">
        <f t="shared" si="7"/>
        <v/>
      </c>
      <c r="AA49" s="569" t="str">
        <f>IF(X49="","",IF(I49=1,VLOOKUP(X49,男子種目コード!$J$2:$K$30,2,FALSE),IF(I49=2,VLOOKUP(X49,女子種目コード!$J$2:$K$28,2,FALSE))))</f>
        <v/>
      </c>
      <c r="AB49" s="818"/>
      <c r="AC49" s="831"/>
      <c r="AD49" s="322" t="str">
        <f>IF(AC49="","",IF(I49=1,VLOOKUP(AC49,男子種目コード!$J$2:$K$30,2,FALSE),IF(I49=2,VLOOKUP(AC49,女子種目コード!$J$2:$K$28,2,FALSE))))</f>
        <v/>
      </c>
      <c r="AE49" s="818"/>
      <c r="AF49" s="831"/>
      <c r="AG49" s="322" t="str">
        <f>IF(AF49="","",IF(I49=1,VLOOKUP(AF49,男子種目コード!$J$2:$K$30,2,FALSE),IF(I49=2,VLOOKUP(AF49,女子種目コード!$J$2:$K$28,2,FALSE))))</f>
        <v/>
      </c>
      <c r="AH49" s="819"/>
      <c r="AI49" s="20"/>
      <c r="AJ49" s="20"/>
      <c r="AK49" s="19"/>
      <c r="AL49" s="838"/>
      <c r="AM49" s="848" t="str">
        <f t="shared" si="8"/>
        <v/>
      </c>
      <c r="AN49" s="57" t="str">
        <f t="shared" si="9"/>
        <v/>
      </c>
      <c r="AO49" s="307"/>
      <c r="AP49" s="339"/>
      <c r="AQ49" s="398"/>
      <c r="AR49" s="855">
        <v>100</v>
      </c>
      <c r="AS49" s="856" t="s">
        <v>547</v>
      </c>
      <c r="AU49" s="22"/>
      <c r="AV49" s="22"/>
      <c r="AX49" s="331">
        <f t="shared" si="10"/>
        <v>0</v>
      </c>
      <c r="AY49" s="224"/>
      <c r="AZ49" s="224"/>
      <c r="BA49" s="224"/>
      <c r="BB49" s="224"/>
      <c r="BC49" s="19">
        <f t="shared" si="11"/>
        <v>0</v>
      </c>
      <c r="BD49" s="19" t="str">
        <f t="shared" si="12"/>
        <v/>
      </c>
      <c r="BE49" s="19" t="str">
        <f t="shared" si="13"/>
        <v/>
      </c>
    </row>
    <row r="50" spans="2:57">
      <c r="B50" s="322" t="str">
        <f>名簿!P47</f>
        <v/>
      </c>
      <c r="C50" s="825"/>
      <c r="D50" s="825"/>
      <c r="E50" s="1321">
        <f>名簿!E47</f>
        <v>0</v>
      </c>
      <c r="F50" s="563" t="str">
        <f>名簿!CM47</f>
        <v/>
      </c>
      <c r="G50" s="322" t="str">
        <f>名簿!Z47</f>
        <v/>
      </c>
      <c r="H50" s="322" t="str">
        <f>名簿!CM47</f>
        <v/>
      </c>
      <c r="I50" s="323" t="str">
        <f>名簿!Y47</f>
        <v/>
      </c>
      <c r="J50" s="323" t="str">
        <f>名簿!CN47</f>
        <v/>
      </c>
      <c r="K50" s="900">
        <f>名簿!CP47</f>
        <v>0</v>
      </c>
      <c r="L50" s="901" t="str">
        <f>名簿!CU47</f>
        <v>00</v>
      </c>
      <c r="M50" s="322" t="str">
        <f>名簿!Q47</f>
        <v/>
      </c>
      <c r="N50" s="1315">
        <f>名簿!D47</f>
        <v>0</v>
      </c>
      <c r="O50" s="327"/>
      <c r="P50" s="258" t="str">
        <f>IF(O50="","",IF(I50=1,VLOOKUP(O50,男子種目コード!$P$1:$Q$26,2,FALSE),IF(I50=2,VLOOKUP(O50,女子種目コード!$P$1:$Q$26,2,FALSE))))</f>
        <v/>
      </c>
      <c r="Q50" s="494" t="str">
        <f>IF(O50="","",HLOOKUP(O50,名簿!$AH$3:$CH$118,45,FALSE))</f>
        <v/>
      </c>
      <c r="R50" s="1002"/>
      <c r="S50" s="843" t="str">
        <f t="shared" si="4"/>
        <v/>
      </c>
      <c r="T50" s="844" t="str">
        <f t="shared" si="5"/>
        <v/>
      </c>
      <c r="U50" s="327"/>
      <c r="V50" s="258" t="str">
        <f>IF(U50="","",IF(I50=1,VLOOKUP(U50,男子種目コード!$P$1:$Q$26,2,FALSE),IF(I50=2,VLOOKUP(U50,女子種目コード!$P$1:$Q$26,2,FALSE))))</f>
        <v/>
      </c>
      <c r="W50" s="494" t="str">
        <f>IF(U50="","",HLOOKUP(U50,名簿!$AH$3:$CH$118,45,FALSE))</f>
        <v/>
      </c>
      <c r="X50" s="1004"/>
      <c r="Y50" s="843" t="str">
        <f t="shared" si="6"/>
        <v/>
      </c>
      <c r="Z50" s="844" t="str">
        <f t="shared" si="7"/>
        <v/>
      </c>
      <c r="AA50" s="569" t="str">
        <f>IF(X50="","",IF(I50=1,VLOOKUP(X50,男子種目コード!$J$2:$K$30,2,FALSE),IF(I50=2,VLOOKUP(X50,女子種目コード!$J$2:$K$28,2,FALSE))))</f>
        <v/>
      </c>
      <c r="AB50" s="818"/>
      <c r="AC50" s="831"/>
      <c r="AD50" s="322" t="str">
        <f>IF(AC50="","",IF(I50=1,VLOOKUP(AC50,男子種目コード!$J$2:$K$30,2,FALSE),IF(I50=2,VLOOKUP(AC50,女子種目コード!$J$2:$K$28,2,FALSE))))</f>
        <v/>
      </c>
      <c r="AE50" s="818"/>
      <c r="AF50" s="831"/>
      <c r="AG50" s="322" t="str">
        <f>IF(AF50="","",IF(I50=1,VLOOKUP(AF50,男子種目コード!$J$2:$K$30,2,FALSE),IF(I50=2,VLOOKUP(AF50,女子種目コード!$J$2:$K$28,2,FALSE))))</f>
        <v/>
      </c>
      <c r="AH50" s="819"/>
      <c r="AI50" s="20"/>
      <c r="AJ50" s="20"/>
      <c r="AK50" s="19"/>
      <c r="AL50" s="838"/>
      <c r="AM50" s="848" t="str">
        <f t="shared" si="8"/>
        <v/>
      </c>
      <c r="AN50" s="57" t="str">
        <f t="shared" si="9"/>
        <v/>
      </c>
      <c r="AO50" s="307"/>
      <c r="AP50" s="339"/>
      <c r="AQ50" s="397"/>
      <c r="AR50" s="857">
        <v>800</v>
      </c>
      <c r="AS50" s="858" t="s">
        <v>548</v>
      </c>
      <c r="AU50" s="22"/>
      <c r="AV50" s="22"/>
      <c r="AX50" s="331">
        <f t="shared" si="10"/>
        <v>0</v>
      </c>
      <c r="AY50" s="224"/>
      <c r="AZ50" s="224"/>
      <c r="BA50" s="224"/>
      <c r="BB50" s="224"/>
      <c r="BC50" s="19">
        <f t="shared" si="11"/>
        <v>0</v>
      </c>
      <c r="BD50" s="19" t="str">
        <f t="shared" si="12"/>
        <v/>
      </c>
      <c r="BE50" s="19" t="str">
        <f t="shared" si="13"/>
        <v/>
      </c>
    </row>
    <row r="51" spans="2:57">
      <c r="B51" s="322" t="str">
        <f>名簿!P48</f>
        <v/>
      </c>
      <c r="C51" s="825"/>
      <c r="D51" s="825"/>
      <c r="E51" s="1321">
        <f>名簿!E48</f>
        <v>0</v>
      </c>
      <c r="F51" s="563" t="str">
        <f>名簿!CM48</f>
        <v/>
      </c>
      <c r="G51" s="322" t="str">
        <f>名簿!Z48</f>
        <v/>
      </c>
      <c r="H51" s="322" t="str">
        <f>名簿!CM48</f>
        <v/>
      </c>
      <c r="I51" s="323" t="str">
        <f>名簿!Y48</f>
        <v/>
      </c>
      <c r="J51" s="323" t="str">
        <f>名簿!CN48</f>
        <v/>
      </c>
      <c r="K51" s="900">
        <f>名簿!CP48</f>
        <v>0</v>
      </c>
      <c r="L51" s="901" t="str">
        <f>名簿!CU48</f>
        <v>00</v>
      </c>
      <c r="M51" s="322" t="str">
        <f>名簿!Q48</f>
        <v/>
      </c>
      <c r="N51" s="1315">
        <f>名簿!D48</f>
        <v>0</v>
      </c>
      <c r="O51" s="327"/>
      <c r="P51" s="258" t="str">
        <f>IF(O51="","",IF(I51=1,VLOOKUP(O51,男子種目コード!$P$1:$Q$26,2,FALSE),IF(I51=2,VLOOKUP(O51,女子種目コード!$P$1:$Q$26,2,FALSE))))</f>
        <v/>
      </c>
      <c r="Q51" s="494" t="str">
        <f>IF(O51="","",HLOOKUP(O51,名簿!$AH$3:$CH$118,46,FALSE))</f>
        <v/>
      </c>
      <c r="R51" s="1002"/>
      <c r="S51" s="843" t="str">
        <f t="shared" si="4"/>
        <v/>
      </c>
      <c r="T51" s="844" t="str">
        <f t="shared" si="5"/>
        <v/>
      </c>
      <c r="U51" s="327"/>
      <c r="V51" s="258" t="str">
        <f>IF(U51="","",IF(I51=1,VLOOKUP(U51,男子種目コード!$P$1:$Q$26,2,FALSE),IF(I51=2,VLOOKUP(U51,女子種目コード!$P$1:$Q$26,2,FALSE))))</f>
        <v/>
      </c>
      <c r="W51" s="494" t="str">
        <f>IF(U51="","",HLOOKUP(U51,名簿!$AH$3:$CH$118,46,FALSE))</f>
        <v/>
      </c>
      <c r="X51" s="1004"/>
      <c r="Y51" s="843" t="str">
        <f t="shared" si="6"/>
        <v/>
      </c>
      <c r="Z51" s="844" t="str">
        <f t="shared" si="7"/>
        <v/>
      </c>
      <c r="AA51" s="569" t="str">
        <f>IF(X51="","",IF(I51=1,VLOOKUP(X51,男子種目コード!$J$2:$K$30,2,FALSE),IF(I51=2,VLOOKUP(X51,女子種目コード!$J$2:$K$28,2,FALSE))))</f>
        <v/>
      </c>
      <c r="AB51" s="818"/>
      <c r="AC51" s="831"/>
      <c r="AD51" s="322" t="str">
        <f>IF(AC51="","",IF(I51=1,VLOOKUP(AC51,男子種目コード!$J$2:$K$30,2,FALSE),IF(I51=2,VLOOKUP(AC51,女子種目コード!$J$2:$K$28,2,FALSE))))</f>
        <v/>
      </c>
      <c r="AE51" s="818"/>
      <c r="AF51" s="831"/>
      <c r="AG51" s="322" t="str">
        <f>IF(AF51="","",IF(I51=1,VLOOKUP(AF51,男子種目コード!$J$2:$K$30,2,FALSE),IF(I51=2,VLOOKUP(AF51,女子種目コード!$J$2:$K$28,2,FALSE))))</f>
        <v/>
      </c>
      <c r="AH51" s="819"/>
      <c r="AI51" s="20"/>
      <c r="AJ51" s="20"/>
      <c r="AK51" s="19"/>
      <c r="AL51" s="838"/>
      <c r="AM51" s="848" t="str">
        <f t="shared" si="8"/>
        <v/>
      </c>
      <c r="AN51" s="57" t="str">
        <f t="shared" si="9"/>
        <v/>
      </c>
      <c r="AO51" s="307"/>
      <c r="AP51" s="339"/>
      <c r="AQ51" s="398"/>
      <c r="AR51" s="863" t="s">
        <v>19</v>
      </c>
      <c r="AS51" s="865" t="s">
        <v>549</v>
      </c>
      <c r="AU51" s="22"/>
      <c r="AV51" s="22"/>
      <c r="AX51" s="331">
        <f t="shared" si="10"/>
        <v>0</v>
      </c>
      <c r="AY51" s="224"/>
      <c r="AZ51" s="224"/>
      <c r="BA51" s="224"/>
      <c r="BB51" s="224"/>
      <c r="BC51" s="19">
        <f t="shared" si="11"/>
        <v>0</v>
      </c>
      <c r="BD51" s="19" t="str">
        <f t="shared" si="12"/>
        <v/>
      </c>
      <c r="BE51" s="19" t="str">
        <f t="shared" si="13"/>
        <v/>
      </c>
    </row>
    <row r="52" spans="2:57" ht="14.25" thickBot="1">
      <c r="B52" s="322" t="str">
        <f>名簿!P49</f>
        <v/>
      </c>
      <c r="C52" s="825"/>
      <c r="D52" s="825"/>
      <c r="E52" s="1321">
        <f>名簿!E49</f>
        <v>0</v>
      </c>
      <c r="F52" s="563" t="str">
        <f>名簿!CM49</f>
        <v/>
      </c>
      <c r="G52" s="322" t="str">
        <f>名簿!Z49</f>
        <v/>
      </c>
      <c r="H52" s="322" t="str">
        <f>名簿!CM49</f>
        <v/>
      </c>
      <c r="I52" s="323" t="str">
        <f>名簿!Y49</f>
        <v/>
      </c>
      <c r="J52" s="323" t="str">
        <f>名簿!CN49</f>
        <v/>
      </c>
      <c r="K52" s="900">
        <f>名簿!CP49</f>
        <v>0</v>
      </c>
      <c r="L52" s="901" t="str">
        <f>名簿!CU49</f>
        <v>00</v>
      </c>
      <c r="M52" s="322" t="str">
        <f>名簿!Q49</f>
        <v/>
      </c>
      <c r="N52" s="1315">
        <f>名簿!D49</f>
        <v>0</v>
      </c>
      <c r="O52" s="327"/>
      <c r="P52" s="258" t="str">
        <f>IF(O52="","",IF(I52=1,VLOOKUP(O52,男子種目コード!$P$1:$Q$26,2,FALSE),IF(I52=2,VLOOKUP(O52,女子種目コード!$P$1:$Q$26,2,FALSE))))</f>
        <v/>
      </c>
      <c r="Q52" s="494" t="str">
        <f>IF(O52="","",HLOOKUP(O52,名簿!$AH$3:$CH$118,47,FALSE))</f>
        <v/>
      </c>
      <c r="R52" s="1002"/>
      <c r="S52" s="843" t="str">
        <f t="shared" si="4"/>
        <v/>
      </c>
      <c r="T52" s="844" t="str">
        <f t="shared" si="5"/>
        <v/>
      </c>
      <c r="U52" s="327"/>
      <c r="V52" s="258" t="str">
        <f>IF(U52="","",IF(I52=1,VLOOKUP(U52,男子種目コード!$P$1:$Q$26,2,FALSE),IF(I52=2,VLOOKUP(U52,女子種目コード!$P$1:$Q$26,2,FALSE))))</f>
        <v/>
      </c>
      <c r="W52" s="494" t="str">
        <f>IF(U52="","",HLOOKUP(U52,名簿!$AH$3:$CH$118,47,FALSE))</f>
        <v/>
      </c>
      <c r="X52" s="1004"/>
      <c r="Y52" s="843" t="str">
        <f t="shared" si="6"/>
        <v/>
      </c>
      <c r="Z52" s="844" t="str">
        <f t="shared" si="7"/>
        <v/>
      </c>
      <c r="AA52" s="569" t="str">
        <f>IF(X52="","",IF(I52=1,VLOOKUP(X52,男子種目コード!$J$2:$K$30,2,FALSE),IF(I52=2,VLOOKUP(X52,女子種目コード!$J$2:$K$28,2,FALSE))))</f>
        <v/>
      </c>
      <c r="AB52" s="818"/>
      <c r="AC52" s="831"/>
      <c r="AD52" s="322" t="str">
        <f>IF(AC52="","",IF(I52=1,VLOOKUP(AC52,男子種目コード!$J$2:$K$30,2,FALSE),IF(I52=2,VLOOKUP(AC52,女子種目コード!$J$2:$K$28,2,FALSE))))</f>
        <v/>
      </c>
      <c r="AE52" s="818"/>
      <c r="AF52" s="831"/>
      <c r="AG52" s="322" t="str">
        <f>IF(AF52="","",IF(I52=1,VLOOKUP(AF52,男子種目コード!$J$2:$K$30,2,FALSE),IF(I52=2,VLOOKUP(AF52,女子種目コード!$J$2:$K$28,2,FALSE))))</f>
        <v/>
      </c>
      <c r="AH52" s="819"/>
      <c r="AI52" s="20"/>
      <c r="AJ52" s="20"/>
      <c r="AK52" s="19"/>
      <c r="AL52" s="838"/>
      <c r="AM52" s="848" t="str">
        <f t="shared" si="8"/>
        <v/>
      </c>
      <c r="AN52" s="57" t="str">
        <f t="shared" si="9"/>
        <v/>
      </c>
      <c r="AO52" s="307"/>
      <c r="AP52" s="339"/>
      <c r="AQ52" s="339"/>
      <c r="AR52" s="862" t="s">
        <v>95</v>
      </c>
      <c r="AS52" s="866" t="s">
        <v>541</v>
      </c>
      <c r="AU52" s="22"/>
      <c r="AV52" s="22"/>
      <c r="AX52" s="331">
        <f t="shared" si="10"/>
        <v>0</v>
      </c>
      <c r="AY52" s="224"/>
      <c r="AZ52" s="224"/>
      <c r="BA52" s="224"/>
      <c r="BB52" s="224"/>
      <c r="BC52" s="19">
        <f t="shared" si="11"/>
        <v>0</v>
      </c>
      <c r="BD52" s="19" t="str">
        <f t="shared" si="12"/>
        <v/>
      </c>
      <c r="BE52" s="19" t="str">
        <f t="shared" si="13"/>
        <v/>
      </c>
    </row>
    <row r="53" spans="2:57">
      <c r="B53" s="322" t="str">
        <f>名簿!P50</f>
        <v/>
      </c>
      <c r="C53" s="825"/>
      <c r="D53" s="825"/>
      <c r="E53" s="1321">
        <f>名簿!E50</f>
        <v>0</v>
      </c>
      <c r="F53" s="563" t="str">
        <f>名簿!CM50</f>
        <v/>
      </c>
      <c r="G53" s="322" t="str">
        <f>名簿!Z50</f>
        <v/>
      </c>
      <c r="H53" s="322" t="str">
        <f>名簿!CM50</f>
        <v/>
      </c>
      <c r="I53" s="323" t="str">
        <f>名簿!Y50</f>
        <v/>
      </c>
      <c r="J53" s="323" t="str">
        <f>名簿!CN50</f>
        <v/>
      </c>
      <c r="K53" s="900">
        <f>名簿!CP50</f>
        <v>0</v>
      </c>
      <c r="L53" s="901" t="str">
        <f>名簿!CU50</f>
        <v>00</v>
      </c>
      <c r="M53" s="322" t="str">
        <f>名簿!Q50</f>
        <v/>
      </c>
      <c r="N53" s="1315">
        <f>名簿!D50</f>
        <v>0</v>
      </c>
      <c r="O53" s="327"/>
      <c r="P53" s="258" t="str">
        <f>IF(O53="","",IF(I53=1,VLOOKUP(O53,男子種目コード!$P$1:$Q$26,2,FALSE),IF(I53=2,VLOOKUP(O53,女子種目コード!$P$1:$Q$26,2,FALSE))))</f>
        <v/>
      </c>
      <c r="Q53" s="494" t="str">
        <f>IF(O53="","",HLOOKUP(O53,名簿!$AH$3:$CH$118,48,FALSE))</f>
        <v/>
      </c>
      <c r="R53" s="1002"/>
      <c r="S53" s="843" t="str">
        <f t="shared" si="4"/>
        <v/>
      </c>
      <c r="T53" s="844" t="str">
        <f t="shared" si="5"/>
        <v/>
      </c>
      <c r="U53" s="327"/>
      <c r="V53" s="258" t="str">
        <f>IF(U53="","",IF(I53=1,VLOOKUP(U53,男子種目コード!$P$1:$Q$26,2,FALSE),IF(I53=2,VLOOKUP(U53,女子種目コード!$P$1:$Q$26,2,FALSE))))</f>
        <v/>
      </c>
      <c r="W53" s="494" t="str">
        <f>IF(U53="","",HLOOKUP(U53,名簿!$AH$3:$CH$118,48,FALSE))</f>
        <v/>
      </c>
      <c r="X53" s="1004"/>
      <c r="Y53" s="843" t="str">
        <f t="shared" si="6"/>
        <v/>
      </c>
      <c r="Z53" s="844" t="str">
        <f t="shared" si="7"/>
        <v/>
      </c>
      <c r="AA53" s="569" t="str">
        <f>IF(X53="","",IF(I53=1,VLOOKUP(X53,男子種目コード!$J$2:$K$30,2,FALSE),IF(I53=2,VLOOKUP(X53,女子種目コード!$J$2:$K$28,2,FALSE))))</f>
        <v/>
      </c>
      <c r="AB53" s="818"/>
      <c r="AC53" s="831"/>
      <c r="AD53" s="322" t="str">
        <f>IF(AC53="","",IF(I53=1,VLOOKUP(AC53,男子種目コード!$J$2:$K$30,2,FALSE),IF(I53=2,VLOOKUP(AC53,女子種目コード!$J$2:$K$28,2,FALSE))))</f>
        <v/>
      </c>
      <c r="AE53" s="818"/>
      <c r="AF53" s="831"/>
      <c r="AG53" s="322" t="str">
        <f>IF(AF53="","",IF(I53=1,VLOOKUP(AF53,男子種目コード!$J$2:$K$30,2,FALSE),IF(I53=2,VLOOKUP(AF53,女子種目コード!$J$2:$K$28,2,FALSE))))</f>
        <v/>
      </c>
      <c r="AH53" s="819"/>
      <c r="AI53" s="20"/>
      <c r="AJ53" s="20"/>
      <c r="AK53" s="19"/>
      <c r="AL53" s="838"/>
      <c r="AM53" s="848" t="str">
        <f t="shared" si="8"/>
        <v/>
      </c>
      <c r="AN53" s="57" t="str">
        <f t="shared" si="9"/>
        <v/>
      </c>
      <c r="AO53" s="307"/>
      <c r="AP53" s="339"/>
      <c r="AQ53" s="339"/>
      <c r="AR53" s="224"/>
      <c r="AS53" s="224"/>
      <c r="AU53" s="22"/>
      <c r="AV53" s="22"/>
      <c r="AX53" s="331">
        <f t="shared" si="10"/>
        <v>0</v>
      </c>
      <c r="AY53" s="224"/>
      <c r="AZ53" s="224"/>
      <c r="BA53" s="224"/>
      <c r="BB53" s="224"/>
      <c r="BC53" s="19">
        <f t="shared" si="11"/>
        <v>0</v>
      </c>
      <c r="BD53" s="19" t="str">
        <f t="shared" si="12"/>
        <v/>
      </c>
      <c r="BE53" s="19" t="str">
        <f t="shared" si="13"/>
        <v/>
      </c>
    </row>
    <row r="54" spans="2:57">
      <c r="B54" s="322" t="str">
        <f>名簿!P51</f>
        <v/>
      </c>
      <c r="C54" s="825"/>
      <c r="D54" s="825"/>
      <c r="E54" s="1321">
        <f>名簿!E51</f>
        <v>0</v>
      </c>
      <c r="F54" s="563" t="str">
        <f>名簿!CM51</f>
        <v/>
      </c>
      <c r="G54" s="322" t="str">
        <f>名簿!Z51</f>
        <v/>
      </c>
      <c r="H54" s="322" t="str">
        <f>名簿!CM51</f>
        <v/>
      </c>
      <c r="I54" s="323" t="str">
        <f>名簿!Y51</f>
        <v/>
      </c>
      <c r="J54" s="323" t="str">
        <f>名簿!CN51</f>
        <v/>
      </c>
      <c r="K54" s="900">
        <f>名簿!CP51</f>
        <v>0</v>
      </c>
      <c r="L54" s="901" t="str">
        <f>名簿!CU51</f>
        <v>00</v>
      </c>
      <c r="M54" s="322" t="str">
        <f>名簿!Q51</f>
        <v/>
      </c>
      <c r="N54" s="1315">
        <f>名簿!D51</f>
        <v>0</v>
      </c>
      <c r="O54" s="327"/>
      <c r="P54" s="258" t="str">
        <f>IF(O54="","",IF(I54=1,VLOOKUP(O54,男子種目コード!$P$1:$Q$26,2,FALSE),IF(I54=2,VLOOKUP(O54,女子種目コード!$P$1:$Q$26,2,FALSE))))</f>
        <v/>
      </c>
      <c r="Q54" s="494" t="str">
        <f>IF(O54="","",HLOOKUP(O54,名簿!$AH$3:$CH$118,49,FALSE))</f>
        <v/>
      </c>
      <c r="R54" s="1002"/>
      <c r="S54" s="843" t="str">
        <f t="shared" si="4"/>
        <v/>
      </c>
      <c r="T54" s="844" t="str">
        <f t="shared" si="5"/>
        <v/>
      </c>
      <c r="U54" s="327"/>
      <c r="V54" s="258" t="str">
        <f>IF(U54="","",IF(I54=1,VLOOKUP(U54,男子種目コード!$P$1:$Q$26,2,FALSE),IF(I54=2,VLOOKUP(U54,女子種目コード!$P$1:$Q$26,2,FALSE))))</f>
        <v/>
      </c>
      <c r="W54" s="494" t="str">
        <f>IF(U54="","",HLOOKUP(U54,名簿!$AH$3:$CH$118,49,FALSE))</f>
        <v/>
      </c>
      <c r="X54" s="1004"/>
      <c r="Y54" s="843" t="str">
        <f t="shared" si="6"/>
        <v/>
      </c>
      <c r="Z54" s="844" t="str">
        <f t="shared" si="7"/>
        <v/>
      </c>
      <c r="AA54" s="569" t="str">
        <f>IF(X54="","",IF(I54=1,VLOOKUP(X54,男子種目コード!$J$2:$K$30,2,FALSE),IF(I54=2,VLOOKUP(X54,女子種目コード!$J$2:$K$28,2,FALSE))))</f>
        <v/>
      </c>
      <c r="AB54" s="818"/>
      <c r="AC54" s="831"/>
      <c r="AD54" s="322" t="str">
        <f>IF(AC54="","",IF(I54=1,VLOOKUP(AC54,男子種目コード!$J$2:$K$30,2,FALSE),IF(I54=2,VLOOKUP(AC54,女子種目コード!$J$2:$K$28,2,FALSE))))</f>
        <v/>
      </c>
      <c r="AE54" s="818"/>
      <c r="AF54" s="831"/>
      <c r="AG54" s="322" t="str">
        <f>IF(AF54="","",IF(I54=1,VLOOKUP(AF54,男子種目コード!$J$2:$K$30,2,FALSE),IF(I54=2,VLOOKUP(AF54,女子種目コード!$J$2:$K$28,2,FALSE))))</f>
        <v/>
      </c>
      <c r="AH54" s="819"/>
      <c r="AI54" s="20"/>
      <c r="AJ54" s="20"/>
      <c r="AK54" s="19"/>
      <c r="AL54" s="838"/>
      <c r="AM54" s="848" t="str">
        <f t="shared" si="8"/>
        <v/>
      </c>
      <c r="AN54" s="57" t="str">
        <f t="shared" si="9"/>
        <v/>
      </c>
      <c r="AO54" s="307"/>
      <c r="AP54" s="339"/>
      <c r="AQ54" s="339"/>
      <c r="AR54" s="224"/>
      <c r="AS54" s="224"/>
      <c r="AU54" s="22"/>
      <c r="AV54" s="22"/>
      <c r="AX54" s="331">
        <f t="shared" si="10"/>
        <v>0</v>
      </c>
      <c r="AY54" s="224"/>
      <c r="AZ54" s="224"/>
      <c r="BA54" s="224"/>
      <c r="BB54" s="224"/>
      <c r="BC54" s="19">
        <f t="shared" si="11"/>
        <v>0</v>
      </c>
      <c r="BD54" s="19" t="str">
        <f t="shared" si="12"/>
        <v/>
      </c>
      <c r="BE54" s="19" t="str">
        <f t="shared" si="13"/>
        <v/>
      </c>
    </row>
    <row r="55" spans="2:57">
      <c r="B55" s="322" t="str">
        <f>名簿!P52</f>
        <v/>
      </c>
      <c r="C55" s="825"/>
      <c r="D55" s="825"/>
      <c r="E55" s="1321">
        <f>名簿!E52</f>
        <v>0</v>
      </c>
      <c r="F55" s="563" t="str">
        <f>名簿!CM52</f>
        <v/>
      </c>
      <c r="G55" s="322" t="str">
        <f>名簿!Z52</f>
        <v/>
      </c>
      <c r="H55" s="322" t="str">
        <f>名簿!CM52</f>
        <v/>
      </c>
      <c r="I55" s="323" t="str">
        <f>名簿!Y52</f>
        <v/>
      </c>
      <c r="J55" s="323" t="str">
        <f>名簿!CN52</f>
        <v/>
      </c>
      <c r="K55" s="900">
        <f>名簿!CP52</f>
        <v>0</v>
      </c>
      <c r="L55" s="901" t="str">
        <f>名簿!CU52</f>
        <v>00</v>
      </c>
      <c r="M55" s="322" t="str">
        <f>名簿!Q52</f>
        <v/>
      </c>
      <c r="N55" s="1315">
        <f>名簿!D52</f>
        <v>0</v>
      </c>
      <c r="O55" s="327"/>
      <c r="P55" s="258" t="str">
        <f>IF(O55="","",IF(I55=1,VLOOKUP(O55,男子種目コード!$P$1:$Q$26,2,FALSE),IF(I55=2,VLOOKUP(O55,女子種目コード!$P$1:$Q$26,2,FALSE))))</f>
        <v/>
      </c>
      <c r="Q55" s="494" t="str">
        <f>IF(O55="","",HLOOKUP(O55,名簿!$AH$3:$CH$118,50,FALSE))</f>
        <v/>
      </c>
      <c r="R55" s="1002"/>
      <c r="S55" s="843" t="str">
        <f t="shared" si="4"/>
        <v/>
      </c>
      <c r="T55" s="844" t="str">
        <f t="shared" si="5"/>
        <v/>
      </c>
      <c r="U55" s="327"/>
      <c r="V55" s="258" t="str">
        <f>IF(U55="","",IF(I55=1,VLOOKUP(U55,男子種目コード!$P$1:$Q$26,2,FALSE),IF(I55=2,VLOOKUP(U55,女子種目コード!$P$1:$Q$26,2,FALSE))))</f>
        <v/>
      </c>
      <c r="W55" s="494" t="str">
        <f>IF(U55="","",HLOOKUP(U55,名簿!$AH$3:$CH$118,50,FALSE))</f>
        <v/>
      </c>
      <c r="X55" s="1004"/>
      <c r="Y55" s="843" t="str">
        <f t="shared" si="6"/>
        <v/>
      </c>
      <c r="Z55" s="844" t="str">
        <f t="shared" si="7"/>
        <v/>
      </c>
      <c r="AA55" s="569" t="str">
        <f>IF(X55="","",IF(I55=1,VLOOKUP(X55,男子種目コード!$J$2:$K$30,2,FALSE),IF(I55=2,VLOOKUP(X55,女子種目コード!$J$2:$K$28,2,FALSE))))</f>
        <v/>
      </c>
      <c r="AB55" s="818"/>
      <c r="AC55" s="831"/>
      <c r="AD55" s="322" t="str">
        <f>IF(AC55="","",IF(I55=1,VLOOKUP(AC55,男子種目コード!$J$2:$K$30,2,FALSE),IF(I55=2,VLOOKUP(AC55,女子種目コード!$J$2:$K$28,2,FALSE))))</f>
        <v/>
      </c>
      <c r="AE55" s="818"/>
      <c r="AF55" s="831"/>
      <c r="AG55" s="322" t="str">
        <f>IF(AF55="","",IF(I55=1,VLOOKUP(AF55,男子種目コード!$J$2:$K$30,2,FALSE),IF(I55=2,VLOOKUP(AF55,女子種目コード!$J$2:$K$28,2,FALSE))))</f>
        <v/>
      </c>
      <c r="AH55" s="819"/>
      <c r="AI55" s="20"/>
      <c r="AJ55" s="20"/>
      <c r="AK55" s="19"/>
      <c r="AL55" s="838"/>
      <c r="AM55" s="848" t="str">
        <f t="shared" si="8"/>
        <v/>
      </c>
      <c r="AN55" s="57" t="str">
        <f t="shared" si="9"/>
        <v/>
      </c>
      <c r="AO55" s="851"/>
      <c r="AP55" s="339"/>
      <c r="AQ55" s="339"/>
      <c r="AR55" s="224"/>
      <c r="AS55" s="224"/>
      <c r="AU55" s="22"/>
      <c r="AV55" s="22"/>
      <c r="AX55" s="331">
        <f t="shared" si="10"/>
        <v>0</v>
      </c>
      <c r="AY55" s="224"/>
      <c r="AZ55" s="224"/>
      <c r="BA55" s="224"/>
      <c r="BB55" s="224"/>
      <c r="BC55" s="19">
        <f t="shared" si="11"/>
        <v>0</v>
      </c>
      <c r="BD55" s="19" t="str">
        <f t="shared" si="12"/>
        <v/>
      </c>
      <c r="BE55" s="19" t="str">
        <f t="shared" si="13"/>
        <v/>
      </c>
    </row>
    <row r="56" spans="2:57">
      <c r="B56" s="322" t="str">
        <f>名簿!P53</f>
        <v/>
      </c>
      <c r="C56" s="825"/>
      <c r="D56" s="825"/>
      <c r="E56" s="1321">
        <f>名簿!E53</f>
        <v>0</v>
      </c>
      <c r="F56" s="563" t="str">
        <f>名簿!CM53</f>
        <v/>
      </c>
      <c r="G56" s="322" t="str">
        <f>名簿!Z53</f>
        <v/>
      </c>
      <c r="H56" s="322" t="str">
        <f>名簿!CM53</f>
        <v/>
      </c>
      <c r="I56" s="323" t="str">
        <f>名簿!Y53</f>
        <v/>
      </c>
      <c r="J56" s="323" t="str">
        <f>名簿!CN53</f>
        <v/>
      </c>
      <c r="K56" s="900">
        <f>名簿!CP53</f>
        <v>0</v>
      </c>
      <c r="L56" s="901" t="str">
        <f>名簿!CU53</f>
        <v>00</v>
      </c>
      <c r="M56" s="322" t="str">
        <f>名簿!Q53</f>
        <v/>
      </c>
      <c r="N56" s="1315">
        <f>名簿!D53</f>
        <v>0</v>
      </c>
      <c r="O56" s="327"/>
      <c r="P56" s="258" t="str">
        <f>IF(O56="","",IF(I56=1,VLOOKUP(O56,男子種目コード!$P$1:$Q$26,2,FALSE),IF(I56=2,VLOOKUP(O56,女子種目コード!$P$1:$Q$26,2,FALSE))))</f>
        <v/>
      </c>
      <c r="Q56" s="494" t="str">
        <f>IF(O56="","",HLOOKUP(O56,名簿!$AH$3:$CH$118,51,FALSE))</f>
        <v/>
      </c>
      <c r="R56" s="1002"/>
      <c r="S56" s="843" t="str">
        <f t="shared" si="4"/>
        <v/>
      </c>
      <c r="T56" s="844" t="str">
        <f t="shared" si="5"/>
        <v/>
      </c>
      <c r="U56" s="327"/>
      <c r="V56" s="258" t="str">
        <f>IF(U56="","",IF(I56=1,VLOOKUP(U56,男子種目コード!$P$1:$Q$26,2,FALSE),IF(I56=2,VLOOKUP(U56,女子種目コード!$P$1:$Q$26,2,FALSE))))</f>
        <v/>
      </c>
      <c r="W56" s="494" t="str">
        <f>IF(U56="","",HLOOKUP(U56,名簿!$AH$3:$CH$118,51,FALSE))</f>
        <v/>
      </c>
      <c r="X56" s="1004"/>
      <c r="Y56" s="843" t="str">
        <f t="shared" si="6"/>
        <v/>
      </c>
      <c r="Z56" s="844" t="str">
        <f t="shared" si="7"/>
        <v/>
      </c>
      <c r="AA56" s="569" t="str">
        <f>IF(X56="","",IF(I56=1,VLOOKUP(X56,男子種目コード!$J$2:$K$30,2,FALSE),IF(I56=2,VLOOKUP(X56,女子種目コード!$J$2:$K$28,2,FALSE))))</f>
        <v/>
      </c>
      <c r="AB56" s="818"/>
      <c r="AC56" s="831"/>
      <c r="AD56" s="322" t="str">
        <f>IF(AC56="","",IF(I56=1,VLOOKUP(AC56,男子種目コード!$J$2:$K$30,2,FALSE),IF(I56=2,VLOOKUP(AC56,女子種目コード!$J$2:$K$28,2,FALSE))))</f>
        <v/>
      </c>
      <c r="AE56" s="818"/>
      <c r="AF56" s="831"/>
      <c r="AG56" s="322" t="str">
        <f>IF(AF56="","",IF(I56=1,VLOOKUP(AF56,男子種目コード!$J$2:$K$30,2,FALSE),IF(I56=2,VLOOKUP(AF56,女子種目コード!$J$2:$K$28,2,FALSE))))</f>
        <v/>
      </c>
      <c r="AH56" s="819"/>
      <c r="AI56" s="20"/>
      <c r="AJ56" s="20"/>
      <c r="AK56" s="19"/>
      <c r="AL56" s="838"/>
      <c r="AM56" s="848" t="str">
        <f t="shared" si="8"/>
        <v/>
      </c>
      <c r="AN56" s="57" t="str">
        <f t="shared" si="9"/>
        <v/>
      </c>
      <c r="AO56" s="1162"/>
      <c r="AP56" s="1162"/>
      <c r="AQ56" s="339"/>
      <c r="AR56" s="224"/>
      <c r="AS56" s="224"/>
      <c r="AU56" s="22"/>
      <c r="AV56" s="22"/>
      <c r="AX56" s="331">
        <f t="shared" si="10"/>
        <v>0</v>
      </c>
      <c r="AY56" s="224"/>
      <c r="AZ56" s="224"/>
      <c r="BA56" s="224"/>
      <c r="BB56" s="224"/>
      <c r="BC56" s="19">
        <f t="shared" si="11"/>
        <v>0</v>
      </c>
      <c r="BD56" s="19" t="str">
        <f t="shared" si="12"/>
        <v/>
      </c>
      <c r="BE56" s="19" t="str">
        <f t="shared" si="13"/>
        <v/>
      </c>
    </row>
    <row r="57" spans="2:57">
      <c r="B57" s="322" t="str">
        <f>名簿!P54</f>
        <v/>
      </c>
      <c r="C57" s="825"/>
      <c r="D57" s="825"/>
      <c r="E57" s="1321">
        <f>名簿!E54</f>
        <v>0</v>
      </c>
      <c r="F57" s="563" t="str">
        <f>名簿!CM54</f>
        <v/>
      </c>
      <c r="G57" s="322" t="str">
        <f>名簿!Z54</f>
        <v/>
      </c>
      <c r="H57" s="322" t="str">
        <f>名簿!CM54</f>
        <v/>
      </c>
      <c r="I57" s="323" t="str">
        <f>名簿!Y54</f>
        <v/>
      </c>
      <c r="J57" s="323" t="str">
        <f>名簿!CN54</f>
        <v/>
      </c>
      <c r="K57" s="900">
        <f>名簿!CP54</f>
        <v>0</v>
      </c>
      <c r="L57" s="901" t="str">
        <f>名簿!CU54</f>
        <v>00</v>
      </c>
      <c r="M57" s="322" t="str">
        <f>名簿!Q54</f>
        <v/>
      </c>
      <c r="N57" s="1315">
        <f>名簿!D54</f>
        <v>0</v>
      </c>
      <c r="O57" s="327"/>
      <c r="P57" s="258" t="str">
        <f>IF(O57="","",IF(I57=1,VLOOKUP(O57,男子種目コード!$P$1:$Q$26,2,FALSE),IF(I57=2,VLOOKUP(O57,女子種目コード!$P$1:$Q$26,2,FALSE))))</f>
        <v/>
      </c>
      <c r="Q57" s="494" t="str">
        <f>IF(O57="","",HLOOKUP(O57,名簿!$AH$3:$CH$118,52,FALSE))</f>
        <v/>
      </c>
      <c r="R57" s="1002"/>
      <c r="S57" s="843" t="str">
        <f t="shared" si="4"/>
        <v/>
      </c>
      <c r="T57" s="844" t="str">
        <f t="shared" si="5"/>
        <v/>
      </c>
      <c r="U57" s="327"/>
      <c r="V57" s="258" t="str">
        <f>IF(U57="","",IF(I57=1,VLOOKUP(U57,男子種目コード!$P$1:$Q$26,2,FALSE),IF(I57=2,VLOOKUP(U57,女子種目コード!$P$1:$Q$26,2,FALSE))))</f>
        <v/>
      </c>
      <c r="W57" s="494" t="str">
        <f>IF(U57="","",HLOOKUP(U57,名簿!$AH$3:$CH$118,52,FALSE))</f>
        <v/>
      </c>
      <c r="X57" s="1004"/>
      <c r="Y57" s="843" t="str">
        <f t="shared" si="6"/>
        <v/>
      </c>
      <c r="Z57" s="844" t="str">
        <f t="shared" si="7"/>
        <v/>
      </c>
      <c r="AA57" s="569" t="str">
        <f>IF(X57="","",IF(I57=1,VLOOKUP(X57,男子種目コード!$J$2:$K$30,2,FALSE),IF(I57=2,VLOOKUP(X57,女子種目コード!$J$2:$K$28,2,FALSE))))</f>
        <v/>
      </c>
      <c r="AB57" s="818"/>
      <c r="AC57" s="831"/>
      <c r="AD57" s="322" t="str">
        <f>IF(AC57="","",IF(I57=1,VLOOKUP(AC57,男子種目コード!$J$2:$K$30,2,FALSE),IF(I57=2,VLOOKUP(AC57,女子種目コード!$J$2:$K$28,2,FALSE))))</f>
        <v/>
      </c>
      <c r="AE57" s="818"/>
      <c r="AF57" s="831"/>
      <c r="AG57" s="322" t="str">
        <f>IF(AF57="","",IF(I57=1,VLOOKUP(AF57,男子種目コード!$J$2:$K$30,2,FALSE),IF(I57=2,VLOOKUP(AF57,女子種目コード!$J$2:$K$28,2,FALSE))))</f>
        <v/>
      </c>
      <c r="AH57" s="819"/>
      <c r="AI57" s="20"/>
      <c r="AJ57" s="20"/>
      <c r="AK57" s="19"/>
      <c r="AL57" s="838"/>
      <c r="AM57" s="848" t="str">
        <f t="shared" si="8"/>
        <v/>
      </c>
      <c r="AN57" s="57" t="str">
        <f t="shared" si="9"/>
        <v/>
      </c>
      <c r="AO57" s="307"/>
      <c r="AP57" s="339"/>
      <c r="AQ57" s="340"/>
      <c r="AR57" s="224"/>
      <c r="AS57" s="224"/>
      <c r="AU57" s="22"/>
      <c r="AV57" s="22"/>
      <c r="AX57" s="331">
        <f t="shared" si="10"/>
        <v>0</v>
      </c>
      <c r="AY57" s="224"/>
      <c r="AZ57" s="224"/>
      <c r="BA57" s="224"/>
      <c r="BB57" s="224"/>
      <c r="BC57" s="19">
        <f t="shared" si="11"/>
        <v>0</v>
      </c>
      <c r="BD57" s="19" t="str">
        <f t="shared" si="12"/>
        <v/>
      </c>
      <c r="BE57" s="19" t="str">
        <f t="shared" si="13"/>
        <v/>
      </c>
    </row>
    <row r="58" spans="2:57">
      <c r="B58" s="322" t="str">
        <f>名簿!P55</f>
        <v/>
      </c>
      <c r="C58" s="825"/>
      <c r="D58" s="825"/>
      <c r="E58" s="1321">
        <f>名簿!E55</f>
        <v>0</v>
      </c>
      <c r="F58" s="563" t="str">
        <f>名簿!CM55</f>
        <v/>
      </c>
      <c r="G58" s="322" t="str">
        <f>名簿!Z55</f>
        <v/>
      </c>
      <c r="H58" s="322" t="str">
        <f>名簿!CM55</f>
        <v/>
      </c>
      <c r="I58" s="323" t="str">
        <f>名簿!Y55</f>
        <v/>
      </c>
      <c r="J58" s="323" t="str">
        <f>名簿!CN55</f>
        <v/>
      </c>
      <c r="K58" s="900">
        <f>名簿!CP55</f>
        <v>0</v>
      </c>
      <c r="L58" s="901" t="str">
        <f>名簿!CU55</f>
        <v>00</v>
      </c>
      <c r="M58" s="322" t="str">
        <f>名簿!Q55</f>
        <v/>
      </c>
      <c r="N58" s="1315">
        <f>名簿!D55</f>
        <v>0</v>
      </c>
      <c r="O58" s="327"/>
      <c r="P58" s="258" t="str">
        <f>IF(O58="","",IF(I58=1,VLOOKUP(O58,男子種目コード!$P$1:$Q$26,2,FALSE),IF(I58=2,VLOOKUP(O58,女子種目コード!$P$1:$Q$26,2,FALSE))))</f>
        <v/>
      </c>
      <c r="Q58" s="494" t="str">
        <f>IF(O58="","",HLOOKUP(O58,名簿!$AH$3:$CH$118,53,FALSE))</f>
        <v/>
      </c>
      <c r="R58" s="1002"/>
      <c r="S58" s="843" t="str">
        <f t="shared" si="4"/>
        <v/>
      </c>
      <c r="T58" s="844" t="str">
        <f t="shared" si="5"/>
        <v/>
      </c>
      <c r="U58" s="327"/>
      <c r="V58" s="258" t="str">
        <f>IF(U58="","",IF(I58=1,VLOOKUP(U58,男子種目コード!$P$1:$Q$26,2,FALSE),IF(I58=2,VLOOKUP(U58,女子種目コード!$P$1:$Q$26,2,FALSE))))</f>
        <v/>
      </c>
      <c r="W58" s="494" t="str">
        <f>IF(U58="","",HLOOKUP(U58,名簿!$AH$3:$CH$118,53,FALSE))</f>
        <v/>
      </c>
      <c r="X58" s="1004"/>
      <c r="Y58" s="843" t="str">
        <f t="shared" si="6"/>
        <v/>
      </c>
      <c r="Z58" s="844" t="str">
        <f t="shared" si="7"/>
        <v/>
      </c>
      <c r="AA58" s="569" t="str">
        <f>IF(X58="","",IF(I58=1,VLOOKUP(X58,男子種目コード!$J$2:$K$30,2,FALSE),IF(I58=2,VLOOKUP(X58,女子種目コード!$J$2:$K$28,2,FALSE))))</f>
        <v/>
      </c>
      <c r="AB58" s="818"/>
      <c r="AC58" s="831"/>
      <c r="AD58" s="322" t="str">
        <f>IF(AC58="","",IF(I58=1,VLOOKUP(AC58,男子種目コード!$J$2:$K$30,2,FALSE),IF(I58=2,VLOOKUP(AC58,女子種目コード!$J$2:$K$28,2,FALSE))))</f>
        <v/>
      </c>
      <c r="AE58" s="818"/>
      <c r="AF58" s="831"/>
      <c r="AG58" s="322" t="str">
        <f>IF(AF58="","",IF(I58=1,VLOOKUP(AF58,男子種目コード!$J$2:$K$30,2,FALSE),IF(I58=2,VLOOKUP(AF58,女子種目コード!$J$2:$K$28,2,FALSE))))</f>
        <v/>
      </c>
      <c r="AH58" s="819"/>
      <c r="AI58" s="20"/>
      <c r="AJ58" s="20"/>
      <c r="AK58" s="19"/>
      <c r="AL58" s="838"/>
      <c r="AM58" s="848" t="str">
        <f t="shared" si="8"/>
        <v/>
      </c>
      <c r="AN58" s="57" t="str">
        <f t="shared" si="9"/>
        <v/>
      </c>
      <c r="AO58" s="307"/>
      <c r="AP58" s="339"/>
      <c r="AQ58" s="216"/>
      <c r="AR58" s="224"/>
      <c r="AS58" s="224"/>
      <c r="AU58" s="22"/>
      <c r="AV58" s="22"/>
      <c r="AX58" s="331">
        <f t="shared" si="10"/>
        <v>0</v>
      </c>
      <c r="AY58" s="224"/>
      <c r="AZ58" s="224"/>
      <c r="BA58" s="224"/>
      <c r="BB58" s="224"/>
      <c r="BC58" s="19">
        <f t="shared" si="11"/>
        <v>0</v>
      </c>
      <c r="BD58" s="19" t="str">
        <f t="shared" si="12"/>
        <v/>
      </c>
      <c r="BE58" s="19" t="str">
        <f t="shared" si="13"/>
        <v/>
      </c>
    </row>
    <row r="59" spans="2:57">
      <c r="B59" s="322" t="str">
        <f>名簿!P56</f>
        <v/>
      </c>
      <c r="C59" s="825"/>
      <c r="D59" s="825"/>
      <c r="E59" s="1321">
        <f>名簿!E56</f>
        <v>0</v>
      </c>
      <c r="F59" s="563" t="str">
        <f>名簿!CM56</f>
        <v/>
      </c>
      <c r="G59" s="322" t="str">
        <f>名簿!Z56</f>
        <v/>
      </c>
      <c r="H59" s="322" t="str">
        <f>名簿!CM56</f>
        <v/>
      </c>
      <c r="I59" s="323" t="str">
        <f>名簿!Y56</f>
        <v/>
      </c>
      <c r="J59" s="323" t="str">
        <f>名簿!CN56</f>
        <v/>
      </c>
      <c r="K59" s="900">
        <f>名簿!CP56</f>
        <v>0</v>
      </c>
      <c r="L59" s="901" t="str">
        <f>名簿!CU56</f>
        <v>00</v>
      </c>
      <c r="M59" s="322" t="str">
        <f>名簿!Q56</f>
        <v/>
      </c>
      <c r="N59" s="1315">
        <f>名簿!D56</f>
        <v>0</v>
      </c>
      <c r="O59" s="327"/>
      <c r="P59" s="258" t="str">
        <f>IF(O59="","",IF(I59=1,VLOOKUP(O59,男子種目コード!$P$1:$Q$26,2,FALSE),IF(I59=2,VLOOKUP(O59,女子種目コード!$P$1:$Q$26,2,FALSE))))</f>
        <v/>
      </c>
      <c r="Q59" s="494" t="str">
        <f>IF(O59="","",HLOOKUP(O59,名簿!$AH$3:$CH$118,54,FALSE))</f>
        <v/>
      </c>
      <c r="R59" s="1002"/>
      <c r="S59" s="843" t="str">
        <f t="shared" si="4"/>
        <v/>
      </c>
      <c r="T59" s="844" t="str">
        <f t="shared" si="5"/>
        <v/>
      </c>
      <c r="U59" s="327"/>
      <c r="V59" s="258" t="str">
        <f>IF(U59="","",IF(I59=1,VLOOKUP(U59,男子種目コード!$P$1:$Q$26,2,FALSE),IF(I59=2,VLOOKUP(U59,女子種目コード!$P$1:$Q$26,2,FALSE))))</f>
        <v/>
      </c>
      <c r="W59" s="494" t="str">
        <f>IF(U59="","",HLOOKUP(U59,名簿!$AH$3:$CH$118,54,FALSE))</f>
        <v/>
      </c>
      <c r="X59" s="1004"/>
      <c r="Y59" s="843" t="str">
        <f t="shared" si="6"/>
        <v/>
      </c>
      <c r="Z59" s="844" t="str">
        <f t="shared" si="7"/>
        <v/>
      </c>
      <c r="AA59" s="569" t="str">
        <f>IF(X59="","",IF(I59=1,VLOOKUP(X59,男子種目コード!$J$2:$K$30,2,FALSE),IF(I59=2,VLOOKUP(X59,女子種目コード!$J$2:$K$28,2,FALSE))))</f>
        <v/>
      </c>
      <c r="AB59" s="818"/>
      <c r="AC59" s="831"/>
      <c r="AD59" s="322" t="str">
        <f>IF(AC59="","",IF(I59=1,VLOOKUP(AC59,男子種目コード!$J$2:$K$30,2,FALSE),IF(I59=2,VLOOKUP(AC59,女子種目コード!$J$2:$K$28,2,FALSE))))</f>
        <v/>
      </c>
      <c r="AE59" s="818"/>
      <c r="AF59" s="831"/>
      <c r="AG59" s="322" t="str">
        <f>IF(AF59="","",IF(I59=1,VLOOKUP(AF59,男子種目コード!$J$2:$K$30,2,FALSE),IF(I59=2,VLOOKUP(AF59,女子種目コード!$J$2:$K$28,2,FALSE))))</f>
        <v/>
      </c>
      <c r="AH59" s="819"/>
      <c r="AI59" s="20"/>
      <c r="AJ59" s="20"/>
      <c r="AK59" s="19"/>
      <c r="AL59" s="838"/>
      <c r="AM59" s="848" t="str">
        <f t="shared" si="8"/>
        <v/>
      </c>
      <c r="AN59" s="57" t="str">
        <f t="shared" si="9"/>
        <v/>
      </c>
      <c r="AO59" s="307"/>
      <c r="AP59" s="339"/>
      <c r="AQ59" s="340"/>
      <c r="AR59" s="224"/>
      <c r="AS59" s="224"/>
      <c r="AU59" s="22"/>
      <c r="AV59" s="22"/>
      <c r="AX59" s="331">
        <f t="shared" si="10"/>
        <v>0</v>
      </c>
      <c r="AY59" s="224"/>
      <c r="AZ59" s="224"/>
      <c r="BA59" s="224"/>
      <c r="BB59" s="224"/>
      <c r="BC59" s="19">
        <f t="shared" si="11"/>
        <v>0</v>
      </c>
      <c r="BD59" s="19" t="str">
        <f t="shared" si="12"/>
        <v/>
      </c>
      <c r="BE59" s="19" t="str">
        <f t="shared" si="13"/>
        <v/>
      </c>
    </row>
    <row r="60" spans="2:57">
      <c r="B60" s="322" t="str">
        <f>名簿!P57</f>
        <v/>
      </c>
      <c r="C60" s="825"/>
      <c r="D60" s="825"/>
      <c r="E60" s="1321">
        <f>名簿!E57</f>
        <v>0</v>
      </c>
      <c r="F60" s="563" t="str">
        <f>名簿!CM57</f>
        <v/>
      </c>
      <c r="G60" s="322" t="str">
        <f>名簿!Z57</f>
        <v/>
      </c>
      <c r="H60" s="322" t="str">
        <f>名簿!CM57</f>
        <v/>
      </c>
      <c r="I60" s="323" t="str">
        <f>名簿!Y57</f>
        <v/>
      </c>
      <c r="J60" s="323" t="str">
        <f>名簿!CN57</f>
        <v/>
      </c>
      <c r="K60" s="900">
        <f>名簿!CP57</f>
        <v>0</v>
      </c>
      <c r="L60" s="901" t="str">
        <f>名簿!CU57</f>
        <v>00</v>
      </c>
      <c r="M60" s="322" t="str">
        <f>名簿!Q57</f>
        <v/>
      </c>
      <c r="N60" s="1315">
        <f>名簿!D57</f>
        <v>0</v>
      </c>
      <c r="O60" s="327"/>
      <c r="P60" s="258" t="str">
        <f>IF(O60="","",IF(I60=1,VLOOKUP(O60,男子種目コード!$P$1:$Q$26,2,FALSE),IF(I60=2,VLOOKUP(O60,女子種目コード!$P$1:$Q$26,2,FALSE))))</f>
        <v/>
      </c>
      <c r="Q60" s="494" t="str">
        <f>IF(O60="","",HLOOKUP(O60,名簿!$AH$3:$CH$118,55,FALSE))</f>
        <v/>
      </c>
      <c r="R60" s="1002"/>
      <c r="S60" s="843" t="str">
        <f t="shared" si="4"/>
        <v/>
      </c>
      <c r="T60" s="844" t="str">
        <f t="shared" si="5"/>
        <v/>
      </c>
      <c r="U60" s="327"/>
      <c r="V60" s="258" t="str">
        <f>IF(U60="","",IF(I60=1,VLOOKUP(U60,男子種目コード!$P$1:$Q$26,2,FALSE),IF(I60=2,VLOOKUP(U60,女子種目コード!$P$1:$Q$26,2,FALSE))))</f>
        <v/>
      </c>
      <c r="W60" s="494" t="str">
        <f>IF(U60="","",HLOOKUP(U60,名簿!$AH$3:$CH$118,55,FALSE))</f>
        <v/>
      </c>
      <c r="X60" s="1004"/>
      <c r="Y60" s="843" t="str">
        <f t="shared" si="6"/>
        <v/>
      </c>
      <c r="Z60" s="844" t="str">
        <f t="shared" si="7"/>
        <v/>
      </c>
      <c r="AA60" s="569" t="str">
        <f>IF(X60="","",IF(I60=1,VLOOKUP(X60,男子種目コード!$J$2:$K$30,2,FALSE),IF(I60=2,VLOOKUP(X60,女子種目コード!$J$2:$K$28,2,FALSE))))</f>
        <v/>
      </c>
      <c r="AB60" s="818"/>
      <c r="AC60" s="831"/>
      <c r="AD60" s="322" t="str">
        <f>IF(AC60="","",IF(I60=1,VLOOKUP(AC60,男子種目コード!$J$2:$K$30,2,FALSE),IF(I60=2,VLOOKUP(AC60,女子種目コード!$J$2:$K$28,2,FALSE))))</f>
        <v/>
      </c>
      <c r="AE60" s="818"/>
      <c r="AF60" s="831"/>
      <c r="AG60" s="322" t="str">
        <f>IF(AF60="","",IF(I60=1,VLOOKUP(AF60,男子種目コード!$J$2:$K$30,2,FALSE),IF(I60=2,VLOOKUP(AF60,女子種目コード!$J$2:$K$28,2,FALSE))))</f>
        <v/>
      </c>
      <c r="AH60" s="819"/>
      <c r="AI60" s="20"/>
      <c r="AJ60" s="20"/>
      <c r="AK60" s="19"/>
      <c r="AL60" s="838"/>
      <c r="AM60" s="848" t="str">
        <f t="shared" si="8"/>
        <v/>
      </c>
      <c r="AN60" s="57" t="str">
        <f t="shared" si="9"/>
        <v/>
      </c>
      <c r="AO60" s="307"/>
      <c r="AP60" s="339"/>
      <c r="AQ60" s="340"/>
      <c r="AR60" s="224"/>
      <c r="AS60" s="224"/>
      <c r="AU60" s="22"/>
      <c r="AV60" s="22"/>
      <c r="AX60" s="331">
        <f t="shared" si="10"/>
        <v>0</v>
      </c>
      <c r="AY60" s="224"/>
      <c r="AZ60" s="224"/>
      <c r="BA60" s="224"/>
      <c r="BB60" s="224"/>
      <c r="BC60" s="19">
        <f t="shared" si="11"/>
        <v>0</v>
      </c>
      <c r="BD60" s="19" t="str">
        <f t="shared" si="12"/>
        <v/>
      </c>
      <c r="BE60" s="19" t="str">
        <f t="shared" si="13"/>
        <v/>
      </c>
    </row>
    <row r="61" spans="2:57">
      <c r="B61" s="322" t="str">
        <f>名簿!P58</f>
        <v/>
      </c>
      <c r="C61" s="825"/>
      <c r="D61" s="825"/>
      <c r="E61" s="1321">
        <f>名簿!E58</f>
        <v>0</v>
      </c>
      <c r="F61" s="563" t="str">
        <f>名簿!CM58</f>
        <v/>
      </c>
      <c r="G61" s="322" t="str">
        <f>名簿!Z58</f>
        <v/>
      </c>
      <c r="H61" s="322" t="str">
        <f>名簿!CM58</f>
        <v/>
      </c>
      <c r="I61" s="323" t="str">
        <f>名簿!Y58</f>
        <v/>
      </c>
      <c r="J61" s="323" t="str">
        <f>名簿!CN58</f>
        <v/>
      </c>
      <c r="K61" s="900">
        <f>名簿!CP58</f>
        <v>0</v>
      </c>
      <c r="L61" s="901" t="str">
        <f>名簿!CU58</f>
        <v>00</v>
      </c>
      <c r="M61" s="322" t="str">
        <f>名簿!Q58</f>
        <v/>
      </c>
      <c r="N61" s="1315">
        <f>名簿!D58</f>
        <v>0</v>
      </c>
      <c r="O61" s="327"/>
      <c r="P61" s="258" t="str">
        <f>IF(O61="","",IF(I61=1,VLOOKUP(O61,男子種目コード!$P$1:$Q$26,2,FALSE),IF(I61=2,VLOOKUP(O61,女子種目コード!$P$1:$Q$26,2,FALSE))))</f>
        <v/>
      </c>
      <c r="Q61" s="494" t="str">
        <f>IF(O61="","",HLOOKUP(O61,名簿!$AH$3:$CH$118,56,FALSE))</f>
        <v/>
      </c>
      <c r="R61" s="1002"/>
      <c r="S61" s="843" t="str">
        <f t="shared" si="4"/>
        <v/>
      </c>
      <c r="T61" s="844" t="str">
        <f t="shared" si="5"/>
        <v/>
      </c>
      <c r="U61" s="327"/>
      <c r="V61" s="258" t="str">
        <f>IF(U61="","",IF(I61=1,VLOOKUP(U61,男子種目コード!$P$1:$Q$26,2,FALSE),IF(I61=2,VLOOKUP(U61,女子種目コード!$P$1:$Q$26,2,FALSE))))</f>
        <v/>
      </c>
      <c r="W61" s="494" t="str">
        <f>IF(U61="","",HLOOKUP(U61,名簿!$AH$3:$CH$118,56,FALSE))</f>
        <v/>
      </c>
      <c r="X61" s="1004"/>
      <c r="Y61" s="843" t="str">
        <f t="shared" si="6"/>
        <v/>
      </c>
      <c r="Z61" s="844" t="str">
        <f t="shared" si="7"/>
        <v/>
      </c>
      <c r="AA61" s="569" t="str">
        <f>IF(X61="","",IF(I61=1,VLOOKUP(X61,男子種目コード!$J$2:$K$30,2,FALSE),IF(I61=2,VLOOKUP(X61,女子種目コード!$J$2:$K$28,2,FALSE))))</f>
        <v/>
      </c>
      <c r="AB61" s="818"/>
      <c r="AC61" s="831"/>
      <c r="AD61" s="322" t="str">
        <f>IF(AC61="","",IF(I61=1,VLOOKUP(AC61,男子種目コード!$J$2:$K$30,2,FALSE),IF(I61=2,VLOOKUP(AC61,女子種目コード!$J$2:$K$28,2,FALSE))))</f>
        <v/>
      </c>
      <c r="AE61" s="818"/>
      <c r="AF61" s="831"/>
      <c r="AG61" s="322" t="str">
        <f>IF(AF61="","",IF(I61=1,VLOOKUP(AF61,男子種目コード!$J$2:$K$30,2,FALSE),IF(I61=2,VLOOKUP(AF61,女子種目コード!$J$2:$K$28,2,FALSE))))</f>
        <v/>
      </c>
      <c r="AH61" s="819"/>
      <c r="AI61" s="20"/>
      <c r="AJ61" s="20"/>
      <c r="AK61" s="19"/>
      <c r="AL61" s="838"/>
      <c r="AM61" s="848" t="str">
        <f t="shared" si="8"/>
        <v/>
      </c>
      <c r="AN61" s="57" t="str">
        <f t="shared" si="9"/>
        <v/>
      </c>
      <c r="AO61" s="307"/>
      <c r="AP61" s="339"/>
      <c r="AQ61" s="340"/>
      <c r="AR61" s="224"/>
      <c r="AS61" s="224"/>
      <c r="AU61" s="22"/>
      <c r="AV61" s="22"/>
      <c r="AX61" s="331">
        <f t="shared" si="10"/>
        <v>0</v>
      </c>
      <c r="AY61" s="224"/>
      <c r="AZ61" s="224"/>
      <c r="BA61" s="224"/>
      <c r="BB61" s="224"/>
      <c r="BC61" s="19">
        <f t="shared" si="11"/>
        <v>0</v>
      </c>
      <c r="BD61" s="19" t="str">
        <f t="shared" si="12"/>
        <v/>
      </c>
      <c r="BE61" s="19" t="str">
        <f t="shared" si="13"/>
        <v/>
      </c>
    </row>
    <row r="62" spans="2:57">
      <c r="B62" s="322" t="str">
        <f>名簿!P59</f>
        <v/>
      </c>
      <c r="C62" s="825"/>
      <c r="D62" s="825"/>
      <c r="E62" s="1321">
        <f>名簿!E59</f>
        <v>0</v>
      </c>
      <c r="F62" s="563" t="str">
        <f>名簿!CM59</f>
        <v/>
      </c>
      <c r="G62" s="322" t="str">
        <f>名簿!Z59</f>
        <v/>
      </c>
      <c r="H62" s="322" t="str">
        <f>名簿!CM59</f>
        <v/>
      </c>
      <c r="I62" s="323" t="str">
        <f>名簿!Y59</f>
        <v/>
      </c>
      <c r="J62" s="323" t="str">
        <f>名簿!CN59</f>
        <v/>
      </c>
      <c r="K62" s="900">
        <f>名簿!CP59</f>
        <v>0</v>
      </c>
      <c r="L62" s="901" t="str">
        <f>名簿!CU59</f>
        <v>00</v>
      </c>
      <c r="M62" s="322" t="str">
        <f>名簿!Q59</f>
        <v/>
      </c>
      <c r="N62" s="1315">
        <f>名簿!D59</f>
        <v>0</v>
      </c>
      <c r="O62" s="327"/>
      <c r="P62" s="258" t="str">
        <f>IF(O62="","",IF(I62=1,VLOOKUP(O62,男子種目コード!$P$1:$Q$26,2,FALSE),IF(I62=2,VLOOKUP(O62,女子種目コード!$P$1:$Q$26,2,FALSE))))</f>
        <v/>
      </c>
      <c r="Q62" s="494" t="str">
        <f>IF(O62="","",HLOOKUP(O62,名簿!$AH$3:$CH$118,57,FALSE))</f>
        <v/>
      </c>
      <c r="R62" s="1002"/>
      <c r="S62" s="843" t="str">
        <f t="shared" si="4"/>
        <v/>
      </c>
      <c r="T62" s="844" t="str">
        <f t="shared" si="5"/>
        <v/>
      </c>
      <c r="U62" s="327"/>
      <c r="V62" s="258" t="str">
        <f>IF(U62="","",IF(I62=1,VLOOKUP(U62,男子種目コード!$P$1:$Q$26,2,FALSE),IF(I62=2,VLOOKUP(U62,女子種目コード!$P$1:$Q$26,2,FALSE))))</f>
        <v/>
      </c>
      <c r="W62" s="494" t="str">
        <f>IF(U62="","",HLOOKUP(U62,名簿!$AH$3:$CH$118,57,FALSE))</f>
        <v/>
      </c>
      <c r="X62" s="1004"/>
      <c r="Y62" s="843" t="str">
        <f t="shared" si="6"/>
        <v/>
      </c>
      <c r="Z62" s="844" t="str">
        <f t="shared" si="7"/>
        <v/>
      </c>
      <c r="AA62" s="569" t="str">
        <f>IF(X62="","",IF(I62=1,VLOOKUP(X62,男子種目コード!$J$2:$K$30,2,FALSE),IF(I62=2,VLOOKUP(X62,女子種目コード!$J$2:$K$28,2,FALSE))))</f>
        <v/>
      </c>
      <c r="AB62" s="818"/>
      <c r="AC62" s="831"/>
      <c r="AD62" s="322" t="str">
        <f>IF(AC62="","",IF(I62=1,VLOOKUP(AC62,男子種目コード!$J$2:$K$30,2,FALSE),IF(I62=2,VLOOKUP(AC62,女子種目コード!$J$2:$K$28,2,FALSE))))</f>
        <v/>
      </c>
      <c r="AE62" s="818"/>
      <c r="AF62" s="831"/>
      <c r="AG62" s="322" t="str">
        <f>IF(AF62="","",IF(I62=1,VLOOKUP(AF62,男子種目コード!$J$2:$K$30,2,FALSE),IF(I62=2,VLOOKUP(AF62,女子種目コード!$J$2:$K$28,2,FALSE))))</f>
        <v/>
      </c>
      <c r="AH62" s="819"/>
      <c r="AI62" s="20"/>
      <c r="AJ62" s="20"/>
      <c r="AK62" s="19"/>
      <c r="AL62" s="838"/>
      <c r="AM62" s="848" t="str">
        <f t="shared" si="8"/>
        <v/>
      </c>
      <c r="AN62" s="57" t="str">
        <f t="shared" si="9"/>
        <v/>
      </c>
      <c r="AO62" s="851"/>
      <c r="AP62" s="339"/>
      <c r="AQ62" s="340"/>
      <c r="AR62" s="224"/>
      <c r="AS62" s="224"/>
      <c r="AU62" s="22"/>
      <c r="AV62" s="22"/>
      <c r="AX62" s="331">
        <f t="shared" si="10"/>
        <v>0</v>
      </c>
      <c r="AY62" s="224"/>
      <c r="AZ62" s="224"/>
      <c r="BA62" s="224"/>
      <c r="BB62" s="224"/>
      <c r="BC62" s="19">
        <f t="shared" si="11"/>
        <v>0</v>
      </c>
      <c r="BD62" s="19" t="str">
        <f t="shared" si="12"/>
        <v/>
      </c>
      <c r="BE62" s="19" t="str">
        <f t="shared" si="13"/>
        <v/>
      </c>
    </row>
    <row r="63" spans="2:57">
      <c r="B63" s="322" t="str">
        <f>名簿!P60</f>
        <v/>
      </c>
      <c r="C63" s="825"/>
      <c r="D63" s="825"/>
      <c r="E63" s="1321">
        <f>名簿!E60</f>
        <v>0</v>
      </c>
      <c r="F63" s="563" t="str">
        <f>名簿!CM60</f>
        <v/>
      </c>
      <c r="G63" s="322" t="str">
        <f>名簿!Z60</f>
        <v/>
      </c>
      <c r="H63" s="322" t="str">
        <f>名簿!CM60</f>
        <v/>
      </c>
      <c r="I63" s="323" t="str">
        <f>名簿!Y60</f>
        <v/>
      </c>
      <c r="J63" s="323" t="str">
        <f>名簿!CN60</f>
        <v/>
      </c>
      <c r="K63" s="900">
        <f>名簿!CP60</f>
        <v>0</v>
      </c>
      <c r="L63" s="901" t="str">
        <f>名簿!CU60</f>
        <v>00</v>
      </c>
      <c r="M63" s="322" t="str">
        <f>名簿!Q60</f>
        <v/>
      </c>
      <c r="N63" s="1315">
        <f>名簿!D60</f>
        <v>0</v>
      </c>
      <c r="O63" s="327"/>
      <c r="P63" s="258" t="str">
        <f>IF(O63="","",IF(I63=1,VLOOKUP(O63,男子種目コード!$P$1:$Q$26,2,FALSE),IF(I63=2,VLOOKUP(O63,女子種目コード!$P$1:$Q$26,2,FALSE))))</f>
        <v/>
      </c>
      <c r="Q63" s="494" t="str">
        <f>IF(O63="","",HLOOKUP(O63,名簿!$AH$3:$CH$118,58,FALSE))</f>
        <v/>
      </c>
      <c r="R63" s="1002"/>
      <c r="S63" s="843" t="str">
        <f t="shared" si="4"/>
        <v/>
      </c>
      <c r="T63" s="844" t="str">
        <f t="shared" si="5"/>
        <v/>
      </c>
      <c r="U63" s="327"/>
      <c r="V63" s="258" t="str">
        <f>IF(U63="","",IF(I63=1,VLOOKUP(U63,男子種目コード!$P$1:$Q$26,2,FALSE),IF(I63=2,VLOOKUP(U63,女子種目コード!$P$1:$Q$26,2,FALSE))))</f>
        <v/>
      </c>
      <c r="W63" s="494" t="str">
        <f>IF(U63="","",HLOOKUP(U63,名簿!$AH$3:$CH$118,58,FALSE))</f>
        <v/>
      </c>
      <c r="X63" s="1004"/>
      <c r="Y63" s="843" t="str">
        <f t="shared" si="6"/>
        <v/>
      </c>
      <c r="Z63" s="844" t="str">
        <f t="shared" si="7"/>
        <v/>
      </c>
      <c r="AA63" s="569" t="str">
        <f>IF(X63="","",IF(I63=1,VLOOKUP(X63,男子種目コード!$J$2:$K$30,2,FALSE),IF(I63=2,VLOOKUP(X63,女子種目コード!$J$2:$K$28,2,FALSE))))</f>
        <v/>
      </c>
      <c r="AB63" s="818"/>
      <c r="AC63" s="831"/>
      <c r="AD63" s="322" t="str">
        <f>IF(AC63="","",IF(I63=1,VLOOKUP(AC63,男子種目コード!$J$2:$K$30,2,FALSE),IF(I63=2,VLOOKUP(AC63,女子種目コード!$J$2:$K$28,2,FALSE))))</f>
        <v/>
      </c>
      <c r="AE63" s="818"/>
      <c r="AF63" s="831"/>
      <c r="AG63" s="322" t="str">
        <f>IF(AF63="","",IF(I63=1,VLOOKUP(AF63,男子種目コード!$J$2:$K$30,2,FALSE),IF(I63=2,VLOOKUP(AF63,女子種目コード!$J$2:$K$28,2,FALSE))))</f>
        <v/>
      </c>
      <c r="AH63" s="819"/>
      <c r="AI63" s="20"/>
      <c r="AJ63" s="20"/>
      <c r="AK63" s="19"/>
      <c r="AL63" s="838"/>
      <c r="AM63" s="848" t="str">
        <f t="shared" si="8"/>
        <v/>
      </c>
      <c r="AN63" s="57" t="str">
        <f t="shared" si="9"/>
        <v/>
      </c>
      <c r="AO63" s="1162"/>
      <c r="AP63" s="1162"/>
      <c r="AQ63" s="340"/>
      <c r="AR63" s="224"/>
      <c r="AS63" s="224"/>
      <c r="AU63" s="22"/>
      <c r="AV63" s="22"/>
      <c r="AX63" s="331">
        <f t="shared" si="10"/>
        <v>0</v>
      </c>
      <c r="AY63" s="224"/>
      <c r="AZ63" s="224"/>
      <c r="BA63" s="224"/>
      <c r="BB63" s="224"/>
      <c r="BC63" s="19">
        <f t="shared" si="11"/>
        <v>0</v>
      </c>
      <c r="BD63" s="19" t="str">
        <f t="shared" si="12"/>
        <v/>
      </c>
      <c r="BE63" s="19" t="str">
        <f t="shared" si="13"/>
        <v/>
      </c>
    </row>
    <row r="64" spans="2:57">
      <c r="B64" s="322" t="str">
        <f>名簿!P61</f>
        <v/>
      </c>
      <c r="C64" s="825"/>
      <c r="D64" s="825"/>
      <c r="E64" s="1321">
        <f>名簿!E61</f>
        <v>0</v>
      </c>
      <c r="F64" s="563" t="str">
        <f>名簿!CM61</f>
        <v/>
      </c>
      <c r="G64" s="322" t="str">
        <f>名簿!Z61</f>
        <v/>
      </c>
      <c r="H64" s="322" t="str">
        <f>名簿!CM61</f>
        <v/>
      </c>
      <c r="I64" s="323" t="str">
        <f>名簿!Y61</f>
        <v/>
      </c>
      <c r="J64" s="323" t="str">
        <f>名簿!CN61</f>
        <v/>
      </c>
      <c r="K64" s="900">
        <f>名簿!CP61</f>
        <v>0</v>
      </c>
      <c r="L64" s="901" t="str">
        <f>名簿!CU61</f>
        <v>00</v>
      </c>
      <c r="M64" s="322" t="str">
        <f>名簿!Q61</f>
        <v/>
      </c>
      <c r="N64" s="1315">
        <f>名簿!D61</f>
        <v>0</v>
      </c>
      <c r="O64" s="327"/>
      <c r="P64" s="258" t="str">
        <f>IF(O64="","",IF(I64=1,VLOOKUP(O64,男子種目コード!$P$1:$Q$26,2,FALSE),IF(I64=2,VLOOKUP(O64,女子種目コード!$P$1:$Q$26,2,FALSE))))</f>
        <v/>
      </c>
      <c r="Q64" s="494" t="str">
        <f>IF(O64="","",HLOOKUP(O64,名簿!$AH$3:$CH$118,59,FALSE))</f>
        <v/>
      </c>
      <c r="R64" s="1002"/>
      <c r="S64" s="843" t="str">
        <f t="shared" si="4"/>
        <v/>
      </c>
      <c r="T64" s="844" t="str">
        <f t="shared" si="5"/>
        <v/>
      </c>
      <c r="U64" s="327"/>
      <c r="V64" s="258" t="str">
        <f>IF(U64="","",IF(I64=1,VLOOKUP(U64,男子種目コード!$P$1:$Q$26,2,FALSE),IF(I64=2,VLOOKUP(U64,女子種目コード!$P$1:$Q$26,2,FALSE))))</f>
        <v/>
      </c>
      <c r="W64" s="494" t="str">
        <f>IF(U64="","",HLOOKUP(U64,名簿!$AH$3:$CH$118,59,FALSE))</f>
        <v/>
      </c>
      <c r="X64" s="1004"/>
      <c r="Y64" s="843" t="str">
        <f t="shared" si="6"/>
        <v/>
      </c>
      <c r="Z64" s="844" t="str">
        <f t="shared" si="7"/>
        <v/>
      </c>
      <c r="AA64" s="569" t="str">
        <f>IF(X64="","",IF(I64=1,VLOOKUP(X64,男子種目コード!$J$2:$K$30,2,FALSE),IF(I64=2,VLOOKUP(X64,女子種目コード!$J$2:$K$28,2,FALSE))))</f>
        <v/>
      </c>
      <c r="AB64" s="818"/>
      <c r="AC64" s="831"/>
      <c r="AD64" s="322" t="str">
        <f>IF(AC64="","",IF(I64=1,VLOOKUP(AC64,男子種目コード!$J$2:$K$30,2,FALSE),IF(I64=2,VLOOKUP(AC64,女子種目コード!$J$2:$K$28,2,FALSE))))</f>
        <v/>
      </c>
      <c r="AE64" s="818"/>
      <c r="AF64" s="831"/>
      <c r="AG64" s="322" t="str">
        <f>IF(AF64="","",IF(I64=1,VLOOKUP(AF64,男子種目コード!$J$2:$K$30,2,FALSE),IF(I64=2,VLOOKUP(AF64,女子種目コード!$J$2:$K$28,2,FALSE))))</f>
        <v/>
      </c>
      <c r="AH64" s="819"/>
      <c r="AI64" s="20"/>
      <c r="AJ64" s="20"/>
      <c r="AK64" s="19"/>
      <c r="AL64" s="838"/>
      <c r="AM64" s="848" t="str">
        <f t="shared" si="8"/>
        <v/>
      </c>
      <c r="AN64" s="57" t="str">
        <f t="shared" si="9"/>
        <v/>
      </c>
      <c r="AO64" s="307"/>
      <c r="AP64" s="339"/>
      <c r="AQ64" s="340"/>
      <c r="AR64" s="224"/>
      <c r="AS64" s="224"/>
      <c r="AU64" s="22"/>
      <c r="AV64" s="22"/>
      <c r="AX64" s="331">
        <f t="shared" si="10"/>
        <v>0</v>
      </c>
      <c r="AY64" s="224"/>
      <c r="AZ64" s="224"/>
      <c r="BA64" s="224"/>
      <c r="BB64" s="224"/>
      <c r="BC64" s="19">
        <f t="shared" si="11"/>
        <v>0</v>
      </c>
      <c r="BD64" s="19" t="str">
        <f t="shared" si="12"/>
        <v/>
      </c>
      <c r="BE64" s="19" t="str">
        <f t="shared" si="13"/>
        <v/>
      </c>
    </row>
    <row r="65" spans="2:57">
      <c r="B65" s="322" t="str">
        <f>名簿!P62</f>
        <v/>
      </c>
      <c r="C65" s="825"/>
      <c r="D65" s="825"/>
      <c r="E65" s="1321">
        <f>名簿!E62</f>
        <v>0</v>
      </c>
      <c r="F65" s="563" t="str">
        <f>名簿!CM62</f>
        <v/>
      </c>
      <c r="G65" s="322" t="str">
        <f>名簿!Z62</f>
        <v/>
      </c>
      <c r="H65" s="322" t="str">
        <f>名簿!CM62</f>
        <v/>
      </c>
      <c r="I65" s="323" t="str">
        <f>名簿!Y62</f>
        <v/>
      </c>
      <c r="J65" s="323" t="str">
        <f>名簿!CN62</f>
        <v/>
      </c>
      <c r="K65" s="900">
        <f>名簿!CP62</f>
        <v>0</v>
      </c>
      <c r="L65" s="901" t="str">
        <f>名簿!CU62</f>
        <v>00</v>
      </c>
      <c r="M65" s="322" t="str">
        <f>名簿!Q62</f>
        <v/>
      </c>
      <c r="N65" s="1315">
        <f>名簿!D62</f>
        <v>0</v>
      </c>
      <c r="O65" s="327"/>
      <c r="P65" s="258" t="str">
        <f>IF(O65="","",IF(I65=1,VLOOKUP(O65,男子種目コード!$P$1:$Q$26,2,FALSE),IF(I65=2,VLOOKUP(O65,女子種目コード!$P$1:$Q$26,2,FALSE))))</f>
        <v/>
      </c>
      <c r="Q65" s="494" t="str">
        <f>IF(O65="","",HLOOKUP(O65,名簿!$AH$3:$CH$118,60,FALSE))</f>
        <v/>
      </c>
      <c r="R65" s="1002"/>
      <c r="S65" s="843" t="str">
        <f t="shared" si="4"/>
        <v/>
      </c>
      <c r="T65" s="844" t="str">
        <f t="shared" si="5"/>
        <v/>
      </c>
      <c r="U65" s="327"/>
      <c r="V65" s="258" t="str">
        <f>IF(U65="","",IF(I65=1,VLOOKUP(U65,男子種目コード!$P$1:$Q$26,2,FALSE),IF(I65=2,VLOOKUP(U65,女子種目コード!$P$1:$Q$26,2,FALSE))))</f>
        <v/>
      </c>
      <c r="W65" s="494" t="str">
        <f>IF(U65="","",HLOOKUP(U65,名簿!$AH$3:$CH$118,60,FALSE))</f>
        <v/>
      </c>
      <c r="X65" s="1004"/>
      <c r="Y65" s="843" t="str">
        <f t="shared" si="6"/>
        <v/>
      </c>
      <c r="Z65" s="844" t="str">
        <f t="shared" si="7"/>
        <v/>
      </c>
      <c r="AA65" s="569" t="str">
        <f>IF(X65="","",IF(I65=1,VLOOKUP(X65,男子種目コード!$J$2:$K$30,2,FALSE),IF(I65=2,VLOOKUP(X65,女子種目コード!$J$2:$K$28,2,FALSE))))</f>
        <v/>
      </c>
      <c r="AB65" s="818"/>
      <c r="AC65" s="831"/>
      <c r="AD65" s="322" t="str">
        <f>IF(AC65="","",IF(I65=1,VLOOKUP(AC65,男子種目コード!$J$2:$K$30,2,FALSE),IF(I65=2,VLOOKUP(AC65,女子種目コード!$J$2:$K$28,2,FALSE))))</f>
        <v/>
      </c>
      <c r="AE65" s="818"/>
      <c r="AF65" s="831"/>
      <c r="AG65" s="322" t="str">
        <f>IF(AF65="","",IF(I65=1,VLOOKUP(AF65,男子種目コード!$J$2:$K$30,2,FALSE),IF(I65=2,VLOOKUP(AF65,女子種目コード!$J$2:$K$28,2,FALSE))))</f>
        <v/>
      </c>
      <c r="AH65" s="819"/>
      <c r="AI65" s="20"/>
      <c r="AJ65" s="20"/>
      <c r="AK65" s="19"/>
      <c r="AL65" s="838"/>
      <c r="AM65" s="848" t="str">
        <f t="shared" si="8"/>
        <v/>
      </c>
      <c r="AN65" s="57" t="str">
        <f t="shared" si="9"/>
        <v/>
      </c>
      <c r="AO65" s="307"/>
      <c r="AP65" s="339"/>
      <c r="AQ65" s="216"/>
      <c r="AR65" s="224"/>
      <c r="AS65" s="224"/>
      <c r="AU65" s="22"/>
      <c r="AV65" s="22"/>
      <c r="AX65" s="331">
        <f t="shared" si="10"/>
        <v>0</v>
      </c>
      <c r="AY65" s="224"/>
      <c r="AZ65" s="224"/>
      <c r="BA65" s="224"/>
      <c r="BB65" s="224"/>
      <c r="BC65" s="19">
        <f t="shared" si="11"/>
        <v>0</v>
      </c>
      <c r="BD65" s="19" t="str">
        <f t="shared" si="12"/>
        <v/>
      </c>
      <c r="BE65" s="19" t="str">
        <f t="shared" si="13"/>
        <v/>
      </c>
    </row>
    <row r="66" spans="2:57">
      <c r="B66" s="322" t="str">
        <f>名簿!P63</f>
        <v/>
      </c>
      <c r="C66" s="825"/>
      <c r="D66" s="825"/>
      <c r="E66" s="1321">
        <f>名簿!E63</f>
        <v>0</v>
      </c>
      <c r="F66" s="563" t="str">
        <f>名簿!CM63</f>
        <v/>
      </c>
      <c r="G66" s="322" t="str">
        <f>名簿!Z63</f>
        <v/>
      </c>
      <c r="H66" s="322" t="str">
        <f>名簿!CM63</f>
        <v/>
      </c>
      <c r="I66" s="323" t="str">
        <f>名簿!Y63</f>
        <v/>
      </c>
      <c r="J66" s="323" t="str">
        <f>名簿!CN63</f>
        <v/>
      </c>
      <c r="K66" s="900">
        <f>名簿!CP63</f>
        <v>0</v>
      </c>
      <c r="L66" s="901" t="str">
        <f>名簿!CU63</f>
        <v>00</v>
      </c>
      <c r="M66" s="322" t="str">
        <f>名簿!Q63</f>
        <v/>
      </c>
      <c r="N66" s="1315">
        <f>名簿!D63</f>
        <v>0</v>
      </c>
      <c r="O66" s="327"/>
      <c r="P66" s="258" t="str">
        <f>IF(O66="","",IF(I66=1,VLOOKUP(O66,男子種目コード!$P$1:$Q$26,2,FALSE),IF(I66=2,VLOOKUP(O66,女子種目コード!$P$1:$Q$26,2,FALSE))))</f>
        <v/>
      </c>
      <c r="Q66" s="494" t="str">
        <f>IF(O66="","",HLOOKUP(O66,名簿!$AH$3:$CH$118,61,FALSE))</f>
        <v/>
      </c>
      <c r="R66" s="1002"/>
      <c r="S66" s="843" t="str">
        <f t="shared" si="4"/>
        <v/>
      </c>
      <c r="T66" s="844" t="str">
        <f t="shared" si="5"/>
        <v/>
      </c>
      <c r="U66" s="327"/>
      <c r="V66" s="258" t="str">
        <f>IF(U66="","",IF(I66=1,VLOOKUP(U66,男子種目コード!$P$1:$Q$26,2,FALSE),IF(I66=2,VLOOKUP(U66,女子種目コード!$P$1:$Q$26,2,FALSE))))</f>
        <v/>
      </c>
      <c r="W66" s="494" t="str">
        <f>IF(U66="","",HLOOKUP(U66,名簿!$AH$3:$CH$118,61,FALSE))</f>
        <v/>
      </c>
      <c r="X66" s="1004"/>
      <c r="Y66" s="843" t="str">
        <f t="shared" si="6"/>
        <v/>
      </c>
      <c r="Z66" s="844" t="str">
        <f t="shared" si="7"/>
        <v/>
      </c>
      <c r="AA66" s="569" t="str">
        <f>IF(X66="","",IF(I66=1,VLOOKUP(X66,男子種目コード!$J$2:$K$30,2,FALSE),IF(I66=2,VLOOKUP(X66,女子種目コード!$J$2:$K$28,2,FALSE))))</f>
        <v/>
      </c>
      <c r="AB66" s="818"/>
      <c r="AC66" s="831"/>
      <c r="AD66" s="322" t="str">
        <f>IF(AC66="","",IF(I66=1,VLOOKUP(AC66,男子種目コード!$J$2:$K$30,2,FALSE),IF(I66=2,VLOOKUP(AC66,女子種目コード!$J$2:$K$28,2,FALSE))))</f>
        <v/>
      </c>
      <c r="AE66" s="818"/>
      <c r="AF66" s="831"/>
      <c r="AG66" s="322" t="str">
        <f>IF(AF66="","",IF(I66=1,VLOOKUP(AF66,男子種目コード!$J$2:$K$30,2,FALSE),IF(I66=2,VLOOKUP(AF66,女子種目コード!$J$2:$K$28,2,FALSE))))</f>
        <v/>
      </c>
      <c r="AH66" s="819"/>
      <c r="AI66" s="20"/>
      <c r="AJ66" s="20"/>
      <c r="AK66" s="19"/>
      <c r="AL66" s="838"/>
      <c r="AM66" s="848" t="str">
        <f t="shared" si="8"/>
        <v/>
      </c>
      <c r="AN66" s="57" t="str">
        <f t="shared" si="9"/>
        <v/>
      </c>
      <c r="AO66" s="307"/>
      <c r="AP66" s="339"/>
      <c r="AQ66" s="340"/>
      <c r="AR66" s="224"/>
      <c r="AS66" s="224"/>
      <c r="AU66" s="22"/>
      <c r="AV66" s="22"/>
      <c r="AX66" s="331">
        <f t="shared" si="10"/>
        <v>0</v>
      </c>
      <c r="AY66" s="224"/>
      <c r="AZ66" s="224"/>
      <c r="BA66" s="224"/>
      <c r="BB66" s="224"/>
      <c r="BC66" s="19">
        <f t="shared" si="11"/>
        <v>0</v>
      </c>
      <c r="BD66" s="19" t="str">
        <f t="shared" si="12"/>
        <v/>
      </c>
      <c r="BE66" s="19" t="str">
        <f t="shared" si="13"/>
        <v/>
      </c>
    </row>
    <row r="67" spans="2:57">
      <c r="B67" s="322" t="str">
        <f>名簿!P64</f>
        <v/>
      </c>
      <c r="C67" s="825"/>
      <c r="D67" s="825"/>
      <c r="E67" s="1321">
        <f>名簿!E64</f>
        <v>0</v>
      </c>
      <c r="F67" s="563" t="str">
        <f>名簿!CM64</f>
        <v/>
      </c>
      <c r="G67" s="322" t="str">
        <f>名簿!Z64</f>
        <v/>
      </c>
      <c r="H67" s="322" t="str">
        <f>名簿!CM64</f>
        <v/>
      </c>
      <c r="I67" s="323" t="str">
        <f>名簿!Y64</f>
        <v/>
      </c>
      <c r="J67" s="323" t="str">
        <f>名簿!CN64</f>
        <v/>
      </c>
      <c r="K67" s="900">
        <f>名簿!CP64</f>
        <v>0</v>
      </c>
      <c r="L67" s="901" t="str">
        <f>名簿!CU64</f>
        <v>00</v>
      </c>
      <c r="M67" s="322" t="str">
        <f>名簿!Q64</f>
        <v/>
      </c>
      <c r="N67" s="1315">
        <f>名簿!D64</f>
        <v>0</v>
      </c>
      <c r="O67" s="327"/>
      <c r="P67" s="258" t="str">
        <f>IF(O67="","",IF(I67=1,VLOOKUP(O67,男子種目コード!$P$1:$Q$26,2,FALSE),IF(I67=2,VLOOKUP(O67,女子種目コード!$P$1:$Q$26,2,FALSE))))</f>
        <v/>
      </c>
      <c r="Q67" s="494" t="str">
        <f>IF(O67="","",HLOOKUP(O67,名簿!$AH$3:$CH$118,62,FALSE))</f>
        <v/>
      </c>
      <c r="R67" s="1002"/>
      <c r="S67" s="843" t="str">
        <f t="shared" si="4"/>
        <v/>
      </c>
      <c r="T67" s="844" t="str">
        <f t="shared" si="5"/>
        <v/>
      </c>
      <c r="U67" s="327"/>
      <c r="V67" s="258" t="str">
        <f>IF(U67="","",IF(I67=1,VLOOKUP(U67,男子種目コード!$P$1:$Q$26,2,FALSE),IF(I67=2,VLOOKUP(U67,女子種目コード!$P$1:$Q$26,2,FALSE))))</f>
        <v/>
      </c>
      <c r="W67" s="494" t="str">
        <f>IF(U67="","",HLOOKUP(U67,名簿!$AH$3:$CH$118,62,FALSE))</f>
        <v/>
      </c>
      <c r="X67" s="1004"/>
      <c r="Y67" s="843" t="str">
        <f t="shared" si="6"/>
        <v/>
      </c>
      <c r="Z67" s="844" t="str">
        <f t="shared" si="7"/>
        <v/>
      </c>
      <c r="AA67" s="569" t="str">
        <f>IF(X67="","",IF(I67=1,VLOOKUP(X67,男子種目コード!$J$2:$K$30,2,FALSE),IF(I67=2,VLOOKUP(X67,女子種目コード!$J$2:$K$28,2,FALSE))))</f>
        <v/>
      </c>
      <c r="AB67" s="818"/>
      <c r="AC67" s="831"/>
      <c r="AD67" s="322" t="str">
        <f>IF(AC67="","",IF(I67=1,VLOOKUP(AC67,男子種目コード!$J$2:$K$30,2,FALSE),IF(I67=2,VLOOKUP(AC67,女子種目コード!$J$2:$K$28,2,FALSE))))</f>
        <v/>
      </c>
      <c r="AE67" s="818"/>
      <c r="AF67" s="831"/>
      <c r="AG67" s="322" t="str">
        <f>IF(AF67="","",IF(I67=1,VLOOKUP(AF67,男子種目コード!$J$2:$K$30,2,FALSE),IF(I67=2,VLOOKUP(AF67,女子種目コード!$J$2:$K$28,2,FALSE))))</f>
        <v/>
      </c>
      <c r="AH67" s="819"/>
      <c r="AI67" s="20"/>
      <c r="AJ67" s="20"/>
      <c r="AK67" s="19"/>
      <c r="AL67" s="838"/>
      <c r="AM67" s="848" t="str">
        <f t="shared" si="8"/>
        <v/>
      </c>
      <c r="AN67" s="57" t="str">
        <f t="shared" si="9"/>
        <v/>
      </c>
      <c r="AO67" s="307"/>
      <c r="AP67" s="339"/>
      <c r="AQ67" s="340"/>
      <c r="AR67" s="224"/>
      <c r="AS67" s="224"/>
      <c r="AU67" s="22"/>
      <c r="AV67" s="22"/>
      <c r="AX67" s="331">
        <f t="shared" si="10"/>
        <v>0</v>
      </c>
      <c r="AY67" s="224"/>
      <c r="AZ67" s="224"/>
      <c r="BA67" s="224"/>
      <c r="BB67" s="224"/>
      <c r="BC67" s="19">
        <f t="shared" si="11"/>
        <v>0</v>
      </c>
      <c r="BD67" s="19" t="str">
        <f t="shared" si="12"/>
        <v/>
      </c>
      <c r="BE67" s="19" t="str">
        <f t="shared" si="13"/>
        <v/>
      </c>
    </row>
    <row r="68" spans="2:57">
      <c r="B68" s="322" t="str">
        <f>名簿!P65</f>
        <v/>
      </c>
      <c r="C68" s="825"/>
      <c r="D68" s="825"/>
      <c r="E68" s="1321">
        <f>名簿!E65</f>
        <v>0</v>
      </c>
      <c r="F68" s="563" t="str">
        <f>名簿!CM65</f>
        <v/>
      </c>
      <c r="G68" s="322" t="str">
        <f>名簿!Z65</f>
        <v/>
      </c>
      <c r="H68" s="322" t="str">
        <f>名簿!CM65</f>
        <v/>
      </c>
      <c r="I68" s="323" t="str">
        <f>名簿!Y65</f>
        <v/>
      </c>
      <c r="J68" s="323" t="str">
        <f>名簿!CN65</f>
        <v/>
      </c>
      <c r="K68" s="900">
        <f>名簿!CP65</f>
        <v>0</v>
      </c>
      <c r="L68" s="901" t="str">
        <f>名簿!CU65</f>
        <v>00</v>
      </c>
      <c r="M68" s="322" t="str">
        <f>名簿!Q65</f>
        <v/>
      </c>
      <c r="N68" s="1315">
        <f>名簿!D65</f>
        <v>0</v>
      </c>
      <c r="O68" s="327"/>
      <c r="P68" s="258" t="str">
        <f>IF(O68="","",IF(I68=1,VLOOKUP(O68,男子種目コード!$P$1:$Q$26,2,FALSE),IF(I68=2,VLOOKUP(O68,女子種目コード!$P$1:$Q$26,2,FALSE))))</f>
        <v/>
      </c>
      <c r="Q68" s="494" t="str">
        <f>IF(O68="","",HLOOKUP(O68,名簿!$AH$3:$CH$118,63,FALSE))</f>
        <v/>
      </c>
      <c r="R68" s="1002"/>
      <c r="S68" s="843" t="str">
        <f t="shared" si="4"/>
        <v/>
      </c>
      <c r="T68" s="844" t="str">
        <f t="shared" si="5"/>
        <v/>
      </c>
      <c r="U68" s="327"/>
      <c r="V68" s="258" t="str">
        <f>IF(U68="","",IF(I68=1,VLOOKUP(U68,男子種目コード!$P$1:$Q$26,2,FALSE),IF(I68=2,VLOOKUP(U68,女子種目コード!$P$1:$Q$26,2,FALSE))))</f>
        <v/>
      </c>
      <c r="W68" s="494" t="str">
        <f>IF(U68="","",HLOOKUP(U68,名簿!$AH$3:$CH$118,63,FALSE))</f>
        <v/>
      </c>
      <c r="X68" s="1004"/>
      <c r="Y68" s="843" t="str">
        <f t="shared" si="6"/>
        <v/>
      </c>
      <c r="Z68" s="844" t="str">
        <f t="shared" si="7"/>
        <v/>
      </c>
      <c r="AA68" s="569" t="str">
        <f>IF(X68="","",IF(I68=1,VLOOKUP(X68,男子種目コード!$J$2:$K$30,2,FALSE),IF(I68=2,VLOOKUP(X68,女子種目コード!$J$2:$K$28,2,FALSE))))</f>
        <v/>
      </c>
      <c r="AB68" s="818"/>
      <c r="AC68" s="831"/>
      <c r="AD68" s="322" t="str">
        <f>IF(AC68="","",IF(I68=1,VLOOKUP(AC68,男子種目コード!$J$2:$K$30,2,FALSE),IF(I68=2,VLOOKUP(AC68,女子種目コード!$J$2:$K$28,2,FALSE))))</f>
        <v/>
      </c>
      <c r="AE68" s="818"/>
      <c r="AF68" s="831"/>
      <c r="AG68" s="322" t="str">
        <f>IF(AF68="","",IF(I68=1,VLOOKUP(AF68,男子種目コード!$J$2:$K$30,2,FALSE),IF(I68=2,VLOOKUP(AF68,女子種目コード!$J$2:$K$28,2,FALSE))))</f>
        <v/>
      </c>
      <c r="AH68" s="819"/>
      <c r="AI68" s="20"/>
      <c r="AJ68" s="20"/>
      <c r="AK68" s="19"/>
      <c r="AL68" s="838"/>
      <c r="AM68" s="848" t="str">
        <f t="shared" si="8"/>
        <v/>
      </c>
      <c r="AN68" s="57" t="str">
        <f t="shared" si="9"/>
        <v/>
      </c>
      <c r="AO68" s="307"/>
      <c r="AP68" s="341"/>
      <c r="AQ68" s="340"/>
      <c r="AR68" s="224"/>
      <c r="AS68" s="224"/>
      <c r="AU68" s="22"/>
      <c r="AV68" s="22"/>
      <c r="AX68" s="331">
        <f t="shared" si="10"/>
        <v>0</v>
      </c>
      <c r="AY68" s="224"/>
      <c r="AZ68" s="224"/>
      <c r="BA68" s="224"/>
      <c r="BB68" s="224"/>
      <c r="BC68" s="19">
        <f t="shared" si="11"/>
        <v>0</v>
      </c>
      <c r="BD68" s="19" t="str">
        <f t="shared" si="12"/>
        <v/>
      </c>
      <c r="BE68" s="19" t="str">
        <f t="shared" si="13"/>
        <v/>
      </c>
    </row>
    <row r="69" spans="2:57">
      <c r="B69" s="322" t="str">
        <f>名簿!P66</f>
        <v/>
      </c>
      <c r="C69" s="825"/>
      <c r="D69" s="825"/>
      <c r="E69" s="1321">
        <f>名簿!E66</f>
        <v>0</v>
      </c>
      <c r="F69" s="563" t="str">
        <f>名簿!CM66</f>
        <v/>
      </c>
      <c r="G69" s="322" t="str">
        <f>名簿!Z66</f>
        <v/>
      </c>
      <c r="H69" s="322" t="str">
        <f>名簿!CM66</f>
        <v/>
      </c>
      <c r="I69" s="323" t="str">
        <f>名簿!Y66</f>
        <v/>
      </c>
      <c r="J69" s="323" t="str">
        <f>名簿!CN66</f>
        <v/>
      </c>
      <c r="K69" s="900">
        <f>名簿!CP66</f>
        <v>0</v>
      </c>
      <c r="L69" s="901" t="str">
        <f>名簿!CU66</f>
        <v>00</v>
      </c>
      <c r="M69" s="322" t="str">
        <f>名簿!Q66</f>
        <v/>
      </c>
      <c r="N69" s="1315">
        <f>名簿!D66</f>
        <v>0</v>
      </c>
      <c r="O69" s="327"/>
      <c r="P69" s="258" t="str">
        <f>IF(O69="","",IF(I69=1,VLOOKUP(O69,男子種目コード!$P$1:$Q$26,2,FALSE),IF(I69=2,VLOOKUP(O69,女子種目コード!$P$1:$Q$26,2,FALSE))))</f>
        <v/>
      </c>
      <c r="Q69" s="494" t="str">
        <f>IF(O69="","",HLOOKUP(O69,名簿!$AH$3:$CH$118,64,FALSE))</f>
        <v/>
      </c>
      <c r="R69" s="1002"/>
      <c r="S69" s="843" t="str">
        <f t="shared" si="4"/>
        <v/>
      </c>
      <c r="T69" s="844" t="str">
        <f t="shared" si="5"/>
        <v/>
      </c>
      <c r="U69" s="327"/>
      <c r="V69" s="258" t="str">
        <f>IF(U69="","",IF(I69=1,VLOOKUP(U69,男子種目コード!$P$1:$Q$26,2,FALSE),IF(I69=2,VLOOKUP(U69,女子種目コード!$P$1:$Q$26,2,FALSE))))</f>
        <v/>
      </c>
      <c r="W69" s="494" t="str">
        <f>IF(U69="","",HLOOKUP(U69,名簿!$AH$3:$CH$118,64,FALSE))</f>
        <v/>
      </c>
      <c r="X69" s="1004"/>
      <c r="Y69" s="843" t="str">
        <f t="shared" si="6"/>
        <v/>
      </c>
      <c r="Z69" s="844" t="str">
        <f t="shared" si="7"/>
        <v/>
      </c>
      <c r="AA69" s="569" t="str">
        <f>IF(X69="","",IF(I69=1,VLOOKUP(X69,男子種目コード!$J$2:$K$30,2,FALSE),IF(I69=2,VLOOKUP(X69,女子種目コード!$J$2:$K$28,2,FALSE))))</f>
        <v/>
      </c>
      <c r="AB69" s="818"/>
      <c r="AC69" s="831"/>
      <c r="AD69" s="322" t="str">
        <f>IF(AC69="","",IF(I69=1,VLOOKUP(AC69,男子種目コード!$J$2:$K$30,2,FALSE),IF(I69=2,VLOOKUP(AC69,女子種目コード!$J$2:$K$28,2,FALSE))))</f>
        <v/>
      </c>
      <c r="AE69" s="818"/>
      <c r="AF69" s="831"/>
      <c r="AG69" s="322" t="str">
        <f>IF(AF69="","",IF(I69=1,VLOOKUP(AF69,男子種目コード!$J$2:$K$30,2,FALSE),IF(I69=2,VLOOKUP(AF69,女子種目コード!$J$2:$K$28,2,FALSE))))</f>
        <v/>
      </c>
      <c r="AH69" s="819"/>
      <c r="AI69" s="20"/>
      <c r="AJ69" s="20"/>
      <c r="AK69" s="19"/>
      <c r="AL69" s="838"/>
      <c r="AM69" s="848" t="str">
        <f t="shared" si="8"/>
        <v/>
      </c>
      <c r="AN69" s="57" t="str">
        <f t="shared" si="9"/>
        <v/>
      </c>
      <c r="AO69" s="1162"/>
      <c r="AP69" s="1162"/>
      <c r="AQ69" s="340"/>
      <c r="AR69" s="224"/>
      <c r="AS69" s="224"/>
      <c r="AU69" s="22"/>
      <c r="AV69" s="22"/>
      <c r="AX69" s="331">
        <f t="shared" si="10"/>
        <v>0</v>
      </c>
      <c r="AY69" s="224"/>
      <c r="AZ69" s="224"/>
      <c r="BA69" s="224"/>
      <c r="BB69" s="224"/>
      <c r="BC69" s="19">
        <f t="shared" si="11"/>
        <v>0</v>
      </c>
      <c r="BD69" s="19" t="str">
        <f t="shared" si="12"/>
        <v/>
      </c>
      <c r="BE69" s="19" t="str">
        <f t="shared" si="13"/>
        <v/>
      </c>
    </row>
    <row r="70" spans="2:57">
      <c r="B70" s="322" t="str">
        <f>名簿!P67</f>
        <v/>
      </c>
      <c r="C70" s="825"/>
      <c r="D70" s="825"/>
      <c r="E70" s="1321">
        <f>名簿!E67</f>
        <v>0</v>
      </c>
      <c r="F70" s="563" t="str">
        <f>名簿!CM67</f>
        <v/>
      </c>
      <c r="G70" s="322" t="str">
        <f>名簿!Z67</f>
        <v/>
      </c>
      <c r="H70" s="322" t="str">
        <f>名簿!CM67</f>
        <v/>
      </c>
      <c r="I70" s="323" t="str">
        <f>名簿!Y67</f>
        <v/>
      </c>
      <c r="J70" s="323" t="str">
        <f>名簿!CN67</f>
        <v/>
      </c>
      <c r="K70" s="900">
        <f>名簿!CP67</f>
        <v>0</v>
      </c>
      <c r="L70" s="901" t="str">
        <f>名簿!CU67</f>
        <v>00</v>
      </c>
      <c r="M70" s="322" t="str">
        <f>名簿!Q67</f>
        <v/>
      </c>
      <c r="N70" s="1315">
        <f>名簿!D67</f>
        <v>0</v>
      </c>
      <c r="O70" s="327"/>
      <c r="P70" s="258" t="str">
        <f>IF(O70="","",IF(I70=1,VLOOKUP(O70,男子種目コード!$P$1:$Q$26,2,FALSE),IF(I70=2,VLOOKUP(O70,女子種目コード!$P$1:$Q$26,2,FALSE))))</f>
        <v/>
      </c>
      <c r="Q70" s="494" t="str">
        <f>IF(O70="","",HLOOKUP(O70,名簿!$AH$3:$CH$118,65,FALSE))</f>
        <v/>
      </c>
      <c r="R70" s="1002"/>
      <c r="S70" s="843" t="str">
        <f t="shared" si="4"/>
        <v/>
      </c>
      <c r="T70" s="844" t="str">
        <f t="shared" si="5"/>
        <v/>
      </c>
      <c r="U70" s="327"/>
      <c r="V70" s="258" t="str">
        <f>IF(U70="","",IF(I70=1,VLOOKUP(U70,男子種目コード!$P$1:$Q$26,2,FALSE),IF(I70=2,VLOOKUP(U70,女子種目コード!$P$1:$Q$26,2,FALSE))))</f>
        <v/>
      </c>
      <c r="W70" s="494" t="str">
        <f>IF(U70="","",HLOOKUP(U70,名簿!$AH$3:$CH$118,65,FALSE))</f>
        <v/>
      </c>
      <c r="X70" s="1004"/>
      <c r="Y70" s="843" t="str">
        <f t="shared" si="6"/>
        <v/>
      </c>
      <c r="Z70" s="844" t="str">
        <f t="shared" si="7"/>
        <v/>
      </c>
      <c r="AA70" s="569" t="str">
        <f>IF(X70="","",IF(I70=1,VLOOKUP(X70,男子種目コード!$J$2:$K$30,2,FALSE),IF(I70=2,VLOOKUP(X70,女子種目コード!$J$2:$K$28,2,FALSE))))</f>
        <v/>
      </c>
      <c r="AB70" s="818"/>
      <c r="AC70" s="831"/>
      <c r="AD70" s="322" t="str">
        <f>IF(AC70="","",IF(I70=1,VLOOKUP(AC70,男子種目コード!$J$2:$K$30,2,FALSE),IF(I70=2,VLOOKUP(AC70,女子種目コード!$J$2:$K$28,2,FALSE))))</f>
        <v/>
      </c>
      <c r="AE70" s="818"/>
      <c r="AF70" s="831"/>
      <c r="AG70" s="322" t="str">
        <f>IF(AF70="","",IF(I70=1,VLOOKUP(AF70,男子種目コード!$J$2:$K$30,2,FALSE),IF(I70=2,VLOOKUP(AF70,女子種目コード!$J$2:$K$28,2,FALSE))))</f>
        <v/>
      </c>
      <c r="AH70" s="819"/>
      <c r="AI70" s="20"/>
      <c r="AJ70" s="20"/>
      <c r="AK70" s="19"/>
      <c r="AL70" s="838"/>
      <c r="AM70" s="848" t="str">
        <f t="shared" si="8"/>
        <v/>
      </c>
      <c r="AN70" s="57" t="str">
        <f t="shared" si="9"/>
        <v/>
      </c>
      <c r="AO70" s="307"/>
      <c r="AP70" s="339"/>
      <c r="AQ70" s="340"/>
      <c r="AR70" s="224"/>
      <c r="AS70" s="224"/>
      <c r="AU70" s="22"/>
      <c r="AV70" s="22"/>
      <c r="AX70" s="331">
        <f t="shared" si="10"/>
        <v>0</v>
      </c>
      <c r="AY70" s="224"/>
      <c r="AZ70" s="224"/>
      <c r="BA70" s="224"/>
      <c r="BB70" s="224"/>
      <c r="BC70" s="19">
        <f t="shared" si="11"/>
        <v>0</v>
      </c>
      <c r="BD70" s="19" t="str">
        <f t="shared" si="12"/>
        <v/>
      </c>
      <c r="BE70" s="19" t="str">
        <f t="shared" si="13"/>
        <v/>
      </c>
    </row>
    <row r="71" spans="2:57">
      <c r="B71" s="322" t="str">
        <f>名簿!P68</f>
        <v/>
      </c>
      <c r="C71" s="825"/>
      <c r="D71" s="825"/>
      <c r="E71" s="1321">
        <f>名簿!E68</f>
        <v>0</v>
      </c>
      <c r="F71" s="563" t="str">
        <f>名簿!CM68</f>
        <v/>
      </c>
      <c r="G71" s="322" t="str">
        <f>名簿!Z68</f>
        <v/>
      </c>
      <c r="H71" s="322" t="str">
        <f>名簿!CM68</f>
        <v/>
      </c>
      <c r="I71" s="323" t="str">
        <f>名簿!Y68</f>
        <v/>
      </c>
      <c r="J71" s="323" t="str">
        <f>名簿!CN68</f>
        <v/>
      </c>
      <c r="K71" s="900">
        <f>名簿!CP68</f>
        <v>0</v>
      </c>
      <c r="L71" s="901" t="str">
        <f>名簿!CU68</f>
        <v>00</v>
      </c>
      <c r="M71" s="322" t="str">
        <f>名簿!Q68</f>
        <v/>
      </c>
      <c r="N71" s="1315">
        <f>名簿!D68</f>
        <v>0</v>
      </c>
      <c r="O71" s="327"/>
      <c r="P71" s="258" t="str">
        <f>IF(O71="","",IF(I71=1,VLOOKUP(O71,男子種目コード!$P$1:$Q$26,2,FALSE),IF(I71=2,VLOOKUP(O71,女子種目コード!$P$1:$Q$26,2,FALSE))))</f>
        <v/>
      </c>
      <c r="Q71" s="494" t="str">
        <f>IF(O71="","",HLOOKUP(O71,名簿!$AH$3:$CH$118,66,FALSE))</f>
        <v/>
      </c>
      <c r="R71" s="1002"/>
      <c r="S71" s="843" t="str">
        <f t="shared" si="4"/>
        <v/>
      </c>
      <c r="T71" s="844" t="str">
        <f t="shared" si="5"/>
        <v/>
      </c>
      <c r="U71" s="327"/>
      <c r="V71" s="258" t="str">
        <f>IF(U71="","",IF(I71=1,VLOOKUP(U71,男子種目コード!$P$1:$Q$26,2,FALSE),IF(I71=2,VLOOKUP(U71,女子種目コード!$P$1:$Q$26,2,FALSE))))</f>
        <v/>
      </c>
      <c r="W71" s="494" t="str">
        <f>IF(U71="","",HLOOKUP(U71,名簿!$AH$3:$CH$118,66,FALSE))</f>
        <v/>
      </c>
      <c r="X71" s="1004"/>
      <c r="Y71" s="843" t="str">
        <f t="shared" si="6"/>
        <v/>
      </c>
      <c r="Z71" s="844" t="str">
        <f t="shared" si="7"/>
        <v/>
      </c>
      <c r="AA71" s="569" t="str">
        <f>IF(X71="","",IF(I71=1,VLOOKUP(X71,男子種目コード!$J$2:$K$30,2,FALSE),IF(I71=2,VLOOKUP(X71,女子種目コード!$J$2:$K$28,2,FALSE))))</f>
        <v/>
      </c>
      <c r="AB71" s="818"/>
      <c r="AC71" s="831"/>
      <c r="AD71" s="322" t="str">
        <f>IF(AC71="","",IF(I71=1,VLOOKUP(AC71,男子種目コード!$J$2:$K$30,2,FALSE),IF(I71=2,VLOOKUP(AC71,女子種目コード!$J$2:$K$28,2,FALSE))))</f>
        <v/>
      </c>
      <c r="AE71" s="818"/>
      <c r="AF71" s="831"/>
      <c r="AG71" s="322" t="str">
        <f>IF(AF71="","",IF(I71=1,VLOOKUP(AF71,男子種目コード!$J$2:$K$30,2,FALSE),IF(I71=2,VLOOKUP(AF71,女子種目コード!$J$2:$K$28,2,FALSE))))</f>
        <v/>
      </c>
      <c r="AH71" s="819"/>
      <c r="AI71" s="20"/>
      <c r="AJ71" s="20"/>
      <c r="AK71" s="19"/>
      <c r="AL71" s="838"/>
      <c r="AM71" s="848" t="str">
        <f t="shared" si="8"/>
        <v/>
      </c>
      <c r="AN71" s="57" t="str">
        <f t="shared" si="9"/>
        <v/>
      </c>
      <c r="AO71" s="307"/>
      <c r="AP71" s="339"/>
      <c r="AQ71" s="216"/>
      <c r="AR71" s="224"/>
      <c r="AS71" s="224"/>
      <c r="AU71" s="22"/>
      <c r="AV71" s="22"/>
      <c r="AX71" s="331">
        <f t="shared" ref="AX71:AX102" si="14">IF(OR(AM71=1,U71=""),0,1)</f>
        <v>0</v>
      </c>
      <c r="AY71" s="224"/>
      <c r="AZ71" s="224"/>
      <c r="BA71" s="224"/>
      <c r="BB71" s="224"/>
      <c r="BC71" s="19">
        <f t="shared" ref="BC71:BC102" si="15">COUNT(P71,V71,AA71)</f>
        <v>0</v>
      </c>
      <c r="BD71" s="19" t="str">
        <f t="shared" ref="BD71:BD102" si="16">IF(I71=1,BC71,"")</f>
        <v/>
      </c>
      <c r="BE71" s="19" t="str">
        <f t="shared" ref="BE71:BE102" si="17">IF(I71=2,BC71,"")</f>
        <v/>
      </c>
    </row>
    <row r="72" spans="2:57">
      <c r="B72" s="322" t="str">
        <f>名簿!P69</f>
        <v/>
      </c>
      <c r="C72" s="825"/>
      <c r="D72" s="825"/>
      <c r="E72" s="1321">
        <f>名簿!E69</f>
        <v>0</v>
      </c>
      <c r="F72" s="563" t="str">
        <f>名簿!CM69</f>
        <v/>
      </c>
      <c r="G72" s="322" t="str">
        <f>名簿!Z69</f>
        <v/>
      </c>
      <c r="H72" s="322" t="str">
        <f>名簿!CM69</f>
        <v/>
      </c>
      <c r="I72" s="323" t="str">
        <f>名簿!Y69</f>
        <v/>
      </c>
      <c r="J72" s="323" t="str">
        <f>名簿!CN69</f>
        <v/>
      </c>
      <c r="K72" s="900">
        <f>名簿!CP69</f>
        <v>0</v>
      </c>
      <c r="L72" s="901" t="str">
        <f>名簿!CU69</f>
        <v>00</v>
      </c>
      <c r="M72" s="322" t="str">
        <f>名簿!Q69</f>
        <v/>
      </c>
      <c r="N72" s="1315">
        <f>名簿!D69</f>
        <v>0</v>
      </c>
      <c r="O72" s="327"/>
      <c r="P72" s="258" t="str">
        <f>IF(O72="","",IF(I72=1,VLOOKUP(O72,男子種目コード!$P$1:$Q$26,2,FALSE),IF(I72=2,VLOOKUP(O72,女子種目コード!$P$1:$Q$26,2,FALSE))))</f>
        <v/>
      </c>
      <c r="Q72" s="494" t="str">
        <f>IF(O72="","",HLOOKUP(O72,名簿!$AH$3:$CH$118,67,FALSE))</f>
        <v/>
      </c>
      <c r="R72" s="1002"/>
      <c r="S72" s="843" t="str">
        <f t="shared" ref="S72:S116" si="18">IF(O72="","",0)</f>
        <v/>
      </c>
      <c r="T72" s="844" t="str">
        <f t="shared" ref="T72:T116" si="19">IF(O72="","",2)</f>
        <v/>
      </c>
      <c r="U72" s="327"/>
      <c r="V72" s="258" t="str">
        <f>IF(U72="","",IF(I72=1,VLOOKUP(U72,男子種目コード!$P$1:$Q$26,2,FALSE),IF(I72=2,VLOOKUP(U72,女子種目コード!$P$1:$Q$26,2,FALSE))))</f>
        <v/>
      </c>
      <c r="W72" s="494" t="str">
        <f>IF(U72="","",HLOOKUP(U72,名簿!$AH$3:$CH$118,67,FALSE))</f>
        <v/>
      </c>
      <c r="X72" s="1004"/>
      <c r="Y72" s="843" t="str">
        <f t="shared" ref="Y72:Y116" si="20">IF(U72="","",0)</f>
        <v/>
      </c>
      <c r="Z72" s="844" t="str">
        <f t="shared" ref="Z72:Z116" si="21">IF(U72="","",2)</f>
        <v/>
      </c>
      <c r="AA72" s="569" t="str">
        <f>IF(X72="","",IF(I72=1,VLOOKUP(X72,男子種目コード!$J$2:$K$30,2,FALSE),IF(I72=2,VLOOKUP(X72,女子種目コード!$J$2:$K$28,2,FALSE))))</f>
        <v/>
      </c>
      <c r="AB72" s="818"/>
      <c r="AC72" s="831"/>
      <c r="AD72" s="322" t="str">
        <f>IF(AC72="","",IF(I72=1,VLOOKUP(AC72,男子種目コード!$J$2:$K$30,2,FALSE),IF(I72=2,VLOOKUP(AC72,女子種目コード!$J$2:$K$28,2,FALSE))))</f>
        <v/>
      </c>
      <c r="AE72" s="818"/>
      <c r="AF72" s="831"/>
      <c r="AG72" s="322" t="str">
        <f>IF(AF72="","",IF(I72=1,VLOOKUP(AF72,男子種目コード!$J$2:$K$30,2,FALSE),IF(I72=2,VLOOKUP(AF72,女子種目コード!$J$2:$K$28,2,FALSE))))</f>
        <v/>
      </c>
      <c r="AH72" s="819"/>
      <c r="AI72" s="20"/>
      <c r="AJ72" s="20"/>
      <c r="AK72" s="19"/>
      <c r="AL72" s="838"/>
      <c r="AM72" s="848" t="str">
        <f t="shared" si="8"/>
        <v/>
      </c>
      <c r="AN72" s="57" t="str">
        <f t="shared" si="9"/>
        <v/>
      </c>
      <c r="AO72" s="307"/>
      <c r="AP72" s="339"/>
      <c r="AQ72" s="216"/>
      <c r="AR72" s="224"/>
      <c r="AS72" s="224"/>
      <c r="AU72" s="22"/>
      <c r="AV72" s="22"/>
      <c r="AX72" s="331">
        <f t="shared" si="14"/>
        <v>0</v>
      </c>
      <c r="AY72" s="224"/>
      <c r="AZ72" s="224"/>
      <c r="BA72" s="224"/>
      <c r="BB72" s="224"/>
      <c r="BC72" s="19">
        <f t="shared" si="15"/>
        <v>0</v>
      </c>
      <c r="BD72" s="19" t="str">
        <f t="shared" si="16"/>
        <v/>
      </c>
      <c r="BE72" s="19" t="str">
        <f t="shared" si="17"/>
        <v/>
      </c>
    </row>
    <row r="73" spans="2:57">
      <c r="B73" s="322" t="str">
        <f>名簿!P70</f>
        <v/>
      </c>
      <c r="C73" s="825"/>
      <c r="D73" s="825"/>
      <c r="E73" s="1321">
        <f>名簿!E70</f>
        <v>0</v>
      </c>
      <c r="F73" s="563" t="str">
        <f>名簿!CM70</f>
        <v/>
      </c>
      <c r="G73" s="322" t="str">
        <f>名簿!Z70</f>
        <v/>
      </c>
      <c r="H73" s="322" t="str">
        <f>名簿!CM70</f>
        <v/>
      </c>
      <c r="I73" s="323" t="str">
        <f>名簿!Y70</f>
        <v/>
      </c>
      <c r="J73" s="323" t="str">
        <f>名簿!CN70</f>
        <v/>
      </c>
      <c r="K73" s="900">
        <f>名簿!CP70</f>
        <v>0</v>
      </c>
      <c r="L73" s="901" t="str">
        <f>名簿!CU70</f>
        <v>00</v>
      </c>
      <c r="M73" s="322" t="str">
        <f>名簿!Q70</f>
        <v/>
      </c>
      <c r="N73" s="1315">
        <f>名簿!D70</f>
        <v>0</v>
      </c>
      <c r="O73" s="327"/>
      <c r="P73" s="258" t="str">
        <f>IF(O73="","",IF(I73=1,VLOOKUP(O73,男子種目コード!$P$1:$Q$26,2,FALSE),IF(I73=2,VLOOKUP(O73,女子種目コード!$P$1:$Q$26,2,FALSE))))</f>
        <v/>
      </c>
      <c r="Q73" s="494" t="str">
        <f>IF(O73="","",HLOOKUP(O73,名簿!$AH$3:$CH$118,68,FALSE))</f>
        <v/>
      </c>
      <c r="R73" s="1002"/>
      <c r="S73" s="843" t="str">
        <f t="shared" si="18"/>
        <v/>
      </c>
      <c r="T73" s="844" t="str">
        <f t="shared" si="19"/>
        <v/>
      </c>
      <c r="U73" s="327"/>
      <c r="V73" s="258" t="str">
        <f>IF(U73="","",IF(I73=1,VLOOKUP(U73,男子種目コード!$P$1:$Q$26,2,FALSE),IF(I73=2,VLOOKUP(U73,女子種目コード!$P$1:$Q$26,2,FALSE))))</f>
        <v/>
      </c>
      <c r="W73" s="494" t="str">
        <f>IF(U73="","",HLOOKUP(U73,名簿!$AH$3:$CH$118,68,FALSE))</f>
        <v/>
      </c>
      <c r="X73" s="1004"/>
      <c r="Y73" s="843" t="str">
        <f t="shared" si="20"/>
        <v/>
      </c>
      <c r="Z73" s="844" t="str">
        <f t="shared" si="21"/>
        <v/>
      </c>
      <c r="AA73" s="569" t="str">
        <f>IF(X73="","",IF(I73=1,VLOOKUP(X73,男子種目コード!$J$2:$K$30,2,FALSE),IF(I73=2,VLOOKUP(X73,女子種目コード!$J$2:$K$28,2,FALSE))))</f>
        <v/>
      </c>
      <c r="AB73" s="818"/>
      <c r="AC73" s="831"/>
      <c r="AD73" s="322" t="str">
        <f>IF(AC73="","",IF(I73=1,VLOOKUP(AC73,男子種目コード!$J$2:$K$30,2,FALSE),IF(I73=2,VLOOKUP(AC73,女子種目コード!$J$2:$K$28,2,FALSE))))</f>
        <v/>
      </c>
      <c r="AE73" s="818"/>
      <c r="AF73" s="831"/>
      <c r="AG73" s="322" t="str">
        <f>IF(AF73="","",IF(I73=1,VLOOKUP(AF73,男子種目コード!$J$2:$K$30,2,FALSE),IF(I73=2,VLOOKUP(AF73,女子種目コード!$J$2:$K$28,2,FALSE))))</f>
        <v/>
      </c>
      <c r="AH73" s="819"/>
      <c r="AI73" s="20"/>
      <c r="AJ73" s="20"/>
      <c r="AK73" s="19"/>
      <c r="AL73" s="838"/>
      <c r="AM73" s="848" t="str">
        <f t="shared" si="8"/>
        <v/>
      </c>
      <c r="AN73" s="57" t="str">
        <f t="shared" si="9"/>
        <v/>
      </c>
      <c r="AO73" s="307"/>
      <c r="AP73" s="339"/>
      <c r="AQ73" s="340"/>
      <c r="AR73" s="224"/>
      <c r="AS73" s="224"/>
      <c r="AU73" s="22"/>
      <c r="AV73" s="22"/>
      <c r="AX73" s="331">
        <f t="shared" si="14"/>
        <v>0</v>
      </c>
      <c r="AY73" s="224"/>
      <c r="AZ73" s="224"/>
      <c r="BA73" s="224"/>
      <c r="BB73" s="224"/>
      <c r="BC73" s="19">
        <f t="shared" si="15"/>
        <v>0</v>
      </c>
      <c r="BD73" s="19" t="str">
        <f t="shared" si="16"/>
        <v/>
      </c>
      <c r="BE73" s="19" t="str">
        <f t="shared" si="17"/>
        <v/>
      </c>
    </row>
    <row r="74" spans="2:57">
      <c r="B74" s="322" t="str">
        <f>名簿!P71</f>
        <v/>
      </c>
      <c r="C74" s="825"/>
      <c r="D74" s="825"/>
      <c r="E74" s="1321">
        <f>名簿!E71</f>
        <v>0</v>
      </c>
      <c r="F74" s="563" t="str">
        <f>名簿!CM71</f>
        <v/>
      </c>
      <c r="G74" s="322" t="str">
        <f>名簿!Z71</f>
        <v/>
      </c>
      <c r="H74" s="322" t="str">
        <f>名簿!CM71</f>
        <v/>
      </c>
      <c r="I74" s="323" t="str">
        <f>名簿!Y71</f>
        <v/>
      </c>
      <c r="J74" s="323" t="str">
        <f>名簿!CN71</f>
        <v/>
      </c>
      <c r="K74" s="900">
        <f>名簿!CP71</f>
        <v>0</v>
      </c>
      <c r="L74" s="901" t="str">
        <f>名簿!CU71</f>
        <v>00</v>
      </c>
      <c r="M74" s="322" t="str">
        <f>名簿!Q71</f>
        <v/>
      </c>
      <c r="N74" s="1315">
        <f>名簿!D71</f>
        <v>0</v>
      </c>
      <c r="O74" s="327"/>
      <c r="P74" s="258" t="str">
        <f>IF(O74="","",IF(I74=1,VLOOKUP(O74,男子種目コード!$P$1:$Q$26,2,FALSE),IF(I74=2,VLOOKUP(O74,女子種目コード!$P$1:$Q$26,2,FALSE))))</f>
        <v/>
      </c>
      <c r="Q74" s="494" t="str">
        <f>IF(O74="","",HLOOKUP(O74,名簿!$AH$3:$CH$118,69,FALSE))</f>
        <v/>
      </c>
      <c r="R74" s="1002"/>
      <c r="S74" s="843" t="str">
        <f t="shared" si="18"/>
        <v/>
      </c>
      <c r="T74" s="844" t="str">
        <f t="shared" si="19"/>
        <v/>
      </c>
      <c r="U74" s="327"/>
      <c r="V74" s="258" t="str">
        <f>IF(U74="","",IF(I74=1,VLOOKUP(U74,男子種目コード!$P$1:$Q$26,2,FALSE),IF(I74=2,VLOOKUP(U74,女子種目コード!$P$1:$Q$26,2,FALSE))))</f>
        <v/>
      </c>
      <c r="W74" s="494" t="str">
        <f>IF(U74="","",HLOOKUP(U74,名簿!$AH$3:$CH$118,69,FALSE))</f>
        <v/>
      </c>
      <c r="X74" s="1004"/>
      <c r="Y74" s="843" t="str">
        <f t="shared" si="20"/>
        <v/>
      </c>
      <c r="Z74" s="844" t="str">
        <f t="shared" si="21"/>
        <v/>
      </c>
      <c r="AA74" s="569" t="str">
        <f>IF(X74="","",IF(I74=1,VLOOKUP(X74,男子種目コード!$J$2:$K$30,2,FALSE),IF(I74=2,VLOOKUP(X74,女子種目コード!$J$2:$K$28,2,FALSE))))</f>
        <v/>
      </c>
      <c r="AB74" s="818"/>
      <c r="AC74" s="831"/>
      <c r="AD74" s="322" t="str">
        <f>IF(AC74="","",IF(I74=1,VLOOKUP(AC74,男子種目コード!$J$2:$K$30,2,FALSE),IF(I74=2,VLOOKUP(AC74,女子種目コード!$J$2:$K$28,2,FALSE))))</f>
        <v/>
      </c>
      <c r="AE74" s="818"/>
      <c r="AF74" s="831"/>
      <c r="AG74" s="322" t="str">
        <f>IF(AF74="","",IF(I74=1,VLOOKUP(AF74,男子種目コード!$J$2:$K$30,2,FALSE),IF(I74=2,VLOOKUP(AF74,女子種目コード!$J$2:$K$28,2,FALSE))))</f>
        <v/>
      </c>
      <c r="AH74" s="819"/>
      <c r="AI74" s="20"/>
      <c r="AJ74" s="20"/>
      <c r="AK74" s="19"/>
      <c r="AL74" s="838"/>
      <c r="AM74" s="848" t="str">
        <f t="shared" ref="AM74:AM116" si="22">IF(O74="","",1)</f>
        <v/>
      </c>
      <c r="AN74" s="57" t="str">
        <f t="shared" ref="AN74:AN116" si="23">IF(U74="","",1)</f>
        <v/>
      </c>
      <c r="AO74" s="307"/>
      <c r="AP74" s="339"/>
      <c r="AQ74" s="216"/>
      <c r="AR74" s="224"/>
      <c r="AS74" s="224"/>
      <c r="AU74" s="22"/>
      <c r="AV74" s="22"/>
      <c r="AX74" s="331">
        <f t="shared" si="14"/>
        <v>0</v>
      </c>
      <c r="AY74" s="224"/>
      <c r="AZ74" s="224"/>
      <c r="BA74" s="224"/>
      <c r="BB74" s="224"/>
      <c r="BC74" s="19">
        <f t="shared" si="15"/>
        <v>0</v>
      </c>
      <c r="BD74" s="19" t="str">
        <f t="shared" si="16"/>
        <v/>
      </c>
      <c r="BE74" s="19" t="str">
        <f t="shared" si="17"/>
        <v/>
      </c>
    </row>
    <row r="75" spans="2:57">
      <c r="B75" s="322" t="str">
        <f>名簿!P72</f>
        <v/>
      </c>
      <c r="C75" s="825"/>
      <c r="D75" s="825"/>
      <c r="E75" s="1321">
        <f>名簿!E72</f>
        <v>0</v>
      </c>
      <c r="F75" s="563" t="str">
        <f>名簿!CM72</f>
        <v/>
      </c>
      <c r="G75" s="322" t="str">
        <f>名簿!Z72</f>
        <v/>
      </c>
      <c r="H75" s="322" t="str">
        <f>名簿!CM72</f>
        <v/>
      </c>
      <c r="I75" s="323" t="str">
        <f>名簿!Y72</f>
        <v/>
      </c>
      <c r="J75" s="323" t="str">
        <f>名簿!CN72</f>
        <v/>
      </c>
      <c r="K75" s="900">
        <f>名簿!CP72</f>
        <v>0</v>
      </c>
      <c r="L75" s="901" t="str">
        <f>名簿!CU72</f>
        <v>00</v>
      </c>
      <c r="M75" s="322" t="str">
        <f>名簿!Q72</f>
        <v/>
      </c>
      <c r="N75" s="1315">
        <f>名簿!D72</f>
        <v>0</v>
      </c>
      <c r="O75" s="327"/>
      <c r="P75" s="258" t="str">
        <f>IF(O75="","",IF(I75=1,VLOOKUP(O75,男子種目コード!$P$1:$Q$26,2,FALSE),IF(I75=2,VLOOKUP(O75,女子種目コード!$P$1:$Q$26,2,FALSE))))</f>
        <v/>
      </c>
      <c r="Q75" s="494" t="str">
        <f>IF(O75="","",HLOOKUP(O75,名簿!$AH$3:$CH$118,70,FALSE))</f>
        <v/>
      </c>
      <c r="R75" s="1002"/>
      <c r="S75" s="843" t="str">
        <f t="shared" si="18"/>
        <v/>
      </c>
      <c r="T75" s="844" t="str">
        <f t="shared" si="19"/>
        <v/>
      </c>
      <c r="U75" s="327"/>
      <c r="V75" s="258" t="str">
        <f>IF(U75="","",IF(I75=1,VLOOKUP(U75,男子種目コード!$P$1:$Q$26,2,FALSE),IF(I75=2,VLOOKUP(U75,女子種目コード!$P$1:$Q$26,2,FALSE))))</f>
        <v/>
      </c>
      <c r="W75" s="494" t="str">
        <f>IF(U75="","",HLOOKUP(U75,名簿!$AH$3:$CH$118,70,FALSE))</f>
        <v/>
      </c>
      <c r="X75" s="1004"/>
      <c r="Y75" s="843" t="str">
        <f t="shared" si="20"/>
        <v/>
      </c>
      <c r="Z75" s="844" t="str">
        <f t="shared" si="21"/>
        <v/>
      </c>
      <c r="AA75" s="569" t="str">
        <f>IF(X75="","",IF(I75=1,VLOOKUP(X75,男子種目コード!$J$2:$K$30,2,FALSE),IF(I75=2,VLOOKUP(X75,女子種目コード!$J$2:$K$28,2,FALSE))))</f>
        <v/>
      </c>
      <c r="AB75" s="818"/>
      <c r="AC75" s="831"/>
      <c r="AD75" s="322" t="str">
        <f>IF(AC75="","",IF(I75=1,VLOOKUP(AC75,男子種目コード!$J$2:$K$30,2,FALSE),IF(I75=2,VLOOKUP(AC75,女子種目コード!$J$2:$K$28,2,FALSE))))</f>
        <v/>
      </c>
      <c r="AE75" s="818"/>
      <c r="AF75" s="831"/>
      <c r="AG75" s="322" t="str">
        <f>IF(AF75="","",IF(I75=1,VLOOKUP(AF75,男子種目コード!$J$2:$K$30,2,FALSE),IF(I75=2,VLOOKUP(AF75,女子種目コード!$J$2:$K$28,2,FALSE))))</f>
        <v/>
      </c>
      <c r="AH75" s="819"/>
      <c r="AI75" s="20"/>
      <c r="AJ75" s="20"/>
      <c r="AK75" s="19"/>
      <c r="AL75" s="838"/>
      <c r="AM75" s="848" t="str">
        <f t="shared" si="22"/>
        <v/>
      </c>
      <c r="AN75" s="57" t="str">
        <f t="shared" si="23"/>
        <v/>
      </c>
      <c r="AO75" s="307"/>
      <c r="AP75" s="339"/>
      <c r="AQ75" s="340"/>
      <c r="AR75" s="224"/>
      <c r="AS75" s="224"/>
      <c r="AU75" s="22"/>
      <c r="AV75" s="22"/>
      <c r="AX75" s="331">
        <f t="shared" si="14"/>
        <v>0</v>
      </c>
      <c r="AY75" s="224"/>
      <c r="AZ75" s="224"/>
      <c r="BA75" s="224"/>
      <c r="BB75" s="224"/>
      <c r="BC75" s="19">
        <f t="shared" si="15"/>
        <v>0</v>
      </c>
      <c r="BD75" s="19" t="str">
        <f t="shared" si="16"/>
        <v/>
      </c>
      <c r="BE75" s="19" t="str">
        <f t="shared" si="17"/>
        <v/>
      </c>
    </row>
    <row r="76" spans="2:57">
      <c r="B76" s="322" t="str">
        <f>名簿!P73</f>
        <v/>
      </c>
      <c r="C76" s="825"/>
      <c r="D76" s="825"/>
      <c r="E76" s="1321">
        <f>名簿!E73</f>
        <v>0</v>
      </c>
      <c r="F76" s="563" t="str">
        <f>名簿!CM73</f>
        <v/>
      </c>
      <c r="G76" s="322" t="str">
        <f>名簿!Z73</f>
        <v/>
      </c>
      <c r="H76" s="322" t="str">
        <f>名簿!CM73</f>
        <v/>
      </c>
      <c r="I76" s="323" t="str">
        <f>名簿!Y73</f>
        <v/>
      </c>
      <c r="J76" s="323" t="str">
        <f>名簿!CN73</f>
        <v/>
      </c>
      <c r="K76" s="900">
        <f>名簿!CP73</f>
        <v>0</v>
      </c>
      <c r="L76" s="901" t="str">
        <f>名簿!CU73</f>
        <v>00</v>
      </c>
      <c r="M76" s="322" t="str">
        <f>名簿!Q73</f>
        <v/>
      </c>
      <c r="N76" s="1315">
        <f>名簿!D73</f>
        <v>0</v>
      </c>
      <c r="O76" s="327"/>
      <c r="P76" s="258" t="str">
        <f>IF(O76="","",IF(I76=1,VLOOKUP(O76,男子種目コード!$P$1:$Q$26,2,FALSE),IF(I76=2,VLOOKUP(O76,女子種目コード!$P$1:$Q$26,2,FALSE))))</f>
        <v/>
      </c>
      <c r="Q76" s="494" t="str">
        <f>IF(O76="","",HLOOKUP(O76,名簿!$AH$3:$CH$118,71,FALSE))</f>
        <v/>
      </c>
      <c r="R76" s="1002"/>
      <c r="S76" s="843" t="str">
        <f t="shared" si="18"/>
        <v/>
      </c>
      <c r="T76" s="844" t="str">
        <f t="shared" si="19"/>
        <v/>
      </c>
      <c r="U76" s="327"/>
      <c r="V76" s="258" t="str">
        <f>IF(U76="","",IF(I76=1,VLOOKUP(U76,男子種目コード!$P$1:$Q$26,2,FALSE),IF(I76=2,VLOOKUP(U76,女子種目コード!$P$1:$Q$26,2,FALSE))))</f>
        <v/>
      </c>
      <c r="W76" s="494" t="str">
        <f>IF(U76="","",HLOOKUP(U76,名簿!$AH$3:$CH$118,71,FALSE))</f>
        <v/>
      </c>
      <c r="X76" s="1004"/>
      <c r="Y76" s="843" t="str">
        <f t="shared" si="20"/>
        <v/>
      </c>
      <c r="Z76" s="844" t="str">
        <f t="shared" si="21"/>
        <v/>
      </c>
      <c r="AA76" s="569" t="str">
        <f>IF(X76="","",IF(I76=1,VLOOKUP(X76,男子種目コード!$J$2:$K$30,2,FALSE),IF(I76=2,VLOOKUP(X76,女子種目コード!$J$2:$K$28,2,FALSE))))</f>
        <v/>
      </c>
      <c r="AB76" s="818"/>
      <c r="AC76" s="831"/>
      <c r="AD76" s="322" t="str">
        <f>IF(AC76="","",IF(I76=1,VLOOKUP(AC76,男子種目コード!$J$2:$K$30,2,FALSE),IF(I76=2,VLOOKUP(AC76,女子種目コード!$J$2:$K$28,2,FALSE))))</f>
        <v/>
      </c>
      <c r="AE76" s="818"/>
      <c r="AF76" s="831"/>
      <c r="AG76" s="322" t="str">
        <f>IF(AF76="","",IF(I76=1,VLOOKUP(AF76,男子種目コード!$J$2:$K$30,2,FALSE),IF(I76=2,VLOOKUP(AF76,女子種目コード!$J$2:$K$28,2,FALSE))))</f>
        <v/>
      </c>
      <c r="AH76" s="819"/>
      <c r="AI76" s="20"/>
      <c r="AJ76" s="20"/>
      <c r="AK76" s="19"/>
      <c r="AL76" s="838"/>
      <c r="AM76" s="848" t="str">
        <f t="shared" si="22"/>
        <v/>
      </c>
      <c r="AN76" s="57" t="str">
        <f t="shared" si="23"/>
        <v/>
      </c>
      <c r="AO76" s="307"/>
      <c r="AP76" s="339"/>
      <c r="AQ76" s="340"/>
      <c r="AR76" s="224"/>
      <c r="AS76" s="224"/>
      <c r="AU76" s="22"/>
      <c r="AV76" s="22"/>
      <c r="AX76" s="331">
        <f t="shared" si="14"/>
        <v>0</v>
      </c>
      <c r="AY76" s="224"/>
      <c r="AZ76" s="224"/>
      <c r="BA76" s="224"/>
      <c r="BB76" s="224"/>
      <c r="BC76" s="19">
        <f t="shared" si="15"/>
        <v>0</v>
      </c>
      <c r="BD76" s="19" t="str">
        <f t="shared" si="16"/>
        <v/>
      </c>
      <c r="BE76" s="19" t="str">
        <f t="shared" si="17"/>
        <v/>
      </c>
    </row>
    <row r="77" spans="2:57">
      <c r="B77" s="322" t="str">
        <f>名簿!P74</f>
        <v/>
      </c>
      <c r="C77" s="825"/>
      <c r="D77" s="825"/>
      <c r="E77" s="1321">
        <f>名簿!E74</f>
        <v>0</v>
      </c>
      <c r="F77" s="563" t="str">
        <f>名簿!CM74</f>
        <v/>
      </c>
      <c r="G77" s="322" t="str">
        <f>名簿!Z74</f>
        <v/>
      </c>
      <c r="H77" s="322" t="str">
        <f>名簿!CM74</f>
        <v/>
      </c>
      <c r="I77" s="323" t="str">
        <f>名簿!Y74</f>
        <v/>
      </c>
      <c r="J77" s="323" t="str">
        <f>名簿!CN74</f>
        <v/>
      </c>
      <c r="K77" s="900">
        <f>名簿!CP74</f>
        <v>0</v>
      </c>
      <c r="L77" s="901" t="str">
        <f>名簿!CU74</f>
        <v>00</v>
      </c>
      <c r="M77" s="322" t="str">
        <f>名簿!Q74</f>
        <v/>
      </c>
      <c r="N77" s="1315">
        <f>名簿!D74</f>
        <v>0</v>
      </c>
      <c r="O77" s="327"/>
      <c r="P77" s="258" t="str">
        <f>IF(O77="","",IF(I77=1,VLOOKUP(O77,男子種目コード!$P$1:$Q$26,2,FALSE),IF(I77=2,VLOOKUP(O77,女子種目コード!$P$1:$Q$26,2,FALSE))))</f>
        <v/>
      </c>
      <c r="Q77" s="494" t="str">
        <f>IF(O77="","",HLOOKUP(O77,名簿!$AH$3:$CH$118,72,FALSE))</f>
        <v/>
      </c>
      <c r="R77" s="1002"/>
      <c r="S77" s="843" t="str">
        <f t="shared" si="18"/>
        <v/>
      </c>
      <c r="T77" s="844" t="str">
        <f t="shared" si="19"/>
        <v/>
      </c>
      <c r="U77" s="327"/>
      <c r="V77" s="258" t="str">
        <f>IF(U77="","",IF(I77=1,VLOOKUP(U77,男子種目コード!$P$1:$Q$26,2,FALSE),IF(I77=2,VLOOKUP(U77,女子種目コード!$P$1:$Q$26,2,FALSE))))</f>
        <v/>
      </c>
      <c r="W77" s="494" t="str">
        <f>IF(U77="","",HLOOKUP(U77,名簿!$AH$3:$CH$118,72,FALSE))</f>
        <v/>
      </c>
      <c r="X77" s="1004"/>
      <c r="Y77" s="843" t="str">
        <f t="shared" si="20"/>
        <v/>
      </c>
      <c r="Z77" s="844" t="str">
        <f t="shared" si="21"/>
        <v/>
      </c>
      <c r="AA77" s="569" t="str">
        <f>IF(X77="","",IF(I77=1,VLOOKUP(X77,男子種目コード!$J$2:$K$30,2,FALSE),IF(I77=2,VLOOKUP(X77,女子種目コード!$J$2:$K$28,2,FALSE))))</f>
        <v/>
      </c>
      <c r="AB77" s="818"/>
      <c r="AC77" s="831"/>
      <c r="AD77" s="322" t="str">
        <f>IF(AC77="","",IF(I77=1,VLOOKUP(AC77,男子種目コード!$J$2:$K$30,2,FALSE),IF(I77=2,VLOOKUP(AC77,女子種目コード!$J$2:$K$28,2,FALSE))))</f>
        <v/>
      </c>
      <c r="AE77" s="818"/>
      <c r="AF77" s="831"/>
      <c r="AG77" s="322" t="str">
        <f>IF(AF77="","",IF(I77=1,VLOOKUP(AF77,男子種目コード!$J$2:$K$30,2,FALSE),IF(I77=2,VLOOKUP(AF77,女子種目コード!$J$2:$K$28,2,FALSE))))</f>
        <v/>
      </c>
      <c r="AH77" s="819"/>
      <c r="AI77" s="20"/>
      <c r="AJ77" s="20"/>
      <c r="AK77" s="19"/>
      <c r="AL77" s="838"/>
      <c r="AM77" s="848" t="str">
        <f t="shared" si="22"/>
        <v/>
      </c>
      <c r="AN77" s="57" t="str">
        <f t="shared" si="23"/>
        <v/>
      </c>
      <c r="AO77" s="1162"/>
      <c r="AP77" s="1162"/>
      <c r="AQ77" s="340"/>
      <c r="AR77" s="224"/>
      <c r="AS77" s="224"/>
      <c r="AU77" s="22"/>
      <c r="AV77" s="22"/>
      <c r="AX77" s="331">
        <f t="shared" si="14"/>
        <v>0</v>
      </c>
      <c r="AY77" s="224"/>
      <c r="AZ77" s="224"/>
      <c r="BA77" s="224"/>
      <c r="BB77" s="224"/>
      <c r="BC77" s="19">
        <f t="shared" si="15"/>
        <v>0</v>
      </c>
      <c r="BD77" s="19" t="str">
        <f t="shared" si="16"/>
        <v/>
      </c>
      <c r="BE77" s="19" t="str">
        <f t="shared" si="17"/>
        <v/>
      </c>
    </row>
    <row r="78" spans="2:57">
      <c r="B78" s="322" t="str">
        <f>名簿!P75</f>
        <v/>
      </c>
      <c r="C78" s="825"/>
      <c r="D78" s="825"/>
      <c r="E78" s="1321">
        <f>名簿!E75</f>
        <v>0</v>
      </c>
      <c r="F78" s="563" t="str">
        <f>名簿!CM75</f>
        <v/>
      </c>
      <c r="G78" s="322" t="str">
        <f>名簿!Z75</f>
        <v/>
      </c>
      <c r="H78" s="322" t="str">
        <f>名簿!CM75</f>
        <v/>
      </c>
      <c r="I78" s="323" t="str">
        <f>名簿!Y75</f>
        <v/>
      </c>
      <c r="J78" s="323" t="str">
        <f>名簿!CN75</f>
        <v/>
      </c>
      <c r="K78" s="900">
        <f>名簿!CP75</f>
        <v>0</v>
      </c>
      <c r="L78" s="901" t="str">
        <f>名簿!CU75</f>
        <v>00</v>
      </c>
      <c r="M78" s="322" t="str">
        <f>名簿!Q75</f>
        <v/>
      </c>
      <c r="N78" s="1315">
        <f>名簿!D75</f>
        <v>0</v>
      </c>
      <c r="O78" s="327"/>
      <c r="P78" s="258" t="str">
        <f>IF(O78="","",IF(I78=1,VLOOKUP(O78,男子種目コード!$P$1:$Q$26,2,FALSE),IF(I78=2,VLOOKUP(O78,女子種目コード!$P$1:$Q$26,2,FALSE))))</f>
        <v/>
      </c>
      <c r="Q78" s="494" t="str">
        <f>IF(O78="","",HLOOKUP(O78,名簿!$AH$3:$CH$118,73,FALSE))</f>
        <v/>
      </c>
      <c r="R78" s="1002"/>
      <c r="S78" s="843" t="str">
        <f t="shared" si="18"/>
        <v/>
      </c>
      <c r="T78" s="844" t="str">
        <f t="shared" si="19"/>
        <v/>
      </c>
      <c r="U78" s="327"/>
      <c r="V78" s="258" t="str">
        <f>IF(U78="","",IF(I78=1,VLOOKUP(U78,男子種目コード!$P$1:$Q$26,2,FALSE),IF(I78=2,VLOOKUP(U78,女子種目コード!$P$1:$Q$26,2,FALSE))))</f>
        <v/>
      </c>
      <c r="W78" s="494" t="str">
        <f>IF(U78="","",HLOOKUP(U78,名簿!$AH$3:$CH$118,73,FALSE))</f>
        <v/>
      </c>
      <c r="X78" s="1004"/>
      <c r="Y78" s="843" t="str">
        <f t="shared" si="20"/>
        <v/>
      </c>
      <c r="Z78" s="844" t="str">
        <f t="shared" si="21"/>
        <v/>
      </c>
      <c r="AA78" s="569" t="str">
        <f>IF(X78="","",IF(I78=1,VLOOKUP(X78,男子種目コード!$J$2:$K$30,2,FALSE),IF(I78=2,VLOOKUP(X78,女子種目コード!$J$2:$K$28,2,FALSE))))</f>
        <v/>
      </c>
      <c r="AB78" s="818"/>
      <c r="AC78" s="831"/>
      <c r="AD78" s="322" t="str">
        <f>IF(AC78="","",IF(I78=1,VLOOKUP(AC78,男子種目コード!$J$2:$K$30,2,FALSE),IF(I78=2,VLOOKUP(AC78,女子種目コード!$J$2:$K$28,2,FALSE))))</f>
        <v/>
      </c>
      <c r="AE78" s="818"/>
      <c r="AF78" s="831"/>
      <c r="AG78" s="322" t="str">
        <f>IF(AF78="","",IF(I78=1,VLOOKUP(AF78,男子種目コード!$J$2:$K$30,2,FALSE),IF(I78=2,VLOOKUP(AF78,女子種目コード!$J$2:$K$28,2,FALSE))))</f>
        <v/>
      </c>
      <c r="AH78" s="819"/>
      <c r="AI78" s="20"/>
      <c r="AJ78" s="20"/>
      <c r="AK78" s="19"/>
      <c r="AL78" s="838"/>
      <c r="AM78" s="848" t="str">
        <f t="shared" si="22"/>
        <v/>
      </c>
      <c r="AN78" s="57" t="str">
        <f t="shared" si="23"/>
        <v/>
      </c>
      <c r="AO78" s="307"/>
      <c r="AP78" s="339"/>
      <c r="AQ78" s="340"/>
      <c r="AR78" s="224"/>
      <c r="AS78" s="224"/>
      <c r="AU78" s="22"/>
      <c r="AV78" s="22"/>
      <c r="AX78" s="331">
        <f t="shared" si="14"/>
        <v>0</v>
      </c>
      <c r="AY78" s="224"/>
      <c r="AZ78" s="224"/>
      <c r="BA78" s="224"/>
      <c r="BB78" s="224"/>
      <c r="BC78" s="19">
        <f t="shared" si="15"/>
        <v>0</v>
      </c>
      <c r="BD78" s="19" t="str">
        <f t="shared" si="16"/>
        <v/>
      </c>
      <c r="BE78" s="19" t="str">
        <f t="shared" si="17"/>
        <v/>
      </c>
    </row>
    <row r="79" spans="2:57">
      <c r="B79" s="322" t="str">
        <f>名簿!P76</f>
        <v/>
      </c>
      <c r="C79" s="825"/>
      <c r="D79" s="825"/>
      <c r="E79" s="1321">
        <f>名簿!E76</f>
        <v>0</v>
      </c>
      <c r="F79" s="563" t="str">
        <f>名簿!CM76</f>
        <v/>
      </c>
      <c r="G79" s="322" t="str">
        <f>名簿!Z76</f>
        <v/>
      </c>
      <c r="H79" s="322" t="str">
        <f>名簿!CM76</f>
        <v/>
      </c>
      <c r="I79" s="323" t="str">
        <f>名簿!Y76</f>
        <v/>
      </c>
      <c r="J79" s="323" t="str">
        <f>名簿!CN76</f>
        <v/>
      </c>
      <c r="K79" s="900">
        <f>名簿!CP76</f>
        <v>0</v>
      </c>
      <c r="L79" s="901" t="str">
        <f>名簿!CU76</f>
        <v>00</v>
      </c>
      <c r="M79" s="322" t="str">
        <f>名簿!Q76</f>
        <v/>
      </c>
      <c r="N79" s="1315">
        <f>名簿!D76</f>
        <v>0</v>
      </c>
      <c r="O79" s="327"/>
      <c r="P79" s="258" t="str">
        <f>IF(O79="","",IF(I79=1,VLOOKUP(O79,男子種目コード!$P$1:$Q$26,2,FALSE),IF(I79=2,VLOOKUP(O79,女子種目コード!$P$1:$Q$26,2,FALSE))))</f>
        <v/>
      </c>
      <c r="Q79" s="494" t="str">
        <f>IF(O79="","",HLOOKUP(O79,名簿!$AH$3:$CH$118,74,FALSE))</f>
        <v/>
      </c>
      <c r="R79" s="1002"/>
      <c r="S79" s="843" t="str">
        <f t="shared" si="18"/>
        <v/>
      </c>
      <c r="T79" s="844" t="str">
        <f t="shared" si="19"/>
        <v/>
      </c>
      <c r="U79" s="327"/>
      <c r="V79" s="258" t="str">
        <f>IF(U79="","",IF(I79=1,VLOOKUP(U79,男子種目コード!$P$1:$Q$26,2,FALSE),IF(I79=2,VLOOKUP(U79,女子種目コード!$P$1:$Q$26,2,FALSE))))</f>
        <v/>
      </c>
      <c r="W79" s="494" t="str">
        <f>IF(U79="","",HLOOKUP(U79,名簿!$AH$3:$CH$118,74,FALSE))</f>
        <v/>
      </c>
      <c r="X79" s="1004"/>
      <c r="Y79" s="843" t="str">
        <f t="shared" si="20"/>
        <v/>
      </c>
      <c r="Z79" s="844" t="str">
        <f t="shared" si="21"/>
        <v/>
      </c>
      <c r="AA79" s="569" t="str">
        <f>IF(X79="","",IF(I79=1,VLOOKUP(X79,男子種目コード!$J$2:$K$30,2,FALSE),IF(I79=2,VLOOKUP(X79,女子種目コード!$J$2:$K$28,2,FALSE))))</f>
        <v/>
      </c>
      <c r="AB79" s="818"/>
      <c r="AC79" s="831"/>
      <c r="AD79" s="322" t="str">
        <f>IF(AC79="","",IF(I79=1,VLOOKUP(AC79,男子種目コード!$J$2:$K$30,2,FALSE),IF(I79=2,VLOOKUP(AC79,女子種目コード!$J$2:$K$28,2,FALSE))))</f>
        <v/>
      </c>
      <c r="AE79" s="818"/>
      <c r="AF79" s="831"/>
      <c r="AG79" s="322" t="str">
        <f>IF(AF79="","",IF(I79=1,VLOOKUP(AF79,男子種目コード!$J$2:$K$30,2,FALSE),IF(I79=2,VLOOKUP(AF79,女子種目コード!$J$2:$K$28,2,FALSE))))</f>
        <v/>
      </c>
      <c r="AH79" s="819"/>
      <c r="AI79" s="20"/>
      <c r="AJ79" s="20"/>
      <c r="AK79" s="19"/>
      <c r="AL79" s="838"/>
      <c r="AM79" s="848" t="str">
        <f t="shared" si="22"/>
        <v/>
      </c>
      <c r="AN79" s="57" t="str">
        <f t="shared" si="23"/>
        <v/>
      </c>
      <c r="AO79" s="307"/>
      <c r="AP79" s="339"/>
      <c r="AQ79" s="340"/>
      <c r="AR79" s="224"/>
      <c r="AS79" s="224"/>
      <c r="AU79" s="22"/>
      <c r="AV79" s="22"/>
      <c r="AX79" s="331">
        <f t="shared" si="14"/>
        <v>0</v>
      </c>
      <c r="AY79" s="224"/>
      <c r="AZ79" s="224"/>
      <c r="BA79" s="224"/>
      <c r="BB79" s="224"/>
      <c r="BC79" s="19">
        <f t="shared" si="15"/>
        <v>0</v>
      </c>
      <c r="BD79" s="19" t="str">
        <f t="shared" si="16"/>
        <v/>
      </c>
      <c r="BE79" s="19" t="str">
        <f t="shared" si="17"/>
        <v/>
      </c>
    </row>
    <row r="80" spans="2:57">
      <c r="B80" s="322" t="str">
        <f>名簿!P77</f>
        <v/>
      </c>
      <c r="C80" s="825"/>
      <c r="D80" s="825"/>
      <c r="E80" s="1321">
        <f>名簿!E77</f>
        <v>0</v>
      </c>
      <c r="F80" s="563" t="str">
        <f>名簿!CM77</f>
        <v/>
      </c>
      <c r="G80" s="322" t="str">
        <f>名簿!Z77</f>
        <v/>
      </c>
      <c r="H80" s="322" t="str">
        <f>名簿!CM77</f>
        <v/>
      </c>
      <c r="I80" s="323" t="str">
        <f>名簿!Y77</f>
        <v/>
      </c>
      <c r="J80" s="323" t="str">
        <f>名簿!CN77</f>
        <v/>
      </c>
      <c r="K80" s="900">
        <f>名簿!CP77</f>
        <v>0</v>
      </c>
      <c r="L80" s="901" t="str">
        <f>名簿!CU77</f>
        <v>00</v>
      </c>
      <c r="M80" s="322" t="str">
        <f>名簿!Q77</f>
        <v/>
      </c>
      <c r="N80" s="1315">
        <f>名簿!D77</f>
        <v>0</v>
      </c>
      <c r="O80" s="327"/>
      <c r="P80" s="258" t="str">
        <f>IF(O80="","",IF(I80=1,VLOOKUP(O80,男子種目コード!$P$1:$Q$26,2,FALSE),IF(I80=2,VLOOKUP(O80,女子種目コード!$P$1:$Q$26,2,FALSE))))</f>
        <v/>
      </c>
      <c r="Q80" s="494" t="str">
        <f>IF(O80="","",HLOOKUP(O80,名簿!$AH$3:$CH$118,75,FALSE))</f>
        <v/>
      </c>
      <c r="R80" s="1002"/>
      <c r="S80" s="843" t="str">
        <f t="shared" si="18"/>
        <v/>
      </c>
      <c r="T80" s="844" t="str">
        <f t="shared" si="19"/>
        <v/>
      </c>
      <c r="U80" s="327"/>
      <c r="V80" s="258" t="str">
        <f>IF(U80="","",IF(I80=1,VLOOKUP(U80,男子種目コード!$P$1:$Q$26,2,FALSE),IF(I80=2,VLOOKUP(U80,女子種目コード!$P$1:$Q$26,2,FALSE))))</f>
        <v/>
      </c>
      <c r="W80" s="494" t="str">
        <f>IF(U80="","",HLOOKUP(U80,名簿!$AH$3:$CH$118,75,FALSE))</f>
        <v/>
      </c>
      <c r="X80" s="1004"/>
      <c r="Y80" s="843" t="str">
        <f t="shared" si="20"/>
        <v/>
      </c>
      <c r="Z80" s="844" t="str">
        <f t="shared" si="21"/>
        <v/>
      </c>
      <c r="AA80" s="569" t="str">
        <f>IF(X80="","",IF(I80=1,VLOOKUP(X80,男子種目コード!$J$2:$K$30,2,FALSE),IF(I80=2,VLOOKUP(X80,女子種目コード!$J$2:$K$28,2,FALSE))))</f>
        <v/>
      </c>
      <c r="AB80" s="818"/>
      <c r="AC80" s="831"/>
      <c r="AD80" s="322" t="str">
        <f>IF(AC80="","",IF(I80=1,VLOOKUP(AC80,男子種目コード!$J$2:$K$30,2,FALSE),IF(I80=2,VLOOKUP(AC80,女子種目コード!$J$2:$K$28,2,FALSE))))</f>
        <v/>
      </c>
      <c r="AE80" s="818"/>
      <c r="AF80" s="831"/>
      <c r="AG80" s="322" t="str">
        <f>IF(AF80="","",IF(I80=1,VLOOKUP(AF80,男子種目コード!$J$2:$K$30,2,FALSE),IF(I80=2,VLOOKUP(AF80,女子種目コード!$J$2:$K$28,2,FALSE))))</f>
        <v/>
      </c>
      <c r="AH80" s="819"/>
      <c r="AI80" s="20"/>
      <c r="AJ80" s="20"/>
      <c r="AK80" s="19"/>
      <c r="AL80" s="838"/>
      <c r="AM80" s="848" t="str">
        <f t="shared" si="22"/>
        <v/>
      </c>
      <c r="AN80" s="57" t="str">
        <f t="shared" si="23"/>
        <v/>
      </c>
      <c r="AO80" s="307"/>
      <c r="AP80" s="339"/>
      <c r="AQ80" s="340"/>
      <c r="AR80" s="224"/>
      <c r="AS80" s="224"/>
      <c r="AU80" s="22"/>
      <c r="AV80" s="22"/>
      <c r="AX80" s="331">
        <f t="shared" si="14"/>
        <v>0</v>
      </c>
      <c r="AY80" s="224"/>
      <c r="AZ80" s="224"/>
      <c r="BA80" s="224"/>
      <c r="BB80" s="224"/>
      <c r="BC80" s="19">
        <f t="shared" si="15"/>
        <v>0</v>
      </c>
      <c r="BD80" s="19" t="str">
        <f t="shared" si="16"/>
        <v/>
      </c>
      <c r="BE80" s="19" t="str">
        <f t="shared" si="17"/>
        <v/>
      </c>
    </row>
    <row r="81" spans="2:57">
      <c r="B81" s="322" t="str">
        <f>名簿!P78</f>
        <v/>
      </c>
      <c r="C81" s="825"/>
      <c r="D81" s="825"/>
      <c r="E81" s="1321">
        <f>名簿!E78</f>
        <v>0</v>
      </c>
      <c r="F81" s="563" t="str">
        <f>名簿!CM78</f>
        <v/>
      </c>
      <c r="G81" s="322" t="str">
        <f>名簿!Z78</f>
        <v/>
      </c>
      <c r="H81" s="322" t="str">
        <f>名簿!CM78</f>
        <v/>
      </c>
      <c r="I81" s="323" t="str">
        <f>名簿!Y78</f>
        <v/>
      </c>
      <c r="J81" s="323" t="str">
        <f>名簿!CN78</f>
        <v/>
      </c>
      <c r="K81" s="900">
        <f>名簿!CP78</f>
        <v>0</v>
      </c>
      <c r="L81" s="901" t="str">
        <f>名簿!CU78</f>
        <v>00</v>
      </c>
      <c r="M81" s="322" t="str">
        <f>名簿!Q78</f>
        <v/>
      </c>
      <c r="N81" s="1315">
        <f>名簿!D78</f>
        <v>0</v>
      </c>
      <c r="O81" s="327"/>
      <c r="P81" s="258" t="str">
        <f>IF(O81="","",IF(I81=1,VLOOKUP(O81,男子種目コード!$P$1:$Q$26,2,FALSE),IF(I81=2,VLOOKUP(O81,女子種目コード!$P$1:$Q$26,2,FALSE))))</f>
        <v/>
      </c>
      <c r="Q81" s="494" t="str">
        <f>IF(O81="","",HLOOKUP(O81,名簿!$AH$3:$CH$118,76,FALSE))</f>
        <v/>
      </c>
      <c r="R81" s="1002"/>
      <c r="S81" s="843" t="str">
        <f t="shared" si="18"/>
        <v/>
      </c>
      <c r="T81" s="844" t="str">
        <f t="shared" si="19"/>
        <v/>
      </c>
      <c r="U81" s="327"/>
      <c r="V81" s="258" t="str">
        <f>IF(U81="","",IF(I81=1,VLOOKUP(U81,男子種目コード!$P$1:$Q$26,2,FALSE),IF(I81=2,VLOOKUP(U81,女子種目コード!$P$1:$Q$26,2,FALSE))))</f>
        <v/>
      </c>
      <c r="W81" s="494" t="str">
        <f>IF(U81="","",HLOOKUP(U81,名簿!$AH$3:$CH$118,76,FALSE))</f>
        <v/>
      </c>
      <c r="X81" s="1004"/>
      <c r="Y81" s="843" t="str">
        <f t="shared" si="20"/>
        <v/>
      </c>
      <c r="Z81" s="844" t="str">
        <f t="shared" si="21"/>
        <v/>
      </c>
      <c r="AA81" s="569" t="str">
        <f>IF(X81="","",IF(I81=1,VLOOKUP(X81,男子種目コード!$J$2:$K$30,2,FALSE),IF(I81=2,VLOOKUP(X81,女子種目コード!$J$2:$K$28,2,FALSE))))</f>
        <v/>
      </c>
      <c r="AB81" s="818"/>
      <c r="AC81" s="831"/>
      <c r="AD81" s="322" t="str">
        <f>IF(AC81="","",IF(I81=1,VLOOKUP(AC81,男子種目コード!$J$2:$K$30,2,FALSE),IF(I81=2,VLOOKUP(AC81,女子種目コード!$J$2:$K$28,2,FALSE))))</f>
        <v/>
      </c>
      <c r="AE81" s="818"/>
      <c r="AF81" s="831"/>
      <c r="AG81" s="322" t="str">
        <f>IF(AF81="","",IF(I81=1,VLOOKUP(AF81,男子種目コード!$J$2:$K$30,2,FALSE),IF(I81=2,VLOOKUP(AF81,女子種目コード!$J$2:$K$28,2,FALSE))))</f>
        <v/>
      </c>
      <c r="AH81" s="819"/>
      <c r="AI81" s="20"/>
      <c r="AJ81" s="20"/>
      <c r="AK81" s="19"/>
      <c r="AL81" s="838"/>
      <c r="AM81" s="848" t="str">
        <f t="shared" si="22"/>
        <v/>
      </c>
      <c r="AN81" s="57" t="str">
        <f t="shared" si="23"/>
        <v/>
      </c>
      <c r="AO81" s="307"/>
      <c r="AP81" s="307"/>
      <c r="AQ81" s="340"/>
      <c r="AR81" s="224"/>
      <c r="AS81" s="224"/>
      <c r="AU81" s="22"/>
      <c r="AV81" s="22"/>
      <c r="AX81" s="331">
        <f t="shared" si="14"/>
        <v>0</v>
      </c>
      <c r="AY81" s="224"/>
      <c r="AZ81" s="224"/>
      <c r="BA81" s="224"/>
      <c r="BB81" s="224"/>
      <c r="BC81" s="19">
        <f t="shared" si="15"/>
        <v>0</v>
      </c>
      <c r="BD81" s="19" t="str">
        <f t="shared" si="16"/>
        <v/>
      </c>
      <c r="BE81" s="19" t="str">
        <f t="shared" si="17"/>
        <v/>
      </c>
    </row>
    <row r="82" spans="2:57">
      <c r="B82" s="322" t="str">
        <f>名簿!P79</f>
        <v/>
      </c>
      <c r="C82" s="825"/>
      <c r="D82" s="825"/>
      <c r="E82" s="1321">
        <f>名簿!E79</f>
        <v>0</v>
      </c>
      <c r="F82" s="563" t="str">
        <f>名簿!CM79</f>
        <v/>
      </c>
      <c r="G82" s="322" t="str">
        <f>名簿!Z79</f>
        <v/>
      </c>
      <c r="H82" s="322" t="str">
        <f>名簿!CM79</f>
        <v/>
      </c>
      <c r="I82" s="323" t="str">
        <f>名簿!Y79</f>
        <v/>
      </c>
      <c r="J82" s="323" t="str">
        <f>名簿!CN79</f>
        <v/>
      </c>
      <c r="K82" s="900">
        <f>名簿!CP79</f>
        <v>0</v>
      </c>
      <c r="L82" s="901" t="str">
        <f>名簿!CU79</f>
        <v>00</v>
      </c>
      <c r="M82" s="322" t="str">
        <f>名簿!Q79</f>
        <v/>
      </c>
      <c r="N82" s="1315">
        <f>名簿!D79</f>
        <v>0</v>
      </c>
      <c r="O82" s="327"/>
      <c r="P82" s="258" t="str">
        <f>IF(O82="","",IF(I82=1,VLOOKUP(O82,男子種目コード!$P$1:$Q$26,2,FALSE),IF(I82=2,VLOOKUP(O82,女子種目コード!$P$1:$Q$26,2,FALSE))))</f>
        <v/>
      </c>
      <c r="Q82" s="494" t="str">
        <f>IF(O82="","",HLOOKUP(O82,名簿!$AH$3:$CH$118,77,FALSE))</f>
        <v/>
      </c>
      <c r="R82" s="1002"/>
      <c r="S82" s="843" t="str">
        <f t="shared" si="18"/>
        <v/>
      </c>
      <c r="T82" s="844" t="str">
        <f t="shared" si="19"/>
        <v/>
      </c>
      <c r="U82" s="327"/>
      <c r="V82" s="258" t="str">
        <f>IF(U82="","",IF(I82=1,VLOOKUP(U82,男子種目コード!$P$1:$Q$26,2,FALSE),IF(I82=2,VLOOKUP(U82,女子種目コード!$P$1:$Q$26,2,FALSE))))</f>
        <v/>
      </c>
      <c r="W82" s="494" t="str">
        <f>IF(U82="","",HLOOKUP(U82,名簿!$AH$3:$CH$118,77,FALSE))</f>
        <v/>
      </c>
      <c r="X82" s="1004"/>
      <c r="Y82" s="843" t="str">
        <f t="shared" si="20"/>
        <v/>
      </c>
      <c r="Z82" s="844" t="str">
        <f t="shared" si="21"/>
        <v/>
      </c>
      <c r="AA82" s="569" t="str">
        <f>IF(X82="","",IF(I82=1,VLOOKUP(X82,男子種目コード!$J$2:$K$30,2,FALSE),IF(I82=2,VLOOKUP(X82,女子種目コード!$J$2:$K$28,2,FALSE))))</f>
        <v/>
      </c>
      <c r="AB82" s="818"/>
      <c r="AC82" s="831"/>
      <c r="AD82" s="322" t="str">
        <f>IF(AC82="","",IF(I82=1,VLOOKUP(AC82,男子種目コード!$J$2:$K$30,2,FALSE),IF(I82=2,VLOOKUP(AC82,女子種目コード!$J$2:$K$28,2,FALSE))))</f>
        <v/>
      </c>
      <c r="AE82" s="818"/>
      <c r="AF82" s="831"/>
      <c r="AG82" s="322" t="str">
        <f>IF(AF82="","",IF(I82=1,VLOOKUP(AF82,男子種目コード!$J$2:$K$30,2,FALSE),IF(I82=2,VLOOKUP(AF82,女子種目コード!$J$2:$K$28,2,FALSE))))</f>
        <v/>
      </c>
      <c r="AH82" s="819"/>
      <c r="AI82" s="20"/>
      <c r="AJ82" s="20"/>
      <c r="AK82" s="19"/>
      <c r="AL82" s="838"/>
      <c r="AM82" s="848" t="str">
        <f t="shared" si="22"/>
        <v/>
      </c>
      <c r="AN82" s="57" t="str">
        <f t="shared" si="23"/>
        <v/>
      </c>
      <c r="AO82" s="307"/>
      <c r="AP82" s="307"/>
      <c r="AQ82" s="340"/>
      <c r="AR82" s="224"/>
      <c r="AS82" s="224"/>
      <c r="AU82" s="22"/>
      <c r="AV82" s="22"/>
      <c r="AX82" s="331">
        <f t="shared" si="14"/>
        <v>0</v>
      </c>
      <c r="AY82" s="224"/>
      <c r="AZ82" s="224"/>
      <c r="BA82" s="224"/>
      <c r="BB82" s="224"/>
      <c r="BC82" s="19">
        <f t="shared" si="15"/>
        <v>0</v>
      </c>
      <c r="BD82" s="19" t="str">
        <f t="shared" si="16"/>
        <v/>
      </c>
      <c r="BE82" s="19" t="str">
        <f t="shared" si="17"/>
        <v/>
      </c>
    </row>
    <row r="83" spans="2:57">
      <c r="B83" s="322" t="str">
        <f>名簿!P80</f>
        <v/>
      </c>
      <c r="C83" s="825"/>
      <c r="D83" s="825"/>
      <c r="E83" s="1321">
        <f>名簿!E80</f>
        <v>0</v>
      </c>
      <c r="F83" s="563" t="str">
        <f>名簿!CM80</f>
        <v/>
      </c>
      <c r="G83" s="322" t="str">
        <f>名簿!Z80</f>
        <v/>
      </c>
      <c r="H83" s="322" t="str">
        <f>名簿!CM80</f>
        <v/>
      </c>
      <c r="I83" s="323" t="str">
        <f>名簿!Y80</f>
        <v/>
      </c>
      <c r="J83" s="323" t="str">
        <f>名簿!CN80</f>
        <v/>
      </c>
      <c r="K83" s="900">
        <f>名簿!CP80</f>
        <v>0</v>
      </c>
      <c r="L83" s="901" t="str">
        <f>名簿!CU80</f>
        <v>00</v>
      </c>
      <c r="M83" s="322" t="str">
        <f>名簿!Q80</f>
        <v/>
      </c>
      <c r="N83" s="1315">
        <f>名簿!D80</f>
        <v>0</v>
      </c>
      <c r="O83" s="327"/>
      <c r="P83" s="258" t="str">
        <f>IF(O83="","",IF(I83=1,VLOOKUP(O83,男子種目コード!$P$1:$Q$26,2,FALSE),IF(I83=2,VLOOKUP(O83,女子種目コード!$P$1:$Q$26,2,FALSE))))</f>
        <v/>
      </c>
      <c r="Q83" s="494" t="str">
        <f>IF(O83="","",HLOOKUP(O83,名簿!$AH$3:$CH$118,78,FALSE))</f>
        <v/>
      </c>
      <c r="R83" s="1002"/>
      <c r="S83" s="843" t="str">
        <f t="shared" si="18"/>
        <v/>
      </c>
      <c r="T83" s="844" t="str">
        <f t="shared" si="19"/>
        <v/>
      </c>
      <c r="U83" s="327"/>
      <c r="V83" s="258" t="str">
        <f>IF(U83="","",IF(I83=1,VLOOKUP(U83,男子種目コード!$P$1:$Q$26,2,FALSE),IF(I83=2,VLOOKUP(U83,女子種目コード!$P$1:$Q$26,2,FALSE))))</f>
        <v/>
      </c>
      <c r="W83" s="494" t="str">
        <f>IF(U83="","",HLOOKUP(U83,名簿!$AH$3:$CH$118,78,FALSE))</f>
        <v/>
      </c>
      <c r="X83" s="1004"/>
      <c r="Y83" s="843" t="str">
        <f t="shared" si="20"/>
        <v/>
      </c>
      <c r="Z83" s="844" t="str">
        <f t="shared" si="21"/>
        <v/>
      </c>
      <c r="AA83" s="569" t="str">
        <f>IF(X83="","",IF(I83=1,VLOOKUP(X83,男子種目コード!$J$2:$K$30,2,FALSE),IF(I83=2,VLOOKUP(X83,女子種目コード!$J$2:$K$28,2,FALSE))))</f>
        <v/>
      </c>
      <c r="AB83" s="818"/>
      <c r="AC83" s="831"/>
      <c r="AD83" s="322" t="str">
        <f>IF(AC83="","",IF(I83=1,VLOOKUP(AC83,男子種目コード!$J$2:$K$30,2,FALSE),IF(I83=2,VLOOKUP(AC83,女子種目コード!$J$2:$K$28,2,FALSE))))</f>
        <v/>
      </c>
      <c r="AE83" s="818"/>
      <c r="AF83" s="831"/>
      <c r="AG83" s="322" t="str">
        <f>IF(AF83="","",IF(I83=1,VLOOKUP(AF83,男子種目コード!$J$2:$K$30,2,FALSE),IF(I83=2,VLOOKUP(AF83,女子種目コード!$J$2:$K$28,2,FALSE))))</f>
        <v/>
      </c>
      <c r="AH83" s="819"/>
      <c r="AI83" s="20"/>
      <c r="AJ83" s="20"/>
      <c r="AK83" s="19"/>
      <c r="AL83" s="838"/>
      <c r="AM83" s="848" t="str">
        <f t="shared" si="22"/>
        <v/>
      </c>
      <c r="AN83" s="57" t="str">
        <f t="shared" si="23"/>
        <v/>
      </c>
      <c r="AO83" s="307"/>
      <c r="AP83" s="307"/>
      <c r="AQ83" s="340"/>
      <c r="AR83" s="224"/>
      <c r="AS83" s="224"/>
      <c r="AU83" s="22"/>
      <c r="AV83" s="22"/>
      <c r="AX83" s="331">
        <f t="shared" si="14"/>
        <v>0</v>
      </c>
      <c r="AY83" s="224"/>
      <c r="AZ83" s="224"/>
      <c r="BA83" s="224"/>
      <c r="BB83" s="224"/>
      <c r="BC83" s="19">
        <f t="shared" si="15"/>
        <v>0</v>
      </c>
      <c r="BD83" s="19" t="str">
        <f t="shared" si="16"/>
        <v/>
      </c>
      <c r="BE83" s="19" t="str">
        <f t="shared" si="17"/>
        <v/>
      </c>
    </row>
    <row r="84" spans="2:57">
      <c r="B84" s="322" t="str">
        <f>名簿!P81</f>
        <v/>
      </c>
      <c r="C84" s="825"/>
      <c r="D84" s="825"/>
      <c r="E84" s="1321">
        <f>名簿!E81</f>
        <v>0</v>
      </c>
      <c r="F84" s="563" t="str">
        <f>名簿!CM81</f>
        <v/>
      </c>
      <c r="G84" s="322" t="str">
        <f>名簿!Z81</f>
        <v/>
      </c>
      <c r="H84" s="322" t="str">
        <f>名簿!CM81</f>
        <v/>
      </c>
      <c r="I84" s="323" t="str">
        <f>名簿!Y81</f>
        <v/>
      </c>
      <c r="J84" s="323" t="str">
        <f>名簿!CN81</f>
        <v/>
      </c>
      <c r="K84" s="900">
        <f>名簿!CP81</f>
        <v>0</v>
      </c>
      <c r="L84" s="901" t="str">
        <f>名簿!CU81</f>
        <v>00</v>
      </c>
      <c r="M84" s="322" t="str">
        <f>名簿!Q81</f>
        <v/>
      </c>
      <c r="N84" s="1315">
        <f>名簿!D81</f>
        <v>0</v>
      </c>
      <c r="O84" s="327"/>
      <c r="P84" s="258" t="str">
        <f>IF(O84="","",IF(I84=1,VLOOKUP(O84,男子種目コード!$P$1:$Q$26,2,FALSE),IF(I84=2,VLOOKUP(O84,女子種目コード!$P$1:$Q$26,2,FALSE))))</f>
        <v/>
      </c>
      <c r="Q84" s="494" t="str">
        <f>IF(O84="","",HLOOKUP(O84,名簿!$AH$3:$CH$118,79,FALSE))</f>
        <v/>
      </c>
      <c r="R84" s="1002"/>
      <c r="S84" s="843" t="str">
        <f t="shared" si="18"/>
        <v/>
      </c>
      <c r="T84" s="844" t="str">
        <f t="shared" si="19"/>
        <v/>
      </c>
      <c r="U84" s="327"/>
      <c r="V84" s="258" t="str">
        <f>IF(U84="","",IF(I84=1,VLOOKUP(U84,男子種目コード!$P$1:$Q$26,2,FALSE),IF(I84=2,VLOOKUP(U84,女子種目コード!$P$1:$Q$26,2,FALSE))))</f>
        <v/>
      </c>
      <c r="W84" s="494" t="str">
        <f>IF(U84="","",HLOOKUP(U84,名簿!$AH$3:$CH$118,79,FALSE))</f>
        <v/>
      </c>
      <c r="X84" s="1004"/>
      <c r="Y84" s="843" t="str">
        <f t="shared" si="20"/>
        <v/>
      </c>
      <c r="Z84" s="844" t="str">
        <f t="shared" si="21"/>
        <v/>
      </c>
      <c r="AA84" s="569" t="str">
        <f>IF(X84="","",IF(I84=1,VLOOKUP(X84,男子種目コード!$J$2:$K$30,2,FALSE),IF(I84=2,VLOOKUP(X84,女子種目コード!$J$2:$K$28,2,FALSE))))</f>
        <v/>
      </c>
      <c r="AB84" s="818"/>
      <c r="AC84" s="831"/>
      <c r="AD84" s="322" t="str">
        <f>IF(AC84="","",IF(I84=1,VLOOKUP(AC84,男子種目コード!$J$2:$K$30,2,FALSE),IF(I84=2,VLOOKUP(AC84,女子種目コード!$J$2:$K$28,2,FALSE))))</f>
        <v/>
      </c>
      <c r="AE84" s="818"/>
      <c r="AF84" s="831"/>
      <c r="AG84" s="322" t="str">
        <f>IF(AF84="","",IF(I84=1,VLOOKUP(AF84,男子種目コード!$J$2:$K$30,2,FALSE),IF(I84=2,VLOOKUP(AF84,女子種目コード!$J$2:$K$28,2,FALSE))))</f>
        <v/>
      </c>
      <c r="AH84" s="819"/>
      <c r="AI84" s="20"/>
      <c r="AJ84" s="20"/>
      <c r="AK84" s="19"/>
      <c r="AL84" s="838"/>
      <c r="AM84" s="848" t="str">
        <f t="shared" si="22"/>
        <v/>
      </c>
      <c r="AN84" s="57" t="str">
        <f t="shared" si="23"/>
        <v/>
      </c>
      <c r="AO84" s="307"/>
      <c r="AP84" s="307"/>
      <c r="AQ84" s="220"/>
      <c r="AR84" s="224"/>
      <c r="AS84" s="224"/>
      <c r="AU84" s="22"/>
      <c r="AV84" s="22"/>
      <c r="AX84" s="331">
        <f t="shared" si="14"/>
        <v>0</v>
      </c>
      <c r="AY84" s="224"/>
      <c r="AZ84" s="224"/>
      <c r="BA84" s="224"/>
      <c r="BB84" s="224"/>
      <c r="BC84" s="19">
        <f t="shared" si="15"/>
        <v>0</v>
      </c>
      <c r="BD84" s="19" t="str">
        <f t="shared" si="16"/>
        <v/>
      </c>
      <c r="BE84" s="19" t="str">
        <f t="shared" si="17"/>
        <v/>
      </c>
    </row>
    <row r="85" spans="2:57">
      <c r="B85" s="322" t="str">
        <f>名簿!P82</f>
        <v/>
      </c>
      <c r="C85" s="825"/>
      <c r="D85" s="825"/>
      <c r="E85" s="1321">
        <f>名簿!E82</f>
        <v>0</v>
      </c>
      <c r="F85" s="563" t="str">
        <f>名簿!CM82</f>
        <v/>
      </c>
      <c r="G85" s="322" t="str">
        <f>名簿!Z82</f>
        <v/>
      </c>
      <c r="H85" s="322" t="str">
        <f>名簿!CM82</f>
        <v/>
      </c>
      <c r="I85" s="323" t="str">
        <f>名簿!Y82</f>
        <v/>
      </c>
      <c r="J85" s="323" t="str">
        <f>名簿!CN82</f>
        <v/>
      </c>
      <c r="K85" s="900">
        <f>名簿!CP82</f>
        <v>0</v>
      </c>
      <c r="L85" s="901" t="str">
        <f>名簿!CU82</f>
        <v>00</v>
      </c>
      <c r="M85" s="322" t="str">
        <f>名簿!Q82</f>
        <v/>
      </c>
      <c r="N85" s="1315">
        <f>名簿!D82</f>
        <v>0</v>
      </c>
      <c r="O85" s="327"/>
      <c r="P85" s="258" t="str">
        <f>IF(O85="","",IF(I85=1,VLOOKUP(O85,男子種目コード!$P$1:$Q$26,2,FALSE),IF(I85=2,VLOOKUP(O85,女子種目コード!$P$1:$Q$26,2,FALSE))))</f>
        <v/>
      </c>
      <c r="Q85" s="494" t="str">
        <f>IF(O85="","",HLOOKUP(O85,名簿!$AH$3:$CH$118,80,FALSE))</f>
        <v/>
      </c>
      <c r="R85" s="1002"/>
      <c r="S85" s="843" t="str">
        <f t="shared" si="18"/>
        <v/>
      </c>
      <c r="T85" s="844" t="str">
        <f t="shared" si="19"/>
        <v/>
      </c>
      <c r="U85" s="327"/>
      <c r="V85" s="258" t="str">
        <f>IF(U85="","",IF(I85=1,VLOOKUP(U85,男子種目コード!$P$1:$Q$26,2,FALSE),IF(I85=2,VLOOKUP(U85,女子種目コード!$P$1:$Q$26,2,FALSE))))</f>
        <v/>
      </c>
      <c r="W85" s="494" t="str">
        <f>IF(U85="","",HLOOKUP(U85,名簿!$AH$3:$CH$118,80,FALSE))</f>
        <v/>
      </c>
      <c r="X85" s="1004"/>
      <c r="Y85" s="843" t="str">
        <f t="shared" si="20"/>
        <v/>
      </c>
      <c r="Z85" s="844" t="str">
        <f t="shared" si="21"/>
        <v/>
      </c>
      <c r="AA85" s="569" t="str">
        <f>IF(X85="","",IF(I85=1,VLOOKUP(X85,男子種目コード!$J$2:$K$30,2,FALSE),IF(I85=2,VLOOKUP(X85,女子種目コード!$J$2:$K$28,2,FALSE))))</f>
        <v/>
      </c>
      <c r="AB85" s="818"/>
      <c r="AC85" s="831"/>
      <c r="AD85" s="322" t="str">
        <f>IF(AC85="","",IF(I85=1,VLOOKUP(AC85,男子種目コード!$J$2:$K$30,2,FALSE),IF(I85=2,VLOOKUP(AC85,女子種目コード!$J$2:$K$28,2,FALSE))))</f>
        <v/>
      </c>
      <c r="AE85" s="818"/>
      <c r="AF85" s="831"/>
      <c r="AG85" s="322" t="str">
        <f>IF(AF85="","",IF(I85=1,VLOOKUP(AF85,男子種目コード!$J$2:$K$30,2,FALSE),IF(I85=2,VLOOKUP(AF85,女子種目コード!$J$2:$K$28,2,FALSE))))</f>
        <v/>
      </c>
      <c r="AH85" s="819"/>
      <c r="AI85" s="20"/>
      <c r="AJ85" s="20"/>
      <c r="AK85" s="19"/>
      <c r="AL85" s="838"/>
      <c r="AM85" s="848" t="str">
        <f t="shared" si="22"/>
        <v/>
      </c>
      <c r="AN85" s="57" t="str">
        <f t="shared" si="23"/>
        <v/>
      </c>
      <c r="AO85" s="307"/>
      <c r="AP85" s="307"/>
      <c r="AQ85" s="220"/>
      <c r="AR85" s="224"/>
      <c r="AS85" s="224"/>
      <c r="AU85" s="22"/>
      <c r="AV85" s="22"/>
      <c r="AX85" s="331">
        <f t="shared" si="14"/>
        <v>0</v>
      </c>
      <c r="AY85" s="224"/>
      <c r="AZ85" s="224"/>
      <c r="BA85" s="224"/>
      <c r="BB85" s="224"/>
      <c r="BC85" s="19">
        <f t="shared" si="15"/>
        <v>0</v>
      </c>
      <c r="BD85" s="19" t="str">
        <f t="shared" si="16"/>
        <v/>
      </c>
      <c r="BE85" s="19" t="str">
        <f t="shared" si="17"/>
        <v/>
      </c>
    </row>
    <row r="86" spans="2:57">
      <c r="B86" s="322" t="str">
        <f>名簿!P83</f>
        <v/>
      </c>
      <c r="C86" s="825"/>
      <c r="D86" s="825"/>
      <c r="E86" s="1321">
        <f>名簿!E83</f>
        <v>0</v>
      </c>
      <c r="F86" s="563" t="str">
        <f>名簿!CM83</f>
        <v/>
      </c>
      <c r="G86" s="322" t="str">
        <f>名簿!Z83</f>
        <v/>
      </c>
      <c r="H86" s="322" t="str">
        <f>名簿!CM83</f>
        <v/>
      </c>
      <c r="I86" s="323" t="str">
        <f>名簿!Y83</f>
        <v/>
      </c>
      <c r="J86" s="323" t="str">
        <f>名簿!CN83</f>
        <v/>
      </c>
      <c r="K86" s="900">
        <f>名簿!CP83</f>
        <v>0</v>
      </c>
      <c r="L86" s="901" t="str">
        <f>名簿!CU83</f>
        <v>00</v>
      </c>
      <c r="M86" s="322" t="str">
        <f>名簿!Q83</f>
        <v/>
      </c>
      <c r="N86" s="1315">
        <f>名簿!D83</f>
        <v>0</v>
      </c>
      <c r="O86" s="327"/>
      <c r="P86" s="258" t="str">
        <f>IF(O86="","",IF(I86=1,VLOOKUP(O86,男子種目コード!$P$1:$Q$26,2,FALSE),IF(I86=2,VLOOKUP(O86,女子種目コード!$P$1:$Q$26,2,FALSE))))</f>
        <v/>
      </c>
      <c r="Q86" s="494" t="str">
        <f>IF(O86="","",HLOOKUP(O86,名簿!$AH$3:$CH$118,81,FALSE))</f>
        <v/>
      </c>
      <c r="R86" s="1002"/>
      <c r="S86" s="843" t="str">
        <f t="shared" si="18"/>
        <v/>
      </c>
      <c r="T86" s="844" t="str">
        <f t="shared" si="19"/>
        <v/>
      </c>
      <c r="U86" s="327"/>
      <c r="V86" s="258" t="str">
        <f>IF(U86="","",IF(I86=1,VLOOKUP(U86,男子種目コード!$P$1:$Q$26,2,FALSE),IF(I86=2,VLOOKUP(U86,女子種目コード!$P$1:$Q$26,2,FALSE))))</f>
        <v/>
      </c>
      <c r="W86" s="494" t="str">
        <f>IF(U86="","",HLOOKUP(U86,名簿!$AH$3:$CH$118,81,FALSE))</f>
        <v/>
      </c>
      <c r="X86" s="1004"/>
      <c r="Y86" s="843" t="str">
        <f t="shared" si="20"/>
        <v/>
      </c>
      <c r="Z86" s="844" t="str">
        <f t="shared" si="21"/>
        <v/>
      </c>
      <c r="AA86" s="569" t="str">
        <f>IF(X86="","",IF(I86=1,VLOOKUP(X86,男子種目コード!$J$2:$K$30,2,FALSE),IF(I86=2,VLOOKUP(X86,女子種目コード!$J$2:$K$28,2,FALSE))))</f>
        <v/>
      </c>
      <c r="AB86" s="818"/>
      <c r="AC86" s="831"/>
      <c r="AD86" s="322" t="str">
        <f>IF(AC86="","",IF(I86=1,VLOOKUP(AC86,男子種目コード!$J$2:$K$30,2,FALSE),IF(I86=2,VLOOKUP(AC86,女子種目コード!$J$2:$K$28,2,FALSE))))</f>
        <v/>
      </c>
      <c r="AE86" s="818"/>
      <c r="AF86" s="831"/>
      <c r="AG86" s="322" t="str">
        <f>IF(AF86="","",IF(I86=1,VLOOKUP(AF86,男子種目コード!$J$2:$K$30,2,FALSE),IF(I86=2,VLOOKUP(AF86,女子種目コード!$J$2:$K$28,2,FALSE))))</f>
        <v/>
      </c>
      <c r="AH86" s="819"/>
      <c r="AI86" s="20"/>
      <c r="AJ86" s="20"/>
      <c r="AK86" s="19"/>
      <c r="AL86" s="838"/>
      <c r="AM86" s="848" t="str">
        <f t="shared" si="22"/>
        <v/>
      </c>
      <c r="AN86" s="57" t="str">
        <f t="shared" si="23"/>
        <v/>
      </c>
      <c r="AO86" s="1162"/>
      <c r="AP86" s="1162"/>
      <c r="AQ86" s="220"/>
      <c r="AR86" s="224"/>
      <c r="AS86" s="224"/>
      <c r="AU86" s="22"/>
      <c r="AV86" s="22"/>
      <c r="AX86" s="331">
        <f t="shared" si="14"/>
        <v>0</v>
      </c>
      <c r="AY86" s="224"/>
      <c r="AZ86" s="224"/>
      <c r="BA86" s="224"/>
      <c r="BB86" s="224"/>
      <c r="BC86" s="19">
        <f t="shared" si="15"/>
        <v>0</v>
      </c>
      <c r="BD86" s="19" t="str">
        <f t="shared" si="16"/>
        <v/>
      </c>
      <c r="BE86" s="19" t="str">
        <f t="shared" si="17"/>
        <v/>
      </c>
    </row>
    <row r="87" spans="2:57">
      <c r="B87" s="322" t="str">
        <f>名簿!P84</f>
        <v/>
      </c>
      <c r="C87" s="825"/>
      <c r="D87" s="825"/>
      <c r="E87" s="1321">
        <f>名簿!E84</f>
        <v>0</v>
      </c>
      <c r="F87" s="563" t="str">
        <f>名簿!CM84</f>
        <v/>
      </c>
      <c r="G87" s="322" t="str">
        <f>名簿!Z84</f>
        <v/>
      </c>
      <c r="H87" s="322" t="str">
        <f>名簿!CM84</f>
        <v/>
      </c>
      <c r="I87" s="323" t="str">
        <f>名簿!Y84</f>
        <v/>
      </c>
      <c r="J87" s="323" t="str">
        <f>名簿!CN84</f>
        <v/>
      </c>
      <c r="K87" s="900">
        <f>名簿!CP84</f>
        <v>0</v>
      </c>
      <c r="L87" s="901" t="str">
        <f>名簿!CU84</f>
        <v>00</v>
      </c>
      <c r="M87" s="322" t="str">
        <f>名簿!Q84</f>
        <v/>
      </c>
      <c r="N87" s="1315">
        <f>名簿!D84</f>
        <v>0</v>
      </c>
      <c r="O87" s="327"/>
      <c r="P87" s="258" t="str">
        <f>IF(O87="","",IF(I87=1,VLOOKUP(O87,男子種目コード!$P$1:$Q$26,2,FALSE),IF(I87=2,VLOOKUP(O87,女子種目コード!$P$1:$Q$26,2,FALSE))))</f>
        <v/>
      </c>
      <c r="Q87" s="494" t="str">
        <f>IF(O87="","",HLOOKUP(O87,名簿!$AH$3:$CH$118,82,FALSE))</f>
        <v/>
      </c>
      <c r="R87" s="1002"/>
      <c r="S87" s="843" t="str">
        <f t="shared" si="18"/>
        <v/>
      </c>
      <c r="T87" s="844" t="str">
        <f t="shared" si="19"/>
        <v/>
      </c>
      <c r="U87" s="327"/>
      <c r="V87" s="258" t="str">
        <f>IF(U87="","",IF(I87=1,VLOOKUP(U87,男子種目コード!$P$1:$Q$26,2,FALSE),IF(I87=2,VLOOKUP(U87,女子種目コード!$P$1:$Q$26,2,FALSE))))</f>
        <v/>
      </c>
      <c r="W87" s="494" t="str">
        <f>IF(U87="","",HLOOKUP(U87,名簿!$AH$3:$CH$118,82,FALSE))</f>
        <v/>
      </c>
      <c r="X87" s="1004"/>
      <c r="Y87" s="843" t="str">
        <f t="shared" si="20"/>
        <v/>
      </c>
      <c r="Z87" s="844" t="str">
        <f t="shared" si="21"/>
        <v/>
      </c>
      <c r="AA87" s="569" t="str">
        <f>IF(X87="","",IF(I87=1,VLOOKUP(X87,男子種目コード!$J$2:$K$30,2,FALSE),IF(I87=2,VLOOKUP(X87,女子種目コード!$J$2:$K$28,2,FALSE))))</f>
        <v/>
      </c>
      <c r="AB87" s="818"/>
      <c r="AC87" s="831"/>
      <c r="AD87" s="322" t="str">
        <f>IF(AC87="","",IF(I87=1,VLOOKUP(AC87,男子種目コード!$J$2:$K$30,2,FALSE),IF(I87=2,VLOOKUP(AC87,女子種目コード!$J$2:$K$28,2,FALSE))))</f>
        <v/>
      </c>
      <c r="AE87" s="818"/>
      <c r="AF87" s="831"/>
      <c r="AG87" s="322" t="str">
        <f>IF(AF87="","",IF(I87=1,VLOOKUP(AF87,男子種目コード!$J$2:$K$30,2,FALSE),IF(I87=2,VLOOKUP(AF87,女子種目コード!$J$2:$K$28,2,FALSE))))</f>
        <v/>
      </c>
      <c r="AH87" s="819"/>
      <c r="AI87" s="20"/>
      <c r="AJ87" s="20"/>
      <c r="AK87" s="19"/>
      <c r="AL87" s="838"/>
      <c r="AM87" s="848" t="str">
        <f t="shared" si="22"/>
        <v/>
      </c>
      <c r="AN87" s="57" t="str">
        <f t="shared" si="23"/>
        <v/>
      </c>
      <c r="AO87" s="307"/>
      <c r="AP87" s="339"/>
      <c r="AQ87" s="220"/>
      <c r="AR87" s="224"/>
      <c r="AS87" s="224"/>
      <c r="AU87" s="22"/>
      <c r="AV87" s="22"/>
      <c r="AX87" s="331">
        <f t="shared" si="14"/>
        <v>0</v>
      </c>
      <c r="AY87" s="224"/>
      <c r="AZ87" s="224"/>
      <c r="BA87" s="224"/>
      <c r="BB87" s="224"/>
      <c r="BC87" s="19">
        <f t="shared" si="15"/>
        <v>0</v>
      </c>
      <c r="BD87" s="19" t="str">
        <f t="shared" si="16"/>
        <v/>
      </c>
      <c r="BE87" s="19" t="str">
        <f t="shared" si="17"/>
        <v/>
      </c>
    </row>
    <row r="88" spans="2:57">
      <c r="B88" s="322" t="str">
        <f>名簿!P85</f>
        <v/>
      </c>
      <c r="C88" s="825"/>
      <c r="D88" s="825"/>
      <c r="E88" s="1321">
        <f>名簿!E85</f>
        <v>0</v>
      </c>
      <c r="F88" s="563" t="str">
        <f>名簿!CM85</f>
        <v/>
      </c>
      <c r="G88" s="322" t="str">
        <f>名簿!Z85</f>
        <v/>
      </c>
      <c r="H88" s="322" t="str">
        <f>名簿!CM85</f>
        <v/>
      </c>
      <c r="I88" s="323" t="str">
        <f>名簿!Y85</f>
        <v/>
      </c>
      <c r="J88" s="323" t="str">
        <f>名簿!CN85</f>
        <v/>
      </c>
      <c r="K88" s="900">
        <f>名簿!CP85</f>
        <v>0</v>
      </c>
      <c r="L88" s="901" t="str">
        <f>名簿!CU85</f>
        <v>00</v>
      </c>
      <c r="M88" s="322" t="str">
        <f>名簿!Q85</f>
        <v/>
      </c>
      <c r="N88" s="1315">
        <f>名簿!D85</f>
        <v>0</v>
      </c>
      <c r="O88" s="327"/>
      <c r="P88" s="258" t="str">
        <f>IF(O88="","",IF(I88=1,VLOOKUP(O88,男子種目コード!$P$1:$Q$26,2,FALSE),IF(I88=2,VLOOKUP(O88,女子種目コード!$P$1:$Q$26,2,FALSE))))</f>
        <v/>
      </c>
      <c r="Q88" s="494" t="str">
        <f>IF(O88="","",HLOOKUP(O88,名簿!$AH$3:$CH$118,83,FALSE))</f>
        <v/>
      </c>
      <c r="R88" s="1002"/>
      <c r="S88" s="843" t="str">
        <f t="shared" si="18"/>
        <v/>
      </c>
      <c r="T88" s="844" t="str">
        <f t="shared" si="19"/>
        <v/>
      </c>
      <c r="U88" s="327"/>
      <c r="V88" s="258" t="str">
        <f>IF(U88="","",IF(I88=1,VLOOKUP(U88,男子種目コード!$P$1:$Q$26,2,FALSE),IF(I88=2,VLOOKUP(U88,女子種目コード!$P$1:$Q$26,2,FALSE))))</f>
        <v/>
      </c>
      <c r="W88" s="494" t="str">
        <f>IF(U88="","",HLOOKUP(U88,名簿!$AH$3:$CH$118,83,FALSE))</f>
        <v/>
      </c>
      <c r="X88" s="1004"/>
      <c r="Y88" s="843" t="str">
        <f t="shared" si="20"/>
        <v/>
      </c>
      <c r="Z88" s="844" t="str">
        <f t="shared" si="21"/>
        <v/>
      </c>
      <c r="AA88" s="569" t="str">
        <f>IF(X88="","",IF(I88=1,VLOOKUP(X88,男子種目コード!$J$2:$K$30,2,FALSE),IF(I88=2,VLOOKUP(X88,女子種目コード!$J$2:$K$28,2,FALSE))))</f>
        <v/>
      </c>
      <c r="AB88" s="818"/>
      <c r="AC88" s="831"/>
      <c r="AD88" s="322" t="str">
        <f>IF(AC88="","",IF(I88=1,VLOOKUP(AC88,男子種目コード!$J$2:$K$30,2,FALSE),IF(I88=2,VLOOKUP(AC88,女子種目コード!$J$2:$K$28,2,FALSE))))</f>
        <v/>
      </c>
      <c r="AE88" s="818"/>
      <c r="AF88" s="831"/>
      <c r="AG88" s="322" t="str">
        <f>IF(AF88="","",IF(I88=1,VLOOKUP(AF88,男子種目コード!$J$2:$K$30,2,FALSE),IF(I88=2,VLOOKUP(AF88,女子種目コード!$J$2:$K$28,2,FALSE))))</f>
        <v/>
      </c>
      <c r="AH88" s="819"/>
      <c r="AI88" s="20"/>
      <c r="AJ88" s="20"/>
      <c r="AK88" s="19"/>
      <c r="AL88" s="838"/>
      <c r="AM88" s="848" t="str">
        <f t="shared" si="22"/>
        <v/>
      </c>
      <c r="AN88" s="57" t="str">
        <f t="shared" si="23"/>
        <v/>
      </c>
      <c r="AO88" s="307"/>
      <c r="AP88" s="307"/>
      <c r="AQ88" s="220"/>
      <c r="AR88" s="224"/>
      <c r="AS88" s="224"/>
      <c r="AU88" s="22"/>
      <c r="AV88" s="22"/>
      <c r="AX88" s="331">
        <f t="shared" si="14"/>
        <v>0</v>
      </c>
      <c r="AY88" s="224"/>
      <c r="AZ88" s="224"/>
      <c r="BA88" s="224"/>
      <c r="BB88" s="224"/>
      <c r="BC88" s="19">
        <f t="shared" si="15"/>
        <v>0</v>
      </c>
      <c r="BD88" s="19" t="str">
        <f t="shared" si="16"/>
        <v/>
      </c>
      <c r="BE88" s="19" t="str">
        <f t="shared" si="17"/>
        <v/>
      </c>
    </row>
    <row r="89" spans="2:57">
      <c r="B89" s="322" t="str">
        <f>名簿!P86</f>
        <v/>
      </c>
      <c r="C89" s="825"/>
      <c r="D89" s="825"/>
      <c r="E89" s="1321">
        <f>名簿!E86</f>
        <v>0</v>
      </c>
      <c r="F89" s="563" t="str">
        <f>名簿!CM86</f>
        <v/>
      </c>
      <c r="G89" s="322" t="str">
        <f>名簿!Z86</f>
        <v/>
      </c>
      <c r="H89" s="322" t="str">
        <f>名簿!CM86</f>
        <v/>
      </c>
      <c r="I89" s="323" t="str">
        <f>名簿!Y86</f>
        <v/>
      </c>
      <c r="J89" s="323" t="str">
        <f>名簿!CN86</f>
        <v/>
      </c>
      <c r="K89" s="900">
        <f>名簿!CP86</f>
        <v>0</v>
      </c>
      <c r="L89" s="901" t="str">
        <f>名簿!CU86</f>
        <v>00</v>
      </c>
      <c r="M89" s="322" t="str">
        <f>名簿!Q86</f>
        <v/>
      </c>
      <c r="N89" s="1315">
        <f>名簿!D86</f>
        <v>0</v>
      </c>
      <c r="O89" s="327"/>
      <c r="P89" s="258" t="str">
        <f>IF(O89="","",IF(I89=1,VLOOKUP(O89,男子種目コード!$P$1:$Q$26,2,FALSE),IF(I89=2,VLOOKUP(O89,女子種目コード!$P$1:$Q$26,2,FALSE))))</f>
        <v/>
      </c>
      <c r="Q89" s="494" t="str">
        <f>IF(O89="","",HLOOKUP(O89,名簿!$AH$3:$CH$118,84,FALSE))</f>
        <v/>
      </c>
      <c r="R89" s="1002"/>
      <c r="S89" s="843" t="str">
        <f t="shared" si="18"/>
        <v/>
      </c>
      <c r="T89" s="844" t="str">
        <f t="shared" si="19"/>
        <v/>
      </c>
      <c r="U89" s="327"/>
      <c r="V89" s="258" t="str">
        <f>IF(U89="","",IF(I89=1,VLOOKUP(U89,男子種目コード!$P$1:$Q$26,2,FALSE),IF(I89=2,VLOOKUP(U89,女子種目コード!$P$1:$Q$26,2,FALSE))))</f>
        <v/>
      </c>
      <c r="W89" s="494" t="str">
        <f>IF(U89="","",HLOOKUP(U89,名簿!$AH$3:$CH$118,84,FALSE))</f>
        <v/>
      </c>
      <c r="X89" s="1004"/>
      <c r="Y89" s="843" t="str">
        <f t="shared" si="20"/>
        <v/>
      </c>
      <c r="Z89" s="844" t="str">
        <f t="shared" si="21"/>
        <v/>
      </c>
      <c r="AA89" s="569" t="str">
        <f>IF(X89="","",IF(I89=1,VLOOKUP(X89,男子種目コード!$J$2:$K$30,2,FALSE),IF(I89=2,VLOOKUP(X89,女子種目コード!$J$2:$K$28,2,FALSE))))</f>
        <v/>
      </c>
      <c r="AB89" s="818"/>
      <c r="AC89" s="831"/>
      <c r="AD89" s="322" t="str">
        <f>IF(AC89="","",IF(I89=1,VLOOKUP(AC89,男子種目コード!$J$2:$K$30,2,FALSE),IF(I89=2,VLOOKUP(AC89,女子種目コード!$J$2:$K$28,2,FALSE))))</f>
        <v/>
      </c>
      <c r="AE89" s="818"/>
      <c r="AF89" s="831"/>
      <c r="AG89" s="322" t="str">
        <f>IF(AF89="","",IF(I89=1,VLOOKUP(AF89,男子種目コード!$J$2:$K$30,2,FALSE),IF(I89=2,VLOOKUP(AF89,女子種目コード!$J$2:$K$28,2,FALSE))))</f>
        <v/>
      </c>
      <c r="AH89" s="819"/>
      <c r="AI89" s="20"/>
      <c r="AJ89" s="20"/>
      <c r="AK89" s="19"/>
      <c r="AL89" s="838"/>
      <c r="AM89" s="848" t="str">
        <f t="shared" si="22"/>
        <v/>
      </c>
      <c r="AN89" s="57" t="str">
        <f t="shared" si="23"/>
        <v/>
      </c>
      <c r="AO89" s="307"/>
      <c r="AP89" s="307"/>
      <c r="AQ89" s="220"/>
      <c r="AR89" s="224"/>
      <c r="AS89" s="224"/>
      <c r="AU89" s="22"/>
      <c r="AV89" s="22"/>
      <c r="AX89" s="331">
        <f t="shared" si="14"/>
        <v>0</v>
      </c>
      <c r="AY89" s="224"/>
      <c r="AZ89" s="224"/>
      <c r="BA89" s="224"/>
      <c r="BB89" s="224"/>
      <c r="BC89" s="19">
        <f t="shared" si="15"/>
        <v>0</v>
      </c>
      <c r="BD89" s="19" t="str">
        <f t="shared" si="16"/>
        <v/>
      </c>
      <c r="BE89" s="19" t="str">
        <f t="shared" si="17"/>
        <v/>
      </c>
    </row>
    <row r="90" spans="2:57">
      <c r="B90" s="322" t="str">
        <f>名簿!P87</f>
        <v/>
      </c>
      <c r="C90" s="825"/>
      <c r="D90" s="825"/>
      <c r="E90" s="1321">
        <f>名簿!E87</f>
        <v>0</v>
      </c>
      <c r="F90" s="563" t="str">
        <f>名簿!CM87</f>
        <v/>
      </c>
      <c r="G90" s="322" t="str">
        <f>名簿!Z87</f>
        <v/>
      </c>
      <c r="H90" s="322" t="str">
        <f>名簿!CM87</f>
        <v/>
      </c>
      <c r="I90" s="323" t="str">
        <f>名簿!Y87</f>
        <v/>
      </c>
      <c r="J90" s="323" t="str">
        <f>名簿!CN87</f>
        <v/>
      </c>
      <c r="K90" s="900">
        <f>名簿!CP87</f>
        <v>0</v>
      </c>
      <c r="L90" s="901" t="str">
        <f>名簿!CU87</f>
        <v>00</v>
      </c>
      <c r="M90" s="322" t="str">
        <f>名簿!Q87</f>
        <v/>
      </c>
      <c r="N90" s="1315">
        <f>名簿!D87</f>
        <v>0</v>
      </c>
      <c r="O90" s="327"/>
      <c r="P90" s="258" t="str">
        <f>IF(O90="","",IF(I90=1,VLOOKUP(O90,男子種目コード!$P$1:$Q$26,2,FALSE),IF(I90=2,VLOOKUP(O90,女子種目コード!$P$1:$Q$26,2,FALSE))))</f>
        <v/>
      </c>
      <c r="Q90" s="494" t="str">
        <f>IF(O90="","",HLOOKUP(O90,名簿!$AH$3:$CH$118,85,FALSE))</f>
        <v/>
      </c>
      <c r="R90" s="1002"/>
      <c r="S90" s="843" t="str">
        <f t="shared" si="18"/>
        <v/>
      </c>
      <c r="T90" s="844" t="str">
        <f t="shared" si="19"/>
        <v/>
      </c>
      <c r="U90" s="327"/>
      <c r="V90" s="258" t="str">
        <f>IF(U90="","",IF(I90=1,VLOOKUP(U90,男子種目コード!$P$1:$Q$26,2,FALSE),IF(I90=2,VLOOKUP(U90,女子種目コード!$P$1:$Q$26,2,FALSE))))</f>
        <v/>
      </c>
      <c r="W90" s="494" t="str">
        <f>IF(U90="","",HLOOKUP(U90,名簿!$AH$3:$CH$118,85,FALSE))</f>
        <v/>
      </c>
      <c r="X90" s="1004"/>
      <c r="Y90" s="843" t="str">
        <f t="shared" si="20"/>
        <v/>
      </c>
      <c r="Z90" s="844" t="str">
        <f t="shared" si="21"/>
        <v/>
      </c>
      <c r="AA90" s="569" t="str">
        <f>IF(X90="","",IF(I90=1,VLOOKUP(X90,男子種目コード!$J$2:$K$30,2,FALSE),IF(I90=2,VLOOKUP(X90,女子種目コード!$J$2:$K$28,2,FALSE))))</f>
        <v/>
      </c>
      <c r="AB90" s="818"/>
      <c r="AC90" s="831"/>
      <c r="AD90" s="322" t="str">
        <f>IF(AC90="","",IF(I90=1,VLOOKUP(AC90,男子種目コード!$J$2:$K$30,2,FALSE),IF(I90=2,VLOOKUP(AC90,女子種目コード!$J$2:$K$28,2,FALSE))))</f>
        <v/>
      </c>
      <c r="AE90" s="818"/>
      <c r="AF90" s="831"/>
      <c r="AG90" s="322" t="str">
        <f>IF(AF90="","",IF(I90=1,VLOOKUP(AF90,男子種目コード!$J$2:$K$30,2,FALSE),IF(I90=2,VLOOKUP(AF90,女子種目コード!$J$2:$K$28,2,FALSE))))</f>
        <v/>
      </c>
      <c r="AH90" s="819"/>
      <c r="AI90" s="20"/>
      <c r="AJ90" s="20"/>
      <c r="AK90" s="19"/>
      <c r="AL90" s="838"/>
      <c r="AM90" s="848" t="str">
        <f t="shared" si="22"/>
        <v/>
      </c>
      <c r="AN90" s="57" t="str">
        <f t="shared" si="23"/>
        <v/>
      </c>
      <c r="AO90" s="307"/>
      <c r="AP90" s="307"/>
      <c r="AQ90" s="220"/>
      <c r="AR90" s="224"/>
      <c r="AS90" s="224"/>
      <c r="AU90" s="22"/>
      <c r="AV90" s="22"/>
      <c r="AX90" s="331">
        <f t="shared" si="14"/>
        <v>0</v>
      </c>
      <c r="AY90" s="224"/>
      <c r="AZ90" s="224"/>
      <c r="BA90" s="224"/>
      <c r="BB90" s="224"/>
      <c r="BC90" s="19">
        <f t="shared" si="15"/>
        <v>0</v>
      </c>
      <c r="BD90" s="19" t="str">
        <f t="shared" si="16"/>
        <v/>
      </c>
      <c r="BE90" s="19" t="str">
        <f t="shared" si="17"/>
        <v/>
      </c>
    </row>
    <row r="91" spans="2:57">
      <c r="B91" s="322" t="str">
        <f>名簿!P88</f>
        <v/>
      </c>
      <c r="C91" s="825"/>
      <c r="D91" s="825"/>
      <c r="E91" s="1321">
        <f>名簿!E88</f>
        <v>0</v>
      </c>
      <c r="F91" s="563" t="str">
        <f>名簿!CM88</f>
        <v/>
      </c>
      <c r="G91" s="322" t="str">
        <f>名簿!Z88</f>
        <v/>
      </c>
      <c r="H91" s="322" t="str">
        <f>名簿!CM88</f>
        <v/>
      </c>
      <c r="I91" s="323" t="str">
        <f>名簿!Y88</f>
        <v/>
      </c>
      <c r="J91" s="323" t="str">
        <f>名簿!CN88</f>
        <v/>
      </c>
      <c r="K91" s="900">
        <f>名簿!CP88</f>
        <v>0</v>
      </c>
      <c r="L91" s="901" t="str">
        <f>名簿!CU88</f>
        <v>00</v>
      </c>
      <c r="M91" s="322" t="str">
        <f>名簿!Q88</f>
        <v/>
      </c>
      <c r="N91" s="1315">
        <f>名簿!D88</f>
        <v>0</v>
      </c>
      <c r="O91" s="327"/>
      <c r="P91" s="258" t="str">
        <f>IF(O91="","",IF(I91=1,VLOOKUP(O91,男子種目コード!$P$1:$Q$26,2,FALSE),IF(I91=2,VLOOKUP(O91,女子種目コード!$P$1:$Q$26,2,FALSE))))</f>
        <v/>
      </c>
      <c r="Q91" s="494" t="str">
        <f>IF(O91="","",HLOOKUP(O91,名簿!$AH$3:$CH$118,86,FALSE))</f>
        <v/>
      </c>
      <c r="R91" s="1002"/>
      <c r="S91" s="843" t="str">
        <f t="shared" si="18"/>
        <v/>
      </c>
      <c r="T91" s="844" t="str">
        <f t="shared" si="19"/>
        <v/>
      </c>
      <c r="U91" s="327"/>
      <c r="V91" s="258" t="str">
        <f>IF(U91="","",IF(I91=1,VLOOKUP(U91,男子種目コード!$P$1:$Q$26,2,FALSE),IF(I91=2,VLOOKUP(U91,女子種目コード!$P$1:$Q$26,2,FALSE))))</f>
        <v/>
      </c>
      <c r="W91" s="494" t="str">
        <f>IF(U91="","",HLOOKUP(U91,名簿!$AH$3:$CH$118,86,FALSE))</f>
        <v/>
      </c>
      <c r="X91" s="1004"/>
      <c r="Y91" s="843" t="str">
        <f t="shared" si="20"/>
        <v/>
      </c>
      <c r="Z91" s="844" t="str">
        <f t="shared" si="21"/>
        <v/>
      </c>
      <c r="AA91" s="569" t="str">
        <f>IF(X91="","",IF(I91=1,VLOOKUP(X91,男子種目コード!$J$2:$K$30,2,FALSE),IF(I91=2,VLOOKUP(X91,女子種目コード!$J$2:$K$28,2,FALSE))))</f>
        <v/>
      </c>
      <c r="AB91" s="818"/>
      <c r="AC91" s="831"/>
      <c r="AD91" s="322" t="str">
        <f>IF(AC91="","",IF(I91=1,VLOOKUP(AC91,男子種目コード!$J$2:$K$30,2,FALSE),IF(I91=2,VLOOKUP(AC91,女子種目コード!$J$2:$K$28,2,FALSE))))</f>
        <v/>
      </c>
      <c r="AE91" s="818"/>
      <c r="AF91" s="831"/>
      <c r="AG91" s="322" t="str">
        <f>IF(AF91="","",IF(I91=1,VLOOKUP(AF91,男子種目コード!$J$2:$K$30,2,FALSE),IF(I91=2,VLOOKUP(AF91,女子種目コード!$J$2:$K$28,2,FALSE))))</f>
        <v/>
      </c>
      <c r="AH91" s="819"/>
      <c r="AI91" s="20"/>
      <c r="AJ91" s="20"/>
      <c r="AK91" s="19"/>
      <c r="AL91" s="838"/>
      <c r="AM91" s="848" t="str">
        <f t="shared" si="22"/>
        <v/>
      </c>
      <c r="AN91" s="57" t="str">
        <f t="shared" si="23"/>
        <v/>
      </c>
      <c r="AO91" s="220"/>
      <c r="AP91" s="220"/>
      <c r="AQ91" s="220"/>
      <c r="AR91" s="224"/>
      <c r="AS91" s="224"/>
      <c r="AU91" s="22"/>
      <c r="AV91" s="22"/>
      <c r="AX91" s="331">
        <f t="shared" si="14"/>
        <v>0</v>
      </c>
      <c r="AY91" s="224"/>
      <c r="AZ91" s="224"/>
      <c r="BA91" s="224"/>
      <c r="BB91" s="224"/>
      <c r="BC91" s="19">
        <f t="shared" si="15"/>
        <v>0</v>
      </c>
      <c r="BD91" s="19" t="str">
        <f t="shared" si="16"/>
        <v/>
      </c>
      <c r="BE91" s="19" t="str">
        <f t="shared" si="17"/>
        <v/>
      </c>
    </row>
    <row r="92" spans="2:57">
      <c r="B92" s="322" t="str">
        <f>名簿!P89</f>
        <v/>
      </c>
      <c r="C92" s="825"/>
      <c r="D92" s="825"/>
      <c r="E92" s="1321">
        <f>名簿!E89</f>
        <v>0</v>
      </c>
      <c r="F92" s="563" t="str">
        <f>名簿!CM89</f>
        <v/>
      </c>
      <c r="G92" s="322" t="str">
        <f>名簿!Z89</f>
        <v/>
      </c>
      <c r="H92" s="322" t="str">
        <f>名簿!CM89</f>
        <v/>
      </c>
      <c r="I92" s="323" t="str">
        <f>名簿!Y89</f>
        <v/>
      </c>
      <c r="J92" s="323" t="str">
        <f>名簿!CN89</f>
        <v/>
      </c>
      <c r="K92" s="900">
        <f>名簿!CP89</f>
        <v>0</v>
      </c>
      <c r="L92" s="901" t="str">
        <f>名簿!CU89</f>
        <v>00</v>
      </c>
      <c r="M92" s="322" t="str">
        <f>名簿!Q89</f>
        <v/>
      </c>
      <c r="N92" s="1315">
        <f>名簿!D89</f>
        <v>0</v>
      </c>
      <c r="O92" s="327"/>
      <c r="P92" s="258" t="str">
        <f>IF(O92="","",IF(I92=1,VLOOKUP(O92,男子種目コード!$P$1:$Q$26,2,FALSE),IF(I92=2,VLOOKUP(O92,女子種目コード!$P$1:$Q$26,2,FALSE))))</f>
        <v/>
      </c>
      <c r="Q92" s="494" t="str">
        <f>IF(O92="","",HLOOKUP(O92,名簿!$AH$3:$CH$118,87,FALSE))</f>
        <v/>
      </c>
      <c r="R92" s="1002"/>
      <c r="S92" s="843" t="str">
        <f t="shared" si="18"/>
        <v/>
      </c>
      <c r="T92" s="844" t="str">
        <f t="shared" si="19"/>
        <v/>
      </c>
      <c r="U92" s="327"/>
      <c r="V92" s="258" t="str">
        <f>IF(U92="","",IF(I92=1,VLOOKUP(U92,男子種目コード!$P$1:$Q$26,2,FALSE),IF(I92=2,VLOOKUP(U92,女子種目コード!$P$1:$Q$26,2,FALSE))))</f>
        <v/>
      </c>
      <c r="W92" s="494" t="str">
        <f>IF(U92="","",HLOOKUP(U92,名簿!$AH$3:$CH$118,87,FALSE))</f>
        <v/>
      </c>
      <c r="X92" s="1004"/>
      <c r="Y92" s="843" t="str">
        <f t="shared" si="20"/>
        <v/>
      </c>
      <c r="Z92" s="844" t="str">
        <f t="shared" si="21"/>
        <v/>
      </c>
      <c r="AA92" s="569" t="str">
        <f>IF(X92="","",IF(I92=1,VLOOKUP(X92,男子種目コード!$J$2:$K$30,2,FALSE),IF(I92=2,VLOOKUP(X92,女子種目コード!$J$2:$K$28,2,FALSE))))</f>
        <v/>
      </c>
      <c r="AB92" s="818"/>
      <c r="AC92" s="831"/>
      <c r="AD92" s="322" t="str">
        <f>IF(AC92="","",IF(I92=1,VLOOKUP(AC92,男子種目コード!$J$2:$K$30,2,FALSE),IF(I92=2,VLOOKUP(AC92,女子種目コード!$J$2:$K$28,2,FALSE))))</f>
        <v/>
      </c>
      <c r="AE92" s="818"/>
      <c r="AF92" s="831"/>
      <c r="AG92" s="322" t="str">
        <f>IF(AF92="","",IF(I92=1,VLOOKUP(AF92,男子種目コード!$J$2:$K$30,2,FALSE),IF(I92=2,VLOOKUP(AF92,女子種目コード!$J$2:$K$28,2,FALSE))))</f>
        <v/>
      </c>
      <c r="AH92" s="819"/>
      <c r="AI92" s="20"/>
      <c r="AJ92" s="20"/>
      <c r="AK92" s="19"/>
      <c r="AL92" s="838"/>
      <c r="AM92" s="848" t="str">
        <f t="shared" si="22"/>
        <v/>
      </c>
      <c r="AN92" s="57" t="str">
        <f t="shared" si="23"/>
        <v/>
      </c>
      <c r="AO92" s="220"/>
      <c r="AP92" s="220"/>
      <c r="AQ92" s="220"/>
      <c r="AR92" s="224"/>
      <c r="AS92" s="224"/>
      <c r="AU92" s="22"/>
      <c r="AV92" s="22"/>
      <c r="AX92" s="331">
        <f t="shared" si="14"/>
        <v>0</v>
      </c>
      <c r="AY92" s="224"/>
      <c r="AZ92" s="224"/>
      <c r="BA92" s="224"/>
      <c r="BB92" s="224"/>
      <c r="BC92" s="19">
        <f t="shared" si="15"/>
        <v>0</v>
      </c>
      <c r="BD92" s="19" t="str">
        <f t="shared" si="16"/>
        <v/>
      </c>
      <c r="BE92" s="19" t="str">
        <f t="shared" si="17"/>
        <v/>
      </c>
    </row>
    <row r="93" spans="2:57">
      <c r="B93" s="322" t="str">
        <f>名簿!P90</f>
        <v/>
      </c>
      <c r="C93" s="825"/>
      <c r="D93" s="825"/>
      <c r="E93" s="1321">
        <f>名簿!E90</f>
        <v>0</v>
      </c>
      <c r="F93" s="563" t="str">
        <f>名簿!CM90</f>
        <v/>
      </c>
      <c r="G93" s="322" t="str">
        <f>名簿!Z90</f>
        <v/>
      </c>
      <c r="H93" s="322" t="str">
        <f>名簿!CM90</f>
        <v/>
      </c>
      <c r="I93" s="323" t="str">
        <f>名簿!Y90</f>
        <v/>
      </c>
      <c r="J93" s="323" t="str">
        <f>名簿!CN90</f>
        <v/>
      </c>
      <c r="K93" s="900">
        <f>名簿!CP90</f>
        <v>0</v>
      </c>
      <c r="L93" s="901" t="str">
        <f>名簿!CU90</f>
        <v>00</v>
      </c>
      <c r="M93" s="322" t="str">
        <f>名簿!Q90</f>
        <v/>
      </c>
      <c r="N93" s="1315">
        <f>名簿!D90</f>
        <v>0</v>
      </c>
      <c r="O93" s="327"/>
      <c r="P93" s="258" t="str">
        <f>IF(O93="","",IF(I93=1,VLOOKUP(O93,男子種目コード!$P$1:$Q$26,2,FALSE),IF(I93=2,VLOOKUP(O93,女子種目コード!$P$1:$Q$26,2,FALSE))))</f>
        <v/>
      </c>
      <c r="Q93" s="494" t="str">
        <f>IF(O93="","",HLOOKUP(O93,名簿!$AH$3:$CH$118,88,FALSE))</f>
        <v/>
      </c>
      <c r="R93" s="1002"/>
      <c r="S93" s="843" t="str">
        <f t="shared" si="18"/>
        <v/>
      </c>
      <c r="T93" s="844" t="str">
        <f t="shared" si="19"/>
        <v/>
      </c>
      <c r="U93" s="327"/>
      <c r="V93" s="258" t="str">
        <f>IF(U93="","",IF(I93=1,VLOOKUP(U93,男子種目コード!$P$1:$Q$26,2,FALSE),IF(I93=2,VLOOKUP(U93,女子種目コード!$P$1:$Q$26,2,FALSE))))</f>
        <v/>
      </c>
      <c r="W93" s="494" t="str">
        <f>IF(U93="","",HLOOKUP(U93,名簿!$AH$3:$CH$118,88,FALSE))</f>
        <v/>
      </c>
      <c r="X93" s="1004"/>
      <c r="Y93" s="843" t="str">
        <f t="shared" si="20"/>
        <v/>
      </c>
      <c r="Z93" s="844" t="str">
        <f t="shared" si="21"/>
        <v/>
      </c>
      <c r="AA93" s="569" t="str">
        <f>IF(X93="","",IF(I93=1,VLOOKUP(X93,男子種目コード!$J$2:$K$30,2,FALSE),IF(I93=2,VLOOKUP(X93,女子種目コード!$J$2:$K$28,2,FALSE))))</f>
        <v/>
      </c>
      <c r="AB93" s="818"/>
      <c r="AC93" s="831"/>
      <c r="AD93" s="322" t="str">
        <f>IF(AC93="","",IF(I93=1,VLOOKUP(AC93,男子種目コード!$J$2:$K$30,2,FALSE),IF(I93=2,VLOOKUP(AC93,女子種目コード!$J$2:$K$28,2,FALSE))))</f>
        <v/>
      </c>
      <c r="AE93" s="818"/>
      <c r="AF93" s="831"/>
      <c r="AG93" s="322" t="str">
        <f>IF(AF93="","",IF(I93=1,VLOOKUP(AF93,男子種目コード!$J$2:$K$30,2,FALSE),IF(I93=2,VLOOKUP(AF93,女子種目コード!$J$2:$K$28,2,FALSE))))</f>
        <v/>
      </c>
      <c r="AH93" s="819"/>
      <c r="AI93" s="20"/>
      <c r="AJ93" s="20"/>
      <c r="AK93" s="19"/>
      <c r="AL93" s="838"/>
      <c r="AM93" s="848" t="str">
        <f t="shared" si="22"/>
        <v/>
      </c>
      <c r="AN93" s="57" t="str">
        <f t="shared" si="23"/>
        <v/>
      </c>
      <c r="AO93" s="220"/>
      <c r="AP93" s="220"/>
      <c r="AQ93" s="220"/>
      <c r="AR93" s="224"/>
      <c r="AS93" s="224"/>
      <c r="AU93" s="22"/>
      <c r="AV93" s="22"/>
      <c r="AX93" s="331">
        <f t="shared" si="14"/>
        <v>0</v>
      </c>
      <c r="AY93" s="224"/>
      <c r="AZ93" s="224"/>
      <c r="BA93" s="224"/>
      <c r="BB93" s="224"/>
      <c r="BC93" s="19">
        <f t="shared" si="15"/>
        <v>0</v>
      </c>
      <c r="BD93" s="19" t="str">
        <f t="shared" si="16"/>
        <v/>
      </c>
      <c r="BE93" s="19" t="str">
        <f t="shared" si="17"/>
        <v/>
      </c>
    </row>
    <row r="94" spans="2:57">
      <c r="B94" s="322" t="str">
        <f>名簿!P91</f>
        <v/>
      </c>
      <c r="C94" s="825"/>
      <c r="D94" s="825"/>
      <c r="E94" s="1321">
        <f>名簿!E91</f>
        <v>0</v>
      </c>
      <c r="F94" s="563" t="str">
        <f>名簿!CM91</f>
        <v/>
      </c>
      <c r="G94" s="322" t="str">
        <f>名簿!Z91</f>
        <v/>
      </c>
      <c r="H94" s="322" t="str">
        <f>名簿!CM91</f>
        <v/>
      </c>
      <c r="I94" s="323" t="str">
        <f>名簿!Y91</f>
        <v/>
      </c>
      <c r="J94" s="323" t="str">
        <f>名簿!CN91</f>
        <v/>
      </c>
      <c r="K94" s="900">
        <f>名簿!CP91</f>
        <v>0</v>
      </c>
      <c r="L94" s="901" t="str">
        <f>名簿!CU91</f>
        <v>00</v>
      </c>
      <c r="M94" s="322" t="str">
        <f>名簿!Q91</f>
        <v/>
      </c>
      <c r="N94" s="1315">
        <f>名簿!D91</f>
        <v>0</v>
      </c>
      <c r="O94" s="327"/>
      <c r="P94" s="258" t="str">
        <f>IF(O94="","",IF(I94=1,VLOOKUP(O94,男子種目コード!$P$1:$Q$26,2,FALSE),IF(I94=2,VLOOKUP(O94,女子種目コード!$P$1:$Q$26,2,FALSE))))</f>
        <v/>
      </c>
      <c r="Q94" s="494" t="str">
        <f>IF(O94="","",HLOOKUP(O94,名簿!$AH$3:$CH$118,89,FALSE))</f>
        <v/>
      </c>
      <c r="R94" s="1002"/>
      <c r="S94" s="843" t="str">
        <f t="shared" si="18"/>
        <v/>
      </c>
      <c r="T94" s="844" t="str">
        <f t="shared" si="19"/>
        <v/>
      </c>
      <c r="U94" s="327"/>
      <c r="V94" s="258" t="str">
        <f>IF(U94="","",IF(I94=1,VLOOKUP(U94,男子種目コード!$P$1:$Q$26,2,FALSE),IF(I94=2,VLOOKUP(U94,女子種目コード!$P$1:$Q$26,2,FALSE))))</f>
        <v/>
      </c>
      <c r="W94" s="494" t="str">
        <f>IF(U94="","",HLOOKUP(U94,名簿!$AH$3:$CH$118,89,FALSE))</f>
        <v/>
      </c>
      <c r="X94" s="1004"/>
      <c r="Y94" s="843" t="str">
        <f t="shared" si="20"/>
        <v/>
      </c>
      <c r="Z94" s="844" t="str">
        <f t="shared" si="21"/>
        <v/>
      </c>
      <c r="AA94" s="569" t="str">
        <f>IF(X94="","",IF(I94=1,VLOOKUP(X94,男子種目コード!$J$2:$K$30,2,FALSE),IF(I94=2,VLOOKUP(X94,女子種目コード!$J$2:$K$28,2,FALSE))))</f>
        <v/>
      </c>
      <c r="AB94" s="818"/>
      <c r="AC94" s="831"/>
      <c r="AD94" s="322" t="str">
        <f>IF(AC94="","",IF(I94=1,VLOOKUP(AC94,男子種目コード!$J$2:$K$30,2,FALSE),IF(I94=2,VLOOKUP(AC94,女子種目コード!$J$2:$K$28,2,FALSE))))</f>
        <v/>
      </c>
      <c r="AE94" s="818"/>
      <c r="AF94" s="831"/>
      <c r="AG94" s="322" t="str">
        <f>IF(AF94="","",IF(I94=1,VLOOKUP(AF94,男子種目コード!$J$2:$K$30,2,FALSE),IF(I94=2,VLOOKUP(AF94,女子種目コード!$J$2:$K$28,2,FALSE))))</f>
        <v/>
      </c>
      <c r="AH94" s="819"/>
      <c r="AI94" s="20"/>
      <c r="AJ94" s="20"/>
      <c r="AK94" s="19"/>
      <c r="AL94" s="838"/>
      <c r="AM94" s="848" t="str">
        <f t="shared" si="22"/>
        <v/>
      </c>
      <c r="AN94" s="57" t="str">
        <f t="shared" si="23"/>
        <v/>
      </c>
      <c r="AO94" s="220"/>
      <c r="AP94" s="220"/>
      <c r="AQ94" s="220"/>
      <c r="AR94" s="224"/>
      <c r="AS94" s="224"/>
      <c r="AU94" s="22"/>
      <c r="AV94" s="22"/>
      <c r="AX94" s="331">
        <f t="shared" si="14"/>
        <v>0</v>
      </c>
      <c r="AY94" s="224"/>
      <c r="AZ94" s="224"/>
      <c r="BA94" s="224"/>
      <c r="BB94" s="224"/>
      <c r="BC94" s="19">
        <f t="shared" si="15"/>
        <v>0</v>
      </c>
      <c r="BD94" s="19" t="str">
        <f t="shared" si="16"/>
        <v/>
      </c>
      <c r="BE94" s="19" t="str">
        <f t="shared" si="17"/>
        <v/>
      </c>
    </row>
    <row r="95" spans="2:57">
      <c r="B95" s="322" t="str">
        <f>名簿!P92</f>
        <v/>
      </c>
      <c r="C95" s="825"/>
      <c r="D95" s="825"/>
      <c r="E95" s="1321">
        <f>名簿!E92</f>
        <v>0</v>
      </c>
      <c r="F95" s="563" t="str">
        <f>名簿!CM92</f>
        <v/>
      </c>
      <c r="G95" s="322" t="str">
        <f>名簿!Z92</f>
        <v/>
      </c>
      <c r="H95" s="322" t="str">
        <f>名簿!CM92</f>
        <v/>
      </c>
      <c r="I95" s="323" t="str">
        <f>名簿!Y92</f>
        <v/>
      </c>
      <c r="J95" s="323" t="str">
        <f>名簿!CN92</f>
        <v/>
      </c>
      <c r="K95" s="900">
        <f>名簿!CP92</f>
        <v>0</v>
      </c>
      <c r="L95" s="901" t="str">
        <f>名簿!CU92</f>
        <v>00</v>
      </c>
      <c r="M95" s="322" t="str">
        <f>名簿!Q92</f>
        <v/>
      </c>
      <c r="N95" s="1315">
        <f>名簿!D92</f>
        <v>0</v>
      </c>
      <c r="O95" s="327"/>
      <c r="P95" s="258" t="str">
        <f>IF(O95="","",IF(I95=1,VLOOKUP(O95,男子種目コード!$P$1:$Q$26,2,FALSE),IF(I95=2,VLOOKUP(O95,女子種目コード!$P$1:$Q$26,2,FALSE))))</f>
        <v/>
      </c>
      <c r="Q95" s="494" t="str">
        <f>IF(O95="","",HLOOKUP(O95,名簿!$AH$3:$CH$118,90,FALSE))</f>
        <v/>
      </c>
      <c r="R95" s="1002"/>
      <c r="S95" s="843" t="str">
        <f t="shared" si="18"/>
        <v/>
      </c>
      <c r="T95" s="844" t="str">
        <f t="shared" si="19"/>
        <v/>
      </c>
      <c r="U95" s="327"/>
      <c r="V95" s="258" t="str">
        <f>IF(U95="","",IF(I95=1,VLOOKUP(U95,男子種目コード!$P$1:$Q$26,2,FALSE),IF(I95=2,VLOOKUP(U95,女子種目コード!$P$1:$Q$26,2,FALSE))))</f>
        <v/>
      </c>
      <c r="W95" s="494" t="str">
        <f>IF(U95="","",HLOOKUP(U95,名簿!$AH$3:$CH$118,90,FALSE))</f>
        <v/>
      </c>
      <c r="X95" s="1004"/>
      <c r="Y95" s="843" t="str">
        <f t="shared" si="20"/>
        <v/>
      </c>
      <c r="Z95" s="844" t="str">
        <f t="shared" si="21"/>
        <v/>
      </c>
      <c r="AA95" s="569" t="str">
        <f>IF(X95="","",IF(I95=1,VLOOKUP(X95,男子種目コード!$J$2:$K$30,2,FALSE),IF(I95=2,VLOOKUP(X95,女子種目コード!$J$2:$K$28,2,FALSE))))</f>
        <v/>
      </c>
      <c r="AB95" s="818"/>
      <c r="AC95" s="831"/>
      <c r="AD95" s="322" t="str">
        <f>IF(AC95="","",IF(I95=1,VLOOKUP(AC95,男子種目コード!$J$2:$K$30,2,FALSE),IF(I95=2,VLOOKUP(AC95,女子種目コード!$J$2:$K$28,2,FALSE))))</f>
        <v/>
      </c>
      <c r="AE95" s="818"/>
      <c r="AF95" s="831"/>
      <c r="AG95" s="322" t="str">
        <f>IF(AF95="","",IF(I95=1,VLOOKUP(AF95,男子種目コード!$J$2:$K$30,2,FALSE),IF(I95=2,VLOOKUP(AF95,女子種目コード!$J$2:$K$28,2,FALSE))))</f>
        <v/>
      </c>
      <c r="AH95" s="819"/>
      <c r="AI95" s="20"/>
      <c r="AJ95" s="20"/>
      <c r="AK95" s="19"/>
      <c r="AL95" s="838"/>
      <c r="AM95" s="848" t="str">
        <f t="shared" si="22"/>
        <v/>
      </c>
      <c r="AN95" s="57" t="str">
        <f t="shared" si="23"/>
        <v/>
      </c>
      <c r="AO95" s="220"/>
      <c r="AP95" s="220"/>
      <c r="AQ95" s="220"/>
      <c r="AR95" s="224"/>
      <c r="AS95" s="224"/>
      <c r="AU95" s="22"/>
      <c r="AV95" s="22"/>
      <c r="AX95" s="331">
        <f t="shared" si="14"/>
        <v>0</v>
      </c>
      <c r="AY95" s="224"/>
      <c r="AZ95" s="224"/>
      <c r="BA95" s="224"/>
      <c r="BB95" s="224"/>
      <c r="BC95" s="19">
        <f t="shared" si="15"/>
        <v>0</v>
      </c>
      <c r="BD95" s="19" t="str">
        <f t="shared" si="16"/>
        <v/>
      </c>
      <c r="BE95" s="19" t="str">
        <f t="shared" si="17"/>
        <v/>
      </c>
    </row>
    <row r="96" spans="2:57">
      <c r="B96" s="322" t="str">
        <f>名簿!P93</f>
        <v/>
      </c>
      <c r="C96" s="825"/>
      <c r="D96" s="825"/>
      <c r="E96" s="1321">
        <f>名簿!E93</f>
        <v>0</v>
      </c>
      <c r="F96" s="563" t="str">
        <f>名簿!CM93</f>
        <v/>
      </c>
      <c r="G96" s="322" t="str">
        <f>名簿!Z93</f>
        <v/>
      </c>
      <c r="H96" s="322" t="str">
        <f>名簿!CM93</f>
        <v/>
      </c>
      <c r="I96" s="323" t="str">
        <f>名簿!Y93</f>
        <v/>
      </c>
      <c r="J96" s="323" t="str">
        <f>名簿!CN93</f>
        <v/>
      </c>
      <c r="K96" s="900">
        <f>名簿!CP93</f>
        <v>0</v>
      </c>
      <c r="L96" s="901" t="str">
        <f>名簿!CU93</f>
        <v>00</v>
      </c>
      <c r="M96" s="322" t="str">
        <f>名簿!Q93</f>
        <v/>
      </c>
      <c r="N96" s="1315">
        <f>名簿!D93</f>
        <v>0</v>
      </c>
      <c r="O96" s="327"/>
      <c r="P96" s="258" t="str">
        <f>IF(O96="","",IF(I96=1,VLOOKUP(O96,男子種目コード!$P$1:$Q$26,2,FALSE),IF(I96=2,VLOOKUP(O96,女子種目コード!$P$1:$Q$26,2,FALSE))))</f>
        <v/>
      </c>
      <c r="Q96" s="494" t="str">
        <f>IF(O96="","",HLOOKUP(O96,名簿!$AH$3:$CH$118,91,FALSE))</f>
        <v/>
      </c>
      <c r="R96" s="1002"/>
      <c r="S96" s="843" t="str">
        <f t="shared" si="18"/>
        <v/>
      </c>
      <c r="T96" s="844" t="str">
        <f t="shared" si="19"/>
        <v/>
      </c>
      <c r="U96" s="327"/>
      <c r="V96" s="258" t="str">
        <f>IF(U96="","",IF(I96=1,VLOOKUP(U96,男子種目コード!$P$1:$Q$26,2,FALSE),IF(I96=2,VLOOKUP(U96,女子種目コード!$P$1:$Q$26,2,FALSE))))</f>
        <v/>
      </c>
      <c r="W96" s="494" t="str">
        <f>IF(U96="","",HLOOKUP(U96,名簿!$AH$3:$CH$118,91,FALSE))</f>
        <v/>
      </c>
      <c r="X96" s="1004"/>
      <c r="Y96" s="843" t="str">
        <f t="shared" si="20"/>
        <v/>
      </c>
      <c r="Z96" s="844" t="str">
        <f t="shared" si="21"/>
        <v/>
      </c>
      <c r="AA96" s="569" t="str">
        <f>IF(X96="","",IF(I96=1,VLOOKUP(X96,男子種目コード!$J$2:$K$30,2,FALSE),IF(I96=2,VLOOKUP(X96,女子種目コード!$J$2:$K$28,2,FALSE))))</f>
        <v/>
      </c>
      <c r="AB96" s="818"/>
      <c r="AC96" s="831"/>
      <c r="AD96" s="322" t="str">
        <f>IF(AC96="","",IF(I96=1,VLOOKUP(AC96,男子種目コード!$J$2:$K$30,2,FALSE),IF(I96=2,VLOOKUP(AC96,女子種目コード!$J$2:$K$28,2,FALSE))))</f>
        <v/>
      </c>
      <c r="AE96" s="818"/>
      <c r="AF96" s="831"/>
      <c r="AG96" s="322" t="str">
        <f>IF(AF96="","",IF(I96=1,VLOOKUP(AF96,男子種目コード!$J$2:$K$30,2,FALSE),IF(I96=2,VLOOKUP(AF96,女子種目コード!$J$2:$K$28,2,FALSE))))</f>
        <v/>
      </c>
      <c r="AH96" s="819"/>
      <c r="AI96" s="20"/>
      <c r="AJ96" s="20"/>
      <c r="AK96" s="19"/>
      <c r="AL96" s="838"/>
      <c r="AM96" s="848" t="str">
        <f t="shared" si="22"/>
        <v/>
      </c>
      <c r="AN96" s="57" t="str">
        <f t="shared" si="23"/>
        <v/>
      </c>
      <c r="AO96" s="220"/>
      <c r="AP96" s="220"/>
      <c r="AQ96" s="220"/>
      <c r="AR96" s="224"/>
      <c r="AS96" s="224"/>
      <c r="AU96" s="22"/>
      <c r="AV96" s="22"/>
      <c r="AX96" s="331">
        <f t="shared" si="14"/>
        <v>0</v>
      </c>
      <c r="AY96" s="224"/>
      <c r="AZ96" s="224"/>
      <c r="BA96" s="224"/>
      <c r="BB96" s="224"/>
      <c r="BC96" s="19">
        <f t="shared" si="15"/>
        <v>0</v>
      </c>
      <c r="BD96" s="19" t="str">
        <f t="shared" si="16"/>
        <v/>
      </c>
      <c r="BE96" s="19" t="str">
        <f t="shared" si="17"/>
        <v/>
      </c>
    </row>
    <row r="97" spans="2:57">
      <c r="B97" s="322" t="str">
        <f>名簿!P94</f>
        <v/>
      </c>
      <c r="C97" s="825"/>
      <c r="D97" s="825"/>
      <c r="E97" s="1321">
        <f>名簿!E94</f>
        <v>0</v>
      </c>
      <c r="F97" s="563" t="str">
        <f>名簿!CM94</f>
        <v/>
      </c>
      <c r="G97" s="322" t="str">
        <f>名簿!Z94</f>
        <v/>
      </c>
      <c r="H97" s="322" t="str">
        <f>名簿!CM94</f>
        <v/>
      </c>
      <c r="I97" s="323" t="str">
        <f>名簿!Y94</f>
        <v/>
      </c>
      <c r="J97" s="323" t="str">
        <f>名簿!CN94</f>
        <v/>
      </c>
      <c r="K97" s="900">
        <f>名簿!CP94</f>
        <v>0</v>
      </c>
      <c r="L97" s="901" t="str">
        <f>名簿!CU94</f>
        <v>00</v>
      </c>
      <c r="M97" s="322" t="str">
        <f>名簿!Q94</f>
        <v/>
      </c>
      <c r="N97" s="1315">
        <f>名簿!D94</f>
        <v>0</v>
      </c>
      <c r="O97" s="327"/>
      <c r="P97" s="258" t="str">
        <f>IF(O97="","",IF(I97=1,VLOOKUP(O97,男子種目コード!$P$1:$Q$26,2,FALSE),IF(I97=2,VLOOKUP(O97,女子種目コード!$P$1:$Q$26,2,FALSE))))</f>
        <v/>
      </c>
      <c r="Q97" s="494" t="str">
        <f>IF(O97="","",HLOOKUP(O97,名簿!$AH$3:$CH$118,92,FALSE))</f>
        <v/>
      </c>
      <c r="R97" s="1002"/>
      <c r="S97" s="843" t="str">
        <f t="shared" si="18"/>
        <v/>
      </c>
      <c r="T97" s="844" t="str">
        <f t="shared" si="19"/>
        <v/>
      </c>
      <c r="U97" s="327"/>
      <c r="V97" s="258" t="str">
        <f>IF(U97="","",IF(I97=1,VLOOKUP(U97,男子種目コード!$P$1:$Q$26,2,FALSE),IF(I97=2,VLOOKUP(U97,女子種目コード!$P$1:$Q$26,2,FALSE))))</f>
        <v/>
      </c>
      <c r="W97" s="494" t="str">
        <f>IF(U97="","",HLOOKUP(U97,名簿!$AH$3:$CH$118,92,FALSE))</f>
        <v/>
      </c>
      <c r="X97" s="1004"/>
      <c r="Y97" s="843" t="str">
        <f t="shared" si="20"/>
        <v/>
      </c>
      <c r="Z97" s="844" t="str">
        <f t="shared" si="21"/>
        <v/>
      </c>
      <c r="AA97" s="569" t="str">
        <f>IF(X97="","",IF(I97=1,VLOOKUP(X97,男子種目コード!$J$2:$K$30,2,FALSE),IF(I97=2,VLOOKUP(X97,女子種目コード!$J$2:$K$28,2,FALSE))))</f>
        <v/>
      </c>
      <c r="AB97" s="818"/>
      <c r="AC97" s="831"/>
      <c r="AD97" s="322" t="str">
        <f>IF(AC97="","",IF(I97=1,VLOOKUP(AC97,男子種目コード!$J$2:$K$30,2,FALSE),IF(I97=2,VLOOKUP(AC97,女子種目コード!$J$2:$K$28,2,FALSE))))</f>
        <v/>
      </c>
      <c r="AE97" s="818"/>
      <c r="AF97" s="831"/>
      <c r="AG97" s="322" t="str">
        <f>IF(AF97="","",IF(I97=1,VLOOKUP(AF97,男子種目コード!$J$2:$K$30,2,FALSE),IF(I97=2,VLOOKUP(AF97,女子種目コード!$J$2:$K$28,2,FALSE))))</f>
        <v/>
      </c>
      <c r="AH97" s="819"/>
      <c r="AI97" s="20"/>
      <c r="AJ97" s="20"/>
      <c r="AK97" s="19"/>
      <c r="AL97" s="838"/>
      <c r="AM97" s="848" t="str">
        <f t="shared" si="22"/>
        <v/>
      </c>
      <c r="AN97" s="57" t="str">
        <f t="shared" si="23"/>
        <v/>
      </c>
      <c r="AO97" s="220"/>
      <c r="AP97" s="220"/>
      <c r="AQ97" s="220"/>
      <c r="AR97" s="224"/>
      <c r="AS97" s="224"/>
      <c r="AU97" s="22"/>
      <c r="AV97" s="22"/>
      <c r="AX97" s="331">
        <f t="shared" si="14"/>
        <v>0</v>
      </c>
      <c r="AY97" s="224"/>
      <c r="AZ97" s="224"/>
      <c r="BA97" s="224"/>
      <c r="BB97" s="224"/>
      <c r="BC97" s="19">
        <f t="shared" si="15"/>
        <v>0</v>
      </c>
      <c r="BD97" s="19" t="str">
        <f t="shared" si="16"/>
        <v/>
      </c>
      <c r="BE97" s="19" t="str">
        <f t="shared" si="17"/>
        <v/>
      </c>
    </row>
    <row r="98" spans="2:57">
      <c r="B98" s="322" t="str">
        <f>名簿!P95</f>
        <v/>
      </c>
      <c r="C98" s="825"/>
      <c r="D98" s="825"/>
      <c r="E98" s="1321">
        <f>名簿!E95</f>
        <v>0</v>
      </c>
      <c r="F98" s="563" t="str">
        <f>名簿!CM95</f>
        <v/>
      </c>
      <c r="G98" s="322" t="str">
        <f>名簿!Z95</f>
        <v/>
      </c>
      <c r="H98" s="322" t="str">
        <f>名簿!CM95</f>
        <v/>
      </c>
      <c r="I98" s="323" t="str">
        <f>名簿!Y95</f>
        <v/>
      </c>
      <c r="J98" s="323" t="str">
        <f>名簿!CN95</f>
        <v/>
      </c>
      <c r="K98" s="900">
        <f>名簿!CP95</f>
        <v>0</v>
      </c>
      <c r="L98" s="901" t="str">
        <f>名簿!CU95</f>
        <v>00</v>
      </c>
      <c r="M98" s="322" t="str">
        <f>名簿!Q95</f>
        <v/>
      </c>
      <c r="N98" s="1315">
        <f>名簿!D95</f>
        <v>0</v>
      </c>
      <c r="O98" s="327"/>
      <c r="P98" s="258" t="str">
        <f>IF(O98="","",IF(I98=1,VLOOKUP(O98,男子種目コード!$P$1:$Q$26,2,FALSE),IF(I98=2,VLOOKUP(O98,女子種目コード!$P$1:$Q$26,2,FALSE))))</f>
        <v/>
      </c>
      <c r="Q98" s="494" t="str">
        <f>IF(O98="","",HLOOKUP(O98,名簿!$AH$3:$CH$118,93,FALSE))</f>
        <v/>
      </c>
      <c r="R98" s="1002"/>
      <c r="S98" s="843" t="str">
        <f t="shared" si="18"/>
        <v/>
      </c>
      <c r="T98" s="844" t="str">
        <f t="shared" si="19"/>
        <v/>
      </c>
      <c r="U98" s="327"/>
      <c r="V98" s="258" t="str">
        <f>IF(U98="","",IF(I98=1,VLOOKUP(U98,男子種目コード!$P$1:$Q$26,2,FALSE),IF(I98=2,VLOOKUP(U98,女子種目コード!$P$1:$Q$26,2,FALSE))))</f>
        <v/>
      </c>
      <c r="W98" s="494" t="str">
        <f>IF(U98="","",HLOOKUP(U98,名簿!$AH$3:$CH$118,93,FALSE))</f>
        <v/>
      </c>
      <c r="X98" s="1004"/>
      <c r="Y98" s="843" t="str">
        <f t="shared" si="20"/>
        <v/>
      </c>
      <c r="Z98" s="844" t="str">
        <f t="shared" si="21"/>
        <v/>
      </c>
      <c r="AA98" s="569" t="str">
        <f>IF(X98="","",IF(I98=1,VLOOKUP(X98,男子種目コード!$J$2:$K$30,2,FALSE),IF(I98=2,VLOOKUP(X98,女子種目コード!$J$2:$K$28,2,FALSE))))</f>
        <v/>
      </c>
      <c r="AB98" s="818"/>
      <c r="AC98" s="831"/>
      <c r="AD98" s="322" t="str">
        <f>IF(AC98="","",IF(I98=1,VLOOKUP(AC98,男子種目コード!$J$2:$K$30,2,FALSE),IF(I98=2,VLOOKUP(AC98,女子種目コード!$J$2:$K$28,2,FALSE))))</f>
        <v/>
      </c>
      <c r="AE98" s="818"/>
      <c r="AF98" s="831"/>
      <c r="AG98" s="322" t="str">
        <f>IF(AF98="","",IF(I98=1,VLOOKUP(AF98,男子種目コード!$J$2:$K$30,2,FALSE),IF(I98=2,VLOOKUP(AF98,女子種目コード!$J$2:$K$28,2,FALSE))))</f>
        <v/>
      </c>
      <c r="AH98" s="819"/>
      <c r="AI98" s="20"/>
      <c r="AJ98" s="20"/>
      <c r="AK98" s="19"/>
      <c r="AL98" s="838"/>
      <c r="AM98" s="848" t="str">
        <f t="shared" si="22"/>
        <v/>
      </c>
      <c r="AN98" s="57" t="str">
        <f t="shared" si="23"/>
        <v/>
      </c>
      <c r="AO98" s="220"/>
      <c r="AP98" s="220"/>
      <c r="AQ98" s="220"/>
      <c r="AR98" s="224"/>
      <c r="AS98" s="224"/>
      <c r="AU98" s="22"/>
      <c r="AV98" s="22"/>
      <c r="AX98" s="331">
        <f t="shared" si="14"/>
        <v>0</v>
      </c>
      <c r="AY98" s="224"/>
      <c r="AZ98" s="224"/>
      <c r="BA98" s="224"/>
      <c r="BB98" s="224"/>
      <c r="BC98" s="19">
        <f t="shared" si="15"/>
        <v>0</v>
      </c>
      <c r="BD98" s="19" t="str">
        <f t="shared" si="16"/>
        <v/>
      </c>
      <c r="BE98" s="19" t="str">
        <f t="shared" si="17"/>
        <v/>
      </c>
    </row>
    <row r="99" spans="2:57">
      <c r="B99" s="322" t="str">
        <f>名簿!P96</f>
        <v/>
      </c>
      <c r="C99" s="825"/>
      <c r="D99" s="825"/>
      <c r="E99" s="1321">
        <f>名簿!E96</f>
        <v>0</v>
      </c>
      <c r="F99" s="563" t="str">
        <f>名簿!CM96</f>
        <v/>
      </c>
      <c r="G99" s="322" t="str">
        <f>名簿!Z96</f>
        <v/>
      </c>
      <c r="H99" s="322" t="str">
        <f>名簿!CM96</f>
        <v/>
      </c>
      <c r="I99" s="323" t="str">
        <f>名簿!Y96</f>
        <v/>
      </c>
      <c r="J99" s="323" t="str">
        <f>名簿!CN96</f>
        <v/>
      </c>
      <c r="K99" s="900">
        <f>名簿!CP96</f>
        <v>0</v>
      </c>
      <c r="L99" s="901" t="str">
        <f>名簿!CU96</f>
        <v>00</v>
      </c>
      <c r="M99" s="322" t="str">
        <f>名簿!Q96</f>
        <v/>
      </c>
      <c r="N99" s="1315">
        <f>名簿!D96</f>
        <v>0</v>
      </c>
      <c r="O99" s="327"/>
      <c r="P99" s="258" t="str">
        <f>IF(O99="","",IF(I99=1,VLOOKUP(O99,男子種目コード!$P$1:$Q$26,2,FALSE),IF(I99=2,VLOOKUP(O99,女子種目コード!$P$1:$Q$26,2,FALSE))))</f>
        <v/>
      </c>
      <c r="Q99" s="494" t="str">
        <f>IF(O99="","",HLOOKUP(O99,名簿!$AH$3:$CH$118,94,FALSE))</f>
        <v/>
      </c>
      <c r="R99" s="1002"/>
      <c r="S99" s="843" t="str">
        <f t="shared" si="18"/>
        <v/>
      </c>
      <c r="T99" s="844" t="str">
        <f t="shared" si="19"/>
        <v/>
      </c>
      <c r="U99" s="327"/>
      <c r="V99" s="258" t="str">
        <f>IF(U99="","",IF(I99=1,VLOOKUP(U99,男子種目コード!$P$1:$Q$26,2,FALSE),IF(I99=2,VLOOKUP(U99,女子種目コード!$P$1:$Q$26,2,FALSE))))</f>
        <v/>
      </c>
      <c r="W99" s="494" t="str">
        <f>IF(U99="","",HLOOKUP(U99,名簿!$AH$3:$CH$118,94,FALSE))</f>
        <v/>
      </c>
      <c r="X99" s="1004"/>
      <c r="Y99" s="843" t="str">
        <f t="shared" si="20"/>
        <v/>
      </c>
      <c r="Z99" s="844" t="str">
        <f t="shared" si="21"/>
        <v/>
      </c>
      <c r="AA99" s="569" t="str">
        <f>IF(X99="","",IF(I99=1,VLOOKUP(X99,男子種目コード!$J$2:$K$30,2,FALSE),IF(I99=2,VLOOKUP(X99,女子種目コード!$J$2:$K$28,2,FALSE))))</f>
        <v/>
      </c>
      <c r="AB99" s="818"/>
      <c r="AC99" s="831"/>
      <c r="AD99" s="322" t="str">
        <f>IF(AC99="","",IF(I99=1,VLOOKUP(AC99,男子種目コード!$J$2:$K$30,2,FALSE),IF(I99=2,VLOOKUP(AC99,女子種目コード!$J$2:$K$28,2,FALSE))))</f>
        <v/>
      </c>
      <c r="AE99" s="818"/>
      <c r="AF99" s="831"/>
      <c r="AG99" s="322" t="str">
        <f>IF(AF99="","",IF(I99=1,VLOOKUP(AF99,男子種目コード!$J$2:$K$30,2,FALSE),IF(I99=2,VLOOKUP(AF99,女子種目コード!$J$2:$K$28,2,FALSE))))</f>
        <v/>
      </c>
      <c r="AH99" s="819"/>
      <c r="AI99" s="20"/>
      <c r="AJ99" s="20"/>
      <c r="AK99" s="19"/>
      <c r="AL99" s="838"/>
      <c r="AM99" s="848" t="str">
        <f t="shared" si="22"/>
        <v/>
      </c>
      <c r="AN99" s="57" t="str">
        <f t="shared" si="23"/>
        <v/>
      </c>
      <c r="AO99" s="220"/>
      <c r="AP99" s="220"/>
      <c r="AQ99" s="220"/>
      <c r="AR99" s="224"/>
      <c r="AS99" s="224"/>
      <c r="AU99" s="22"/>
      <c r="AV99" s="22"/>
      <c r="AX99" s="331">
        <f t="shared" si="14"/>
        <v>0</v>
      </c>
      <c r="AY99" s="224"/>
      <c r="AZ99" s="224"/>
      <c r="BA99" s="224"/>
      <c r="BB99" s="224"/>
      <c r="BC99" s="19">
        <f t="shared" si="15"/>
        <v>0</v>
      </c>
      <c r="BD99" s="19" t="str">
        <f t="shared" si="16"/>
        <v/>
      </c>
      <c r="BE99" s="19" t="str">
        <f t="shared" si="17"/>
        <v/>
      </c>
    </row>
    <row r="100" spans="2:57">
      <c r="B100" s="322" t="str">
        <f>名簿!P97</f>
        <v/>
      </c>
      <c r="C100" s="825"/>
      <c r="D100" s="825"/>
      <c r="E100" s="1321">
        <f>名簿!E97</f>
        <v>0</v>
      </c>
      <c r="F100" s="563" t="str">
        <f>名簿!CM97</f>
        <v/>
      </c>
      <c r="G100" s="322" t="str">
        <f>名簿!Z97</f>
        <v/>
      </c>
      <c r="H100" s="322" t="str">
        <f>名簿!CM97</f>
        <v/>
      </c>
      <c r="I100" s="323" t="str">
        <f>名簿!Y97</f>
        <v/>
      </c>
      <c r="J100" s="323" t="str">
        <f>名簿!CN97</f>
        <v/>
      </c>
      <c r="K100" s="900">
        <f>名簿!CP97</f>
        <v>0</v>
      </c>
      <c r="L100" s="901" t="str">
        <f>名簿!CU97</f>
        <v>00</v>
      </c>
      <c r="M100" s="322" t="str">
        <f>名簿!Q97</f>
        <v/>
      </c>
      <c r="N100" s="1315">
        <f>名簿!D97</f>
        <v>0</v>
      </c>
      <c r="O100" s="327"/>
      <c r="P100" s="258" t="str">
        <f>IF(O100="","",IF(I100=1,VLOOKUP(O100,男子種目コード!$P$1:$Q$26,2,FALSE),IF(I100=2,VLOOKUP(O100,女子種目コード!$P$1:$Q$26,2,FALSE))))</f>
        <v/>
      </c>
      <c r="Q100" s="494" t="str">
        <f>IF(O100="","",HLOOKUP(O100,名簿!$AH$3:$CH$118,95,FALSE))</f>
        <v/>
      </c>
      <c r="R100" s="1002"/>
      <c r="S100" s="843" t="str">
        <f t="shared" si="18"/>
        <v/>
      </c>
      <c r="T100" s="844" t="str">
        <f t="shared" si="19"/>
        <v/>
      </c>
      <c r="U100" s="327"/>
      <c r="V100" s="258" t="str">
        <f>IF(U100="","",IF(I100=1,VLOOKUP(U100,男子種目コード!$P$1:$Q$26,2,FALSE),IF(I100=2,VLOOKUP(U100,女子種目コード!$P$1:$Q$26,2,FALSE))))</f>
        <v/>
      </c>
      <c r="W100" s="494" t="str">
        <f>IF(U100="","",HLOOKUP(U100,名簿!$AH$3:$CH$118,95,FALSE))</f>
        <v/>
      </c>
      <c r="X100" s="1004"/>
      <c r="Y100" s="843" t="str">
        <f t="shared" si="20"/>
        <v/>
      </c>
      <c r="Z100" s="844" t="str">
        <f t="shared" si="21"/>
        <v/>
      </c>
      <c r="AA100" s="569" t="str">
        <f>IF(X100="","",IF(I100=1,VLOOKUP(X100,男子種目コード!$J$2:$K$30,2,FALSE),IF(I100=2,VLOOKUP(X100,女子種目コード!$J$2:$K$28,2,FALSE))))</f>
        <v/>
      </c>
      <c r="AB100" s="818"/>
      <c r="AC100" s="831"/>
      <c r="AD100" s="322" t="str">
        <f>IF(AC100="","",IF(I100=1,VLOOKUP(AC100,男子種目コード!$J$2:$K$30,2,FALSE),IF(I100=2,VLOOKUP(AC100,女子種目コード!$J$2:$K$28,2,FALSE))))</f>
        <v/>
      </c>
      <c r="AE100" s="818"/>
      <c r="AF100" s="831"/>
      <c r="AG100" s="322" t="str">
        <f>IF(AF100="","",IF(I100=1,VLOOKUP(AF100,男子種目コード!$J$2:$K$30,2,FALSE),IF(I100=2,VLOOKUP(AF100,女子種目コード!$J$2:$K$28,2,FALSE))))</f>
        <v/>
      </c>
      <c r="AH100" s="819"/>
      <c r="AI100" s="20"/>
      <c r="AJ100" s="20"/>
      <c r="AK100" s="19"/>
      <c r="AL100" s="838"/>
      <c r="AM100" s="848" t="str">
        <f t="shared" si="22"/>
        <v/>
      </c>
      <c r="AN100" s="57" t="str">
        <f t="shared" si="23"/>
        <v/>
      </c>
      <c r="AO100" s="220"/>
      <c r="AP100" s="220"/>
      <c r="AQ100" s="220"/>
      <c r="AR100" s="224"/>
      <c r="AS100" s="224"/>
      <c r="AU100" s="22"/>
      <c r="AV100" s="22"/>
      <c r="AX100" s="331">
        <f t="shared" si="14"/>
        <v>0</v>
      </c>
      <c r="AY100" s="224"/>
      <c r="AZ100" s="224"/>
      <c r="BA100" s="224"/>
      <c r="BB100" s="224"/>
      <c r="BC100" s="19">
        <f t="shared" si="15"/>
        <v>0</v>
      </c>
      <c r="BD100" s="19" t="str">
        <f t="shared" si="16"/>
        <v/>
      </c>
      <c r="BE100" s="19" t="str">
        <f t="shared" si="17"/>
        <v/>
      </c>
    </row>
    <row r="101" spans="2:57">
      <c r="B101" s="322" t="str">
        <f>名簿!P98</f>
        <v/>
      </c>
      <c r="C101" s="825"/>
      <c r="D101" s="825"/>
      <c r="E101" s="1321">
        <f>名簿!E98</f>
        <v>0</v>
      </c>
      <c r="F101" s="563" t="str">
        <f>名簿!CM98</f>
        <v/>
      </c>
      <c r="G101" s="322" t="str">
        <f>名簿!Z98</f>
        <v/>
      </c>
      <c r="H101" s="322" t="str">
        <f>名簿!CM98</f>
        <v/>
      </c>
      <c r="I101" s="323" t="str">
        <f>名簿!Y98</f>
        <v/>
      </c>
      <c r="J101" s="323" t="str">
        <f>名簿!CN98</f>
        <v/>
      </c>
      <c r="K101" s="900">
        <f>名簿!CP98</f>
        <v>0</v>
      </c>
      <c r="L101" s="901" t="str">
        <f>名簿!CU98</f>
        <v>00</v>
      </c>
      <c r="M101" s="322" t="str">
        <f>名簿!Q98</f>
        <v/>
      </c>
      <c r="N101" s="1315">
        <f>名簿!D98</f>
        <v>0</v>
      </c>
      <c r="O101" s="327"/>
      <c r="P101" s="258" t="str">
        <f>IF(O101="","",IF(I101=1,VLOOKUP(O101,男子種目コード!$P$1:$Q$26,2,FALSE),IF(I101=2,VLOOKUP(O101,女子種目コード!$P$1:$Q$26,2,FALSE))))</f>
        <v/>
      </c>
      <c r="Q101" s="494" t="str">
        <f>IF(O101="","",HLOOKUP(O101,名簿!$AH$3:$CH$118,96,FALSE))</f>
        <v/>
      </c>
      <c r="R101" s="1002"/>
      <c r="S101" s="843" t="str">
        <f t="shared" si="18"/>
        <v/>
      </c>
      <c r="T101" s="844" t="str">
        <f t="shared" si="19"/>
        <v/>
      </c>
      <c r="U101" s="327"/>
      <c r="V101" s="258" t="str">
        <f>IF(U101="","",IF(I101=1,VLOOKUP(U101,男子種目コード!$P$1:$Q$26,2,FALSE),IF(I101=2,VLOOKUP(U101,女子種目コード!$P$1:$Q$26,2,FALSE))))</f>
        <v/>
      </c>
      <c r="W101" s="494" t="str">
        <f>IF(U101="","",HLOOKUP(U101,名簿!$AH$3:$CH$118,96,FALSE))</f>
        <v/>
      </c>
      <c r="X101" s="1004"/>
      <c r="Y101" s="843" t="str">
        <f t="shared" si="20"/>
        <v/>
      </c>
      <c r="Z101" s="844" t="str">
        <f t="shared" si="21"/>
        <v/>
      </c>
      <c r="AA101" s="569" t="str">
        <f>IF(X101="","",IF(I101=1,VLOOKUP(X101,男子種目コード!$J$2:$K$30,2,FALSE),IF(I101=2,VLOOKUP(X101,女子種目コード!$J$2:$K$28,2,FALSE))))</f>
        <v/>
      </c>
      <c r="AB101" s="818"/>
      <c r="AC101" s="831"/>
      <c r="AD101" s="322" t="str">
        <f>IF(AC101="","",IF(I101=1,VLOOKUP(AC101,男子種目コード!$J$2:$K$30,2,FALSE),IF(I101=2,VLOOKUP(AC101,女子種目コード!$J$2:$K$28,2,FALSE))))</f>
        <v/>
      </c>
      <c r="AE101" s="818"/>
      <c r="AF101" s="831"/>
      <c r="AG101" s="322" t="str">
        <f>IF(AF101="","",IF(I101=1,VLOOKUP(AF101,男子種目コード!$J$2:$K$30,2,FALSE),IF(I101=2,VLOOKUP(AF101,女子種目コード!$J$2:$K$28,2,FALSE))))</f>
        <v/>
      </c>
      <c r="AH101" s="819"/>
      <c r="AI101" s="20"/>
      <c r="AJ101" s="20"/>
      <c r="AK101" s="19"/>
      <c r="AL101" s="838"/>
      <c r="AM101" s="848" t="str">
        <f t="shared" si="22"/>
        <v/>
      </c>
      <c r="AN101" s="57" t="str">
        <f t="shared" si="23"/>
        <v/>
      </c>
      <c r="AO101" s="220"/>
      <c r="AP101" s="220"/>
      <c r="AQ101" s="220"/>
      <c r="AR101" s="224"/>
      <c r="AS101" s="224"/>
      <c r="AU101" s="22"/>
      <c r="AV101" s="22"/>
      <c r="AX101" s="331">
        <f t="shared" si="14"/>
        <v>0</v>
      </c>
      <c r="AY101" s="224"/>
      <c r="AZ101" s="224"/>
      <c r="BA101" s="224"/>
      <c r="BB101" s="224"/>
      <c r="BC101" s="19">
        <f t="shared" si="15"/>
        <v>0</v>
      </c>
      <c r="BD101" s="19" t="str">
        <f t="shared" si="16"/>
        <v/>
      </c>
      <c r="BE101" s="19" t="str">
        <f t="shared" si="17"/>
        <v/>
      </c>
    </row>
    <row r="102" spans="2:57">
      <c r="B102" s="322" t="str">
        <f>名簿!P99</f>
        <v/>
      </c>
      <c r="C102" s="825"/>
      <c r="D102" s="825"/>
      <c r="E102" s="1321">
        <f>名簿!E99</f>
        <v>0</v>
      </c>
      <c r="F102" s="563" t="str">
        <f>名簿!CM99</f>
        <v/>
      </c>
      <c r="G102" s="322" t="str">
        <f>名簿!Z99</f>
        <v/>
      </c>
      <c r="H102" s="322" t="str">
        <f>名簿!CM99</f>
        <v/>
      </c>
      <c r="I102" s="323" t="str">
        <f>名簿!Y99</f>
        <v/>
      </c>
      <c r="J102" s="323" t="str">
        <f>名簿!CN99</f>
        <v/>
      </c>
      <c r="K102" s="900">
        <f>名簿!CP99</f>
        <v>0</v>
      </c>
      <c r="L102" s="901" t="str">
        <f>名簿!CU99</f>
        <v>00</v>
      </c>
      <c r="M102" s="322" t="str">
        <f>名簿!Q99</f>
        <v/>
      </c>
      <c r="N102" s="1315">
        <f>名簿!D99</f>
        <v>0</v>
      </c>
      <c r="O102" s="327"/>
      <c r="P102" s="258" t="str">
        <f>IF(O102="","",IF(I102=1,VLOOKUP(O102,男子種目コード!$P$1:$Q$26,2,FALSE),IF(I102=2,VLOOKUP(O102,女子種目コード!$P$1:$Q$26,2,FALSE))))</f>
        <v/>
      </c>
      <c r="Q102" s="494" t="str">
        <f>IF(O102="","",HLOOKUP(O102,名簿!$AH$3:$CH$118,97,FALSE))</f>
        <v/>
      </c>
      <c r="R102" s="1002"/>
      <c r="S102" s="843" t="str">
        <f t="shared" si="18"/>
        <v/>
      </c>
      <c r="T102" s="844" t="str">
        <f t="shared" si="19"/>
        <v/>
      </c>
      <c r="U102" s="327"/>
      <c r="V102" s="258" t="str">
        <f>IF(U102="","",IF(I102=1,VLOOKUP(U102,男子種目コード!$P$1:$Q$26,2,FALSE),IF(I102=2,VLOOKUP(U102,女子種目コード!$P$1:$Q$26,2,FALSE))))</f>
        <v/>
      </c>
      <c r="W102" s="494" t="str">
        <f>IF(U102="","",HLOOKUP(U102,名簿!$AH$3:$CH$118,97,FALSE))</f>
        <v/>
      </c>
      <c r="X102" s="1004"/>
      <c r="Y102" s="843" t="str">
        <f t="shared" si="20"/>
        <v/>
      </c>
      <c r="Z102" s="844" t="str">
        <f t="shared" si="21"/>
        <v/>
      </c>
      <c r="AA102" s="569" t="str">
        <f>IF(X102="","",IF(I102=1,VLOOKUP(X102,男子種目コード!$J$2:$K$30,2,FALSE),IF(I102=2,VLOOKUP(X102,女子種目コード!$J$2:$K$28,2,FALSE))))</f>
        <v/>
      </c>
      <c r="AB102" s="818"/>
      <c r="AC102" s="831"/>
      <c r="AD102" s="322" t="str">
        <f>IF(AC102="","",IF(I102=1,VLOOKUP(AC102,男子種目コード!$J$2:$K$30,2,FALSE),IF(I102=2,VLOOKUP(AC102,女子種目コード!$J$2:$K$28,2,FALSE))))</f>
        <v/>
      </c>
      <c r="AE102" s="818"/>
      <c r="AF102" s="831"/>
      <c r="AG102" s="322" t="str">
        <f>IF(AF102="","",IF(I102=1,VLOOKUP(AF102,男子種目コード!$J$2:$K$30,2,FALSE),IF(I102=2,VLOOKUP(AF102,女子種目コード!$J$2:$K$28,2,FALSE))))</f>
        <v/>
      </c>
      <c r="AH102" s="819"/>
      <c r="AI102" s="20"/>
      <c r="AJ102" s="20"/>
      <c r="AK102" s="19"/>
      <c r="AL102" s="838"/>
      <c r="AM102" s="848" t="str">
        <f t="shared" si="22"/>
        <v/>
      </c>
      <c r="AN102" s="57" t="str">
        <f t="shared" si="23"/>
        <v/>
      </c>
      <c r="AO102" s="220"/>
      <c r="AP102" s="220"/>
      <c r="AQ102" s="220"/>
      <c r="AR102" s="224"/>
      <c r="AS102" s="224"/>
      <c r="AU102" s="22"/>
      <c r="AV102" s="22"/>
      <c r="AX102" s="331">
        <f t="shared" si="14"/>
        <v>0</v>
      </c>
      <c r="AY102" s="224"/>
      <c r="AZ102" s="224"/>
      <c r="BA102" s="224"/>
      <c r="BB102" s="224"/>
      <c r="BC102" s="19">
        <f t="shared" si="15"/>
        <v>0</v>
      </c>
      <c r="BD102" s="19" t="str">
        <f t="shared" si="16"/>
        <v/>
      </c>
      <c r="BE102" s="19" t="str">
        <f t="shared" si="17"/>
        <v/>
      </c>
    </row>
    <row r="103" spans="2:57">
      <c r="B103" s="322" t="str">
        <f>名簿!P100</f>
        <v/>
      </c>
      <c r="C103" s="825"/>
      <c r="D103" s="825"/>
      <c r="E103" s="1321">
        <f>名簿!E100</f>
        <v>0</v>
      </c>
      <c r="F103" s="563" t="str">
        <f>名簿!CM100</f>
        <v/>
      </c>
      <c r="G103" s="322" t="str">
        <f>名簿!Z100</f>
        <v/>
      </c>
      <c r="H103" s="322" t="str">
        <f>名簿!CM100</f>
        <v/>
      </c>
      <c r="I103" s="323" t="str">
        <f>名簿!Y100</f>
        <v/>
      </c>
      <c r="J103" s="323" t="str">
        <f>名簿!CN100</f>
        <v/>
      </c>
      <c r="K103" s="900">
        <f>名簿!CP100</f>
        <v>0</v>
      </c>
      <c r="L103" s="901" t="str">
        <f>名簿!CU100</f>
        <v>00</v>
      </c>
      <c r="M103" s="322" t="str">
        <f>名簿!Q100</f>
        <v/>
      </c>
      <c r="N103" s="1315">
        <f>名簿!D100</f>
        <v>0</v>
      </c>
      <c r="O103" s="327"/>
      <c r="P103" s="258" t="str">
        <f>IF(O103="","",IF(I103=1,VLOOKUP(O103,男子種目コード!$P$1:$Q$26,2,FALSE),IF(I103=2,VLOOKUP(O103,女子種目コード!$P$1:$Q$26,2,FALSE))))</f>
        <v/>
      </c>
      <c r="Q103" s="494" t="str">
        <f>IF(O103="","",HLOOKUP(O103,名簿!$AH$3:$CH$118,98,FALSE))</f>
        <v/>
      </c>
      <c r="R103" s="1002"/>
      <c r="S103" s="843" t="str">
        <f t="shared" si="18"/>
        <v/>
      </c>
      <c r="T103" s="844" t="str">
        <f t="shared" si="19"/>
        <v/>
      </c>
      <c r="U103" s="327"/>
      <c r="V103" s="258" t="str">
        <f>IF(U103="","",IF(I103=1,VLOOKUP(U103,男子種目コード!$P$1:$Q$26,2,FALSE),IF(I103=2,VLOOKUP(U103,女子種目コード!$P$1:$Q$26,2,FALSE))))</f>
        <v/>
      </c>
      <c r="W103" s="494" t="str">
        <f>IF(U103="","",HLOOKUP(U103,名簿!$AH$3:$CH$118,98,FALSE))</f>
        <v/>
      </c>
      <c r="X103" s="1004"/>
      <c r="Y103" s="843" t="str">
        <f t="shared" si="20"/>
        <v/>
      </c>
      <c r="Z103" s="844" t="str">
        <f t="shared" si="21"/>
        <v/>
      </c>
      <c r="AA103" s="569" t="str">
        <f>IF(X103="","",IF(I103=1,VLOOKUP(X103,男子種目コード!$J$2:$K$30,2,FALSE),IF(I103=2,VLOOKUP(X103,女子種目コード!$J$2:$K$28,2,FALSE))))</f>
        <v/>
      </c>
      <c r="AB103" s="818"/>
      <c r="AC103" s="831"/>
      <c r="AD103" s="322" t="str">
        <f>IF(AC103="","",IF(I103=1,VLOOKUP(AC103,男子種目コード!$J$2:$K$30,2,FALSE),IF(I103=2,VLOOKUP(AC103,女子種目コード!$J$2:$K$28,2,FALSE))))</f>
        <v/>
      </c>
      <c r="AE103" s="818"/>
      <c r="AF103" s="831"/>
      <c r="AG103" s="322" t="str">
        <f>IF(AF103="","",IF(I103=1,VLOOKUP(AF103,男子種目コード!$J$2:$K$30,2,FALSE),IF(I103=2,VLOOKUP(AF103,女子種目コード!$J$2:$K$28,2,FALSE))))</f>
        <v/>
      </c>
      <c r="AH103" s="819"/>
      <c r="AI103" s="20"/>
      <c r="AJ103" s="20"/>
      <c r="AK103" s="19"/>
      <c r="AL103" s="838"/>
      <c r="AM103" s="848" t="str">
        <f t="shared" si="22"/>
        <v/>
      </c>
      <c r="AN103" s="57" t="str">
        <f t="shared" si="23"/>
        <v/>
      </c>
      <c r="AO103" s="220"/>
      <c r="AP103" s="220"/>
      <c r="AQ103" s="220"/>
      <c r="AR103" s="224"/>
      <c r="AS103" s="224"/>
      <c r="AU103" s="22"/>
      <c r="AV103" s="22"/>
      <c r="AX103" s="331">
        <f t="shared" ref="AX103:AX116" si="24">IF(OR(AM103=1,U103=""),0,1)</f>
        <v>0</v>
      </c>
      <c r="AY103" s="224"/>
      <c r="AZ103" s="224"/>
      <c r="BA103" s="224"/>
      <c r="BB103" s="224"/>
      <c r="BC103" s="19">
        <f t="shared" ref="BC103:BC116" si="25">COUNT(P103,V103,AA103)</f>
        <v>0</v>
      </c>
      <c r="BD103" s="19" t="str">
        <f t="shared" ref="BD103:BD116" si="26">IF(I103=1,BC103,"")</f>
        <v/>
      </c>
      <c r="BE103" s="19" t="str">
        <f t="shared" ref="BE103:BE116" si="27">IF(I103=2,BC103,"")</f>
        <v/>
      </c>
    </row>
    <row r="104" spans="2:57">
      <c r="B104" s="322" t="str">
        <f>名簿!P101</f>
        <v/>
      </c>
      <c r="C104" s="825"/>
      <c r="D104" s="825"/>
      <c r="E104" s="1321">
        <f>名簿!E101</f>
        <v>0</v>
      </c>
      <c r="F104" s="563" t="str">
        <f>名簿!CM101</f>
        <v/>
      </c>
      <c r="G104" s="322" t="str">
        <f>名簿!Z101</f>
        <v/>
      </c>
      <c r="H104" s="322" t="str">
        <f>名簿!CM101</f>
        <v/>
      </c>
      <c r="I104" s="323" t="str">
        <f>名簿!Y101</f>
        <v/>
      </c>
      <c r="J104" s="323" t="str">
        <f>名簿!CN101</f>
        <v/>
      </c>
      <c r="K104" s="900">
        <f>名簿!CP101</f>
        <v>0</v>
      </c>
      <c r="L104" s="901" t="str">
        <f>名簿!CU101</f>
        <v>00</v>
      </c>
      <c r="M104" s="322" t="str">
        <f>名簿!Q101</f>
        <v/>
      </c>
      <c r="N104" s="1315">
        <f>名簿!D101</f>
        <v>0</v>
      </c>
      <c r="O104" s="327"/>
      <c r="P104" s="258" t="str">
        <f>IF(O104="","",IF(I104=1,VLOOKUP(O104,男子種目コード!$P$1:$Q$26,2,FALSE),IF(I104=2,VLOOKUP(O104,女子種目コード!$P$1:$Q$26,2,FALSE))))</f>
        <v/>
      </c>
      <c r="Q104" s="494" t="str">
        <f>IF(O104="","",HLOOKUP(O104,名簿!$AH$3:$CH$118,99,FALSE))</f>
        <v/>
      </c>
      <c r="R104" s="1002"/>
      <c r="S104" s="843" t="str">
        <f t="shared" si="18"/>
        <v/>
      </c>
      <c r="T104" s="844" t="str">
        <f t="shared" si="19"/>
        <v/>
      </c>
      <c r="U104" s="327"/>
      <c r="V104" s="258" t="str">
        <f>IF(U104="","",IF(I104=1,VLOOKUP(U104,男子種目コード!$P$1:$Q$26,2,FALSE),IF(I104=2,VLOOKUP(U104,女子種目コード!$P$1:$Q$26,2,FALSE))))</f>
        <v/>
      </c>
      <c r="W104" s="494" t="str">
        <f>IF(U104="","",HLOOKUP(U104,名簿!$AH$3:$CH$118,99,FALSE))</f>
        <v/>
      </c>
      <c r="X104" s="1004"/>
      <c r="Y104" s="843" t="str">
        <f t="shared" si="20"/>
        <v/>
      </c>
      <c r="Z104" s="844" t="str">
        <f t="shared" si="21"/>
        <v/>
      </c>
      <c r="AA104" s="569" t="str">
        <f>IF(X104="","",IF(I104=1,VLOOKUP(X104,男子種目コード!$J$2:$K$30,2,FALSE),IF(I104=2,VLOOKUP(X104,女子種目コード!$J$2:$K$28,2,FALSE))))</f>
        <v/>
      </c>
      <c r="AB104" s="818"/>
      <c r="AC104" s="831"/>
      <c r="AD104" s="322" t="str">
        <f>IF(AC104="","",IF(I104=1,VLOOKUP(AC104,男子種目コード!$J$2:$K$30,2,FALSE),IF(I104=2,VLOOKUP(AC104,女子種目コード!$J$2:$K$28,2,FALSE))))</f>
        <v/>
      </c>
      <c r="AE104" s="818"/>
      <c r="AF104" s="831"/>
      <c r="AG104" s="322" t="str">
        <f>IF(AF104="","",IF(I104=1,VLOOKUP(AF104,男子種目コード!$J$2:$K$30,2,FALSE),IF(I104=2,VLOOKUP(AF104,女子種目コード!$J$2:$K$28,2,FALSE))))</f>
        <v/>
      </c>
      <c r="AH104" s="819"/>
      <c r="AI104" s="20"/>
      <c r="AJ104" s="20"/>
      <c r="AK104" s="19"/>
      <c r="AL104" s="838"/>
      <c r="AM104" s="848" t="str">
        <f t="shared" si="22"/>
        <v/>
      </c>
      <c r="AN104" s="57" t="str">
        <f t="shared" si="23"/>
        <v/>
      </c>
      <c r="AO104" s="220"/>
      <c r="AP104" s="220"/>
      <c r="AQ104" s="220"/>
      <c r="AR104" s="224"/>
      <c r="AS104" s="224"/>
      <c r="AU104" s="22"/>
      <c r="AV104" s="22"/>
      <c r="AX104" s="331">
        <f t="shared" si="24"/>
        <v>0</v>
      </c>
      <c r="AY104" s="224"/>
      <c r="AZ104" s="224"/>
      <c r="BA104" s="224"/>
      <c r="BB104" s="224"/>
      <c r="BC104" s="19">
        <f t="shared" si="25"/>
        <v>0</v>
      </c>
      <c r="BD104" s="19" t="str">
        <f t="shared" si="26"/>
        <v/>
      </c>
      <c r="BE104" s="19" t="str">
        <f t="shared" si="27"/>
        <v/>
      </c>
    </row>
    <row r="105" spans="2:57">
      <c r="B105" s="322" t="str">
        <f>名簿!P102</f>
        <v/>
      </c>
      <c r="C105" s="825"/>
      <c r="D105" s="825"/>
      <c r="E105" s="1321">
        <f>名簿!E102</f>
        <v>0</v>
      </c>
      <c r="F105" s="563" t="str">
        <f>名簿!CM102</f>
        <v/>
      </c>
      <c r="G105" s="322" t="str">
        <f>名簿!Z102</f>
        <v/>
      </c>
      <c r="H105" s="322" t="str">
        <f>名簿!CM102</f>
        <v/>
      </c>
      <c r="I105" s="323" t="str">
        <f>名簿!Y102</f>
        <v/>
      </c>
      <c r="J105" s="323" t="str">
        <f>名簿!CN102</f>
        <v/>
      </c>
      <c r="K105" s="900">
        <f>名簿!CP102</f>
        <v>0</v>
      </c>
      <c r="L105" s="901" t="str">
        <f>名簿!CU102</f>
        <v>00</v>
      </c>
      <c r="M105" s="322" t="str">
        <f>名簿!Q102</f>
        <v/>
      </c>
      <c r="N105" s="1315">
        <f>名簿!D102</f>
        <v>0</v>
      </c>
      <c r="O105" s="327"/>
      <c r="P105" s="258" t="str">
        <f>IF(O105="","",IF(I105=1,VLOOKUP(O105,男子種目コード!$P$1:$Q$26,2,FALSE),IF(I105=2,VLOOKUP(O105,女子種目コード!$P$1:$Q$26,2,FALSE))))</f>
        <v/>
      </c>
      <c r="Q105" s="494" t="str">
        <f>IF(O105="","",HLOOKUP(O105,名簿!$AH$3:$CH$118,100,FALSE))</f>
        <v/>
      </c>
      <c r="R105" s="1002"/>
      <c r="S105" s="843" t="str">
        <f t="shared" si="18"/>
        <v/>
      </c>
      <c r="T105" s="844" t="str">
        <f t="shared" si="19"/>
        <v/>
      </c>
      <c r="U105" s="327"/>
      <c r="V105" s="258" t="str">
        <f>IF(U105="","",IF(I105=1,VLOOKUP(U105,男子種目コード!$P$1:$Q$26,2,FALSE),IF(I105=2,VLOOKUP(U105,女子種目コード!$P$1:$Q$26,2,FALSE))))</f>
        <v/>
      </c>
      <c r="W105" s="494" t="str">
        <f>IF(U105="","",HLOOKUP(U105,名簿!$AH$3:$CH$118,100,FALSE))</f>
        <v/>
      </c>
      <c r="X105" s="1004"/>
      <c r="Y105" s="843" t="str">
        <f t="shared" si="20"/>
        <v/>
      </c>
      <c r="Z105" s="844" t="str">
        <f t="shared" si="21"/>
        <v/>
      </c>
      <c r="AA105" s="569" t="str">
        <f>IF(X105="","",IF(I105=1,VLOOKUP(X105,男子種目コード!$J$2:$K$30,2,FALSE),IF(I105=2,VLOOKUP(X105,女子種目コード!$J$2:$K$28,2,FALSE))))</f>
        <v/>
      </c>
      <c r="AB105" s="818"/>
      <c r="AC105" s="831"/>
      <c r="AD105" s="322" t="str">
        <f>IF(AC105="","",IF(I105=1,VLOOKUP(AC105,男子種目コード!$J$2:$K$30,2,FALSE),IF(I105=2,VLOOKUP(AC105,女子種目コード!$J$2:$K$28,2,FALSE))))</f>
        <v/>
      </c>
      <c r="AE105" s="818"/>
      <c r="AF105" s="831"/>
      <c r="AG105" s="322" t="str">
        <f>IF(AF105="","",IF(I105=1,VLOOKUP(AF105,男子種目コード!$J$2:$K$30,2,FALSE),IF(I105=2,VLOOKUP(AF105,女子種目コード!$J$2:$K$28,2,FALSE))))</f>
        <v/>
      </c>
      <c r="AH105" s="819"/>
      <c r="AI105" s="20"/>
      <c r="AJ105" s="20"/>
      <c r="AK105" s="19"/>
      <c r="AL105" s="838"/>
      <c r="AM105" s="848" t="str">
        <f t="shared" si="22"/>
        <v/>
      </c>
      <c r="AN105" s="57" t="str">
        <f t="shared" si="23"/>
        <v/>
      </c>
      <c r="AO105" s="220"/>
      <c r="AP105" s="220"/>
      <c r="AQ105" s="220"/>
      <c r="AR105" s="224"/>
      <c r="AS105" s="224"/>
      <c r="AU105" s="22"/>
      <c r="AV105" s="22"/>
      <c r="AX105" s="331">
        <f t="shared" si="24"/>
        <v>0</v>
      </c>
      <c r="AY105" s="224"/>
      <c r="AZ105" s="224"/>
      <c r="BA105" s="224"/>
      <c r="BB105" s="224"/>
      <c r="BC105" s="19">
        <f t="shared" si="25"/>
        <v>0</v>
      </c>
      <c r="BD105" s="19" t="str">
        <f t="shared" si="26"/>
        <v/>
      </c>
      <c r="BE105" s="19" t="str">
        <f t="shared" si="27"/>
        <v/>
      </c>
    </row>
    <row r="106" spans="2:57">
      <c r="B106" s="322" t="str">
        <f>名簿!P103</f>
        <v/>
      </c>
      <c r="C106" s="825"/>
      <c r="D106" s="825"/>
      <c r="E106" s="1321">
        <f>名簿!E103</f>
        <v>0</v>
      </c>
      <c r="F106" s="563" t="str">
        <f>名簿!CM103</f>
        <v/>
      </c>
      <c r="G106" s="322" t="str">
        <f>名簿!Z103</f>
        <v/>
      </c>
      <c r="H106" s="322" t="str">
        <f>名簿!CM103</f>
        <v/>
      </c>
      <c r="I106" s="323" t="str">
        <f>名簿!Y103</f>
        <v/>
      </c>
      <c r="J106" s="323" t="str">
        <f>名簿!CN103</f>
        <v/>
      </c>
      <c r="K106" s="900">
        <f>名簿!CP103</f>
        <v>0</v>
      </c>
      <c r="L106" s="901" t="str">
        <f>名簿!CU103</f>
        <v>00</v>
      </c>
      <c r="M106" s="322" t="str">
        <f>名簿!Q103</f>
        <v/>
      </c>
      <c r="N106" s="1315">
        <f>名簿!D103</f>
        <v>0</v>
      </c>
      <c r="O106" s="327"/>
      <c r="P106" s="258" t="str">
        <f>IF(O106="","",IF(I106=1,VLOOKUP(O106,男子種目コード!$P$1:$Q$26,2,FALSE),IF(I106=2,VLOOKUP(O106,女子種目コード!$P$1:$Q$26,2,FALSE))))</f>
        <v/>
      </c>
      <c r="Q106" s="494" t="str">
        <f>IF(O106="","",HLOOKUP(O106,名簿!$AH$3:$CH$118,101,FALSE))</f>
        <v/>
      </c>
      <c r="R106" s="1002"/>
      <c r="S106" s="843" t="str">
        <f t="shared" si="18"/>
        <v/>
      </c>
      <c r="T106" s="844" t="str">
        <f t="shared" si="19"/>
        <v/>
      </c>
      <c r="U106" s="327"/>
      <c r="V106" s="258" t="str">
        <f>IF(U106="","",IF(I106=1,VLOOKUP(U106,男子種目コード!$P$1:$Q$26,2,FALSE),IF(I106=2,VLOOKUP(U106,女子種目コード!$P$1:$Q$26,2,FALSE))))</f>
        <v/>
      </c>
      <c r="W106" s="494" t="str">
        <f>IF(U106="","",HLOOKUP(U106,名簿!$AH$3:$CH$118,101,FALSE))</f>
        <v/>
      </c>
      <c r="X106" s="1004"/>
      <c r="Y106" s="843" t="str">
        <f t="shared" si="20"/>
        <v/>
      </c>
      <c r="Z106" s="844" t="str">
        <f t="shared" si="21"/>
        <v/>
      </c>
      <c r="AA106" s="569" t="str">
        <f>IF(X106="","",IF(I106=1,VLOOKUP(X106,男子種目コード!$J$2:$K$30,2,FALSE),IF(I106=2,VLOOKUP(X106,女子種目コード!$J$2:$K$28,2,FALSE))))</f>
        <v/>
      </c>
      <c r="AB106" s="818"/>
      <c r="AC106" s="831"/>
      <c r="AD106" s="322" t="str">
        <f>IF(AC106="","",IF(I106=1,VLOOKUP(AC106,男子種目コード!$J$2:$K$30,2,FALSE),IF(I106=2,VLOOKUP(AC106,女子種目コード!$J$2:$K$28,2,FALSE))))</f>
        <v/>
      </c>
      <c r="AE106" s="818"/>
      <c r="AF106" s="831"/>
      <c r="AG106" s="322" t="str">
        <f>IF(AF106="","",IF(I106=1,VLOOKUP(AF106,男子種目コード!$J$2:$K$30,2,FALSE),IF(I106=2,VLOOKUP(AF106,女子種目コード!$J$2:$K$28,2,FALSE))))</f>
        <v/>
      </c>
      <c r="AH106" s="819"/>
      <c r="AI106" s="20"/>
      <c r="AJ106" s="20"/>
      <c r="AK106" s="19"/>
      <c r="AL106" s="838"/>
      <c r="AM106" s="848" t="str">
        <f t="shared" si="22"/>
        <v/>
      </c>
      <c r="AN106" s="57" t="str">
        <f t="shared" si="23"/>
        <v/>
      </c>
      <c r="AO106" s="220"/>
      <c r="AP106" s="220"/>
      <c r="AQ106" s="220"/>
      <c r="AR106" s="224"/>
      <c r="AS106" s="224"/>
      <c r="AU106" s="22"/>
      <c r="AV106" s="22"/>
      <c r="AX106" s="331">
        <f t="shared" si="24"/>
        <v>0</v>
      </c>
      <c r="AY106" s="224"/>
      <c r="AZ106" s="224"/>
      <c r="BA106" s="224"/>
      <c r="BB106" s="224"/>
      <c r="BC106" s="19">
        <f t="shared" si="25"/>
        <v>0</v>
      </c>
      <c r="BD106" s="19" t="str">
        <f t="shared" si="26"/>
        <v/>
      </c>
      <c r="BE106" s="19" t="str">
        <f t="shared" si="27"/>
        <v/>
      </c>
    </row>
    <row r="107" spans="2:57">
      <c r="B107" s="322" t="str">
        <f>名簿!P104</f>
        <v/>
      </c>
      <c r="C107" s="825"/>
      <c r="D107" s="825"/>
      <c r="E107" s="1321">
        <f>名簿!E104</f>
        <v>0</v>
      </c>
      <c r="F107" s="563" t="str">
        <f>名簿!CM104</f>
        <v/>
      </c>
      <c r="G107" s="322" t="str">
        <f>名簿!Z104</f>
        <v/>
      </c>
      <c r="H107" s="322" t="str">
        <f>名簿!CM104</f>
        <v/>
      </c>
      <c r="I107" s="323" t="str">
        <f>名簿!Y104</f>
        <v/>
      </c>
      <c r="J107" s="323" t="str">
        <f>名簿!CN104</f>
        <v/>
      </c>
      <c r="K107" s="900">
        <f>名簿!CP104</f>
        <v>0</v>
      </c>
      <c r="L107" s="901" t="str">
        <f>名簿!CU104</f>
        <v>00</v>
      </c>
      <c r="M107" s="322" t="str">
        <f>名簿!Q104</f>
        <v/>
      </c>
      <c r="N107" s="1315">
        <f>名簿!D104</f>
        <v>0</v>
      </c>
      <c r="O107" s="327"/>
      <c r="P107" s="258" t="str">
        <f>IF(O107="","",IF(I107=1,VLOOKUP(O107,男子種目コード!$P$1:$Q$26,2,FALSE),IF(I107=2,VLOOKUP(O107,女子種目コード!$P$1:$Q$26,2,FALSE))))</f>
        <v/>
      </c>
      <c r="Q107" s="494" t="str">
        <f>IF(O107="","",HLOOKUP(O107,名簿!$AH$3:$CH$118,102,FALSE))</f>
        <v/>
      </c>
      <c r="R107" s="1002"/>
      <c r="S107" s="843" t="str">
        <f t="shared" si="18"/>
        <v/>
      </c>
      <c r="T107" s="844" t="str">
        <f t="shared" si="19"/>
        <v/>
      </c>
      <c r="U107" s="327"/>
      <c r="V107" s="258" t="str">
        <f>IF(U107="","",IF(I107=1,VLOOKUP(U107,男子種目コード!$P$1:$Q$26,2,FALSE),IF(I107=2,VLOOKUP(U107,女子種目コード!$P$1:$Q$26,2,FALSE))))</f>
        <v/>
      </c>
      <c r="W107" s="494" t="str">
        <f>IF(U107="","",HLOOKUP(U107,名簿!$AH$3:$CH$118,102,FALSE))</f>
        <v/>
      </c>
      <c r="X107" s="1004"/>
      <c r="Y107" s="843" t="str">
        <f t="shared" si="20"/>
        <v/>
      </c>
      <c r="Z107" s="844" t="str">
        <f t="shared" si="21"/>
        <v/>
      </c>
      <c r="AA107" s="569" t="str">
        <f>IF(X107="","",IF(I107=1,VLOOKUP(X107,男子種目コード!$J$2:$K$30,2,FALSE),IF(I107=2,VLOOKUP(X107,女子種目コード!$J$2:$K$28,2,FALSE))))</f>
        <v/>
      </c>
      <c r="AB107" s="818"/>
      <c r="AC107" s="831"/>
      <c r="AD107" s="322" t="str">
        <f>IF(AC107="","",IF(I107=1,VLOOKUP(AC107,男子種目コード!$J$2:$K$30,2,FALSE),IF(I107=2,VLOOKUP(AC107,女子種目コード!$J$2:$K$28,2,FALSE))))</f>
        <v/>
      </c>
      <c r="AE107" s="818"/>
      <c r="AF107" s="831"/>
      <c r="AG107" s="322" t="str">
        <f>IF(AF107="","",IF(I107=1,VLOOKUP(AF107,男子種目コード!$J$2:$K$30,2,FALSE),IF(I107=2,VLOOKUP(AF107,女子種目コード!$J$2:$K$28,2,FALSE))))</f>
        <v/>
      </c>
      <c r="AH107" s="819"/>
      <c r="AI107" s="20"/>
      <c r="AJ107" s="20"/>
      <c r="AK107" s="19"/>
      <c r="AL107" s="838"/>
      <c r="AM107" s="848" t="str">
        <f t="shared" si="22"/>
        <v/>
      </c>
      <c r="AN107" s="57" t="str">
        <f t="shared" si="23"/>
        <v/>
      </c>
      <c r="AO107" s="220"/>
      <c r="AP107" s="220"/>
      <c r="AQ107" s="220"/>
      <c r="AR107" s="224"/>
      <c r="AS107" s="224"/>
      <c r="AU107" s="22"/>
      <c r="AV107" s="22"/>
      <c r="AX107" s="331">
        <f t="shared" si="24"/>
        <v>0</v>
      </c>
      <c r="AY107" s="224"/>
      <c r="AZ107" s="224"/>
      <c r="BA107" s="224"/>
      <c r="BB107" s="224"/>
      <c r="BC107" s="19">
        <f t="shared" si="25"/>
        <v>0</v>
      </c>
      <c r="BD107" s="19" t="str">
        <f t="shared" si="26"/>
        <v/>
      </c>
      <c r="BE107" s="19" t="str">
        <f t="shared" si="27"/>
        <v/>
      </c>
    </row>
    <row r="108" spans="2:57">
      <c r="B108" s="322" t="str">
        <f>名簿!P105</f>
        <v/>
      </c>
      <c r="C108" s="825"/>
      <c r="D108" s="825"/>
      <c r="E108" s="1321">
        <f>名簿!E105</f>
        <v>0</v>
      </c>
      <c r="F108" s="563" t="str">
        <f>名簿!CM105</f>
        <v/>
      </c>
      <c r="G108" s="322" t="str">
        <f>名簿!Z105</f>
        <v/>
      </c>
      <c r="H108" s="322" t="str">
        <f>名簿!CM105</f>
        <v/>
      </c>
      <c r="I108" s="323" t="str">
        <f>名簿!Y105</f>
        <v/>
      </c>
      <c r="J108" s="323" t="str">
        <f>名簿!CN105</f>
        <v/>
      </c>
      <c r="K108" s="900">
        <f>名簿!CP105</f>
        <v>0</v>
      </c>
      <c r="L108" s="901" t="str">
        <f>名簿!CU105</f>
        <v>00</v>
      </c>
      <c r="M108" s="322" t="str">
        <f>名簿!Q105</f>
        <v/>
      </c>
      <c r="N108" s="1315">
        <f>名簿!D105</f>
        <v>0</v>
      </c>
      <c r="O108" s="327"/>
      <c r="P108" s="258" t="str">
        <f>IF(O108="","",IF(I108=1,VLOOKUP(O108,男子種目コード!$P$1:$Q$26,2,FALSE),IF(I108=2,VLOOKUP(O108,女子種目コード!$P$1:$Q$26,2,FALSE))))</f>
        <v/>
      </c>
      <c r="Q108" s="494" t="str">
        <f>IF(O108="","",HLOOKUP(O108,名簿!$AH$3:$CH$118,103,FALSE))</f>
        <v/>
      </c>
      <c r="R108" s="1002"/>
      <c r="S108" s="843" t="str">
        <f t="shared" si="18"/>
        <v/>
      </c>
      <c r="T108" s="844" t="str">
        <f t="shared" si="19"/>
        <v/>
      </c>
      <c r="U108" s="327"/>
      <c r="V108" s="258" t="str">
        <f>IF(U108="","",IF(I108=1,VLOOKUP(U108,男子種目コード!$P$1:$Q$26,2,FALSE),IF(I108=2,VLOOKUP(U108,女子種目コード!$P$1:$Q$26,2,FALSE))))</f>
        <v/>
      </c>
      <c r="W108" s="494" t="str">
        <f>IF(U108="","",HLOOKUP(U108,名簿!$AH$3:$CH$118,103,FALSE))</f>
        <v/>
      </c>
      <c r="X108" s="1004"/>
      <c r="Y108" s="843" t="str">
        <f t="shared" si="20"/>
        <v/>
      </c>
      <c r="Z108" s="844" t="str">
        <f t="shared" si="21"/>
        <v/>
      </c>
      <c r="AA108" s="569"/>
      <c r="AB108" s="818"/>
      <c r="AC108" s="831"/>
      <c r="AD108" s="322"/>
      <c r="AE108" s="818"/>
      <c r="AF108" s="831"/>
      <c r="AG108" s="322"/>
      <c r="AH108" s="819"/>
      <c r="AI108" s="20"/>
      <c r="AJ108" s="20"/>
      <c r="AK108" s="19"/>
      <c r="AL108" s="838"/>
      <c r="AM108" s="848" t="str">
        <f t="shared" si="22"/>
        <v/>
      </c>
      <c r="AN108" s="57" t="str">
        <f t="shared" si="23"/>
        <v/>
      </c>
      <c r="AO108" s="220"/>
      <c r="AP108" s="220"/>
      <c r="AQ108" s="220"/>
      <c r="AR108" s="224"/>
      <c r="AS108" s="224"/>
      <c r="AU108" s="22"/>
      <c r="AV108" s="22"/>
      <c r="AX108" s="331">
        <f t="shared" si="24"/>
        <v>0</v>
      </c>
      <c r="AY108" s="224"/>
      <c r="AZ108" s="224"/>
      <c r="BA108" s="224"/>
      <c r="BB108" s="224"/>
      <c r="BC108" s="19">
        <f t="shared" si="25"/>
        <v>0</v>
      </c>
      <c r="BD108" s="19" t="str">
        <f t="shared" si="26"/>
        <v/>
      </c>
      <c r="BE108" s="19" t="str">
        <f t="shared" si="27"/>
        <v/>
      </c>
    </row>
    <row r="109" spans="2:57">
      <c r="B109" s="322" t="str">
        <f>名簿!P106</f>
        <v/>
      </c>
      <c r="C109" s="825"/>
      <c r="D109" s="825"/>
      <c r="E109" s="1321">
        <f>名簿!E106</f>
        <v>0</v>
      </c>
      <c r="F109" s="563" t="str">
        <f>名簿!CM106</f>
        <v/>
      </c>
      <c r="G109" s="322" t="str">
        <f>名簿!Z106</f>
        <v/>
      </c>
      <c r="H109" s="322" t="str">
        <f>名簿!CM106</f>
        <v/>
      </c>
      <c r="I109" s="323" t="str">
        <f>名簿!Y106</f>
        <v/>
      </c>
      <c r="J109" s="323" t="str">
        <f>名簿!CN106</f>
        <v/>
      </c>
      <c r="K109" s="900">
        <f>名簿!CP106</f>
        <v>0</v>
      </c>
      <c r="L109" s="901" t="str">
        <f>名簿!CU106</f>
        <v>00</v>
      </c>
      <c r="M109" s="322" t="str">
        <f>名簿!Q106</f>
        <v/>
      </c>
      <c r="N109" s="1315">
        <f>名簿!D106</f>
        <v>0</v>
      </c>
      <c r="O109" s="327"/>
      <c r="P109" s="258" t="str">
        <f>IF(O109="","",IF(I109=1,VLOOKUP(O109,男子種目コード!$P$1:$Q$26,2,FALSE),IF(I109=2,VLOOKUP(O109,女子種目コード!$P$1:$Q$26,2,FALSE))))</f>
        <v/>
      </c>
      <c r="Q109" s="494" t="str">
        <f>IF(O109="","",HLOOKUP(O109,名簿!$AH$3:$CH$118,104,FALSE))</f>
        <v/>
      </c>
      <c r="R109" s="1002"/>
      <c r="S109" s="843" t="str">
        <f t="shared" si="18"/>
        <v/>
      </c>
      <c r="T109" s="844" t="str">
        <f t="shared" si="19"/>
        <v/>
      </c>
      <c r="U109" s="327"/>
      <c r="V109" s="258" t="str">
        <f>IF(U109="","",IF(I109=1,VLOOKUP(U109,男子種目コード!$P$1:$Q$26,2,FALSE),IF(I109=2,VLOOKUP(U109,女子種目コード!$P$1:$Q$26,2,FALSE))))</f>
        <v/>
      </c>
      <c r="W109" s="494" t="str">
        <f>IF(U109="","",HLOOKUP(U109,名簿!$AH$3:$CH$118,104,FALSE))</f>
        <v/>
      </c>
      <c r="X109" s="1004"/>
      <c r="Y109" s="843" t="str">
        <f t="shared" si="20"/>
        <v/>
      </c>
      <c r="Z109" s="844" t="str">
        <f t="shared" si="21"/>
        <v/>
      </c>
      <c r="AA109" s="569"/>
      <c r="AB109" s="818"/>
      <c r="AC109" s="831"/>
      <c r="AD109" s="322"/>
      <c r="AE109" s="818"/>
      <c r="AF109" s="831"/>
      <c r="AG109" s="322"/>
      <c r="AH109" s="819"/>
      <c r="AI109" s="20"/>
      <c r="AJ109" s="20"/>
      <c r="AK109" s="19"/>
      <c r="AL109" s="838"/>
      <c r="AM109" s="848" t="str">
        <f t="shared" si="22"/>
        <v/>
      </c>
      <c r="AN109" s="57" t="str">
        <f t="shared" si="23"/>
        <v/>
      </c>
      <c r="AO109" s="220"/>
      <c r="AP109" s="220"/>
      <c r="AQ109" s="220"/>
      <c r="AR109" s="224"/>
      <c r="AS109" s="224"/>
      <c r="AU109" s="22"/>
      <c r="AV109" s="22"/>
      <c r="AX109" s="331">
        <f t="shared" si="24"/>
        <v>0</v>
      </c>
      <c r="AY109" s="224"/>
      <c r="AZ109" s="224"/>
      <c r="BA109" s="224"/>
      <c r="BB109" s="224"/>
      <c r="BC109" s="19">
        <f t="shared" si="25"/>
        <v>0</v>
      </c>
      <c r="BD109" s="19" t="str">
        <f t="shared" si="26"/>
        <v/>
      </c>
      <c r="BE109" s="19" t="str">
        <f t="shared" si="27"/>
        <v/>
      </c>
    </row>
    <row r="110" spans="2:57">
      <c r="B110" s="322" t="str">
        <f>名簿!P107</f>
        <v/>
      </c>
      <c r="C110" s="825"/>
      <c r="D110" s="825"/>
      <c r="E110" s="1321">
        <f>名簿!E107</f>
        <v>0</v>
      </c>
      <c r="F110" s="563" t="str">
        <f>名簿!CM107</f>
        <v/>
      </c>
      <c r="G110" s="322" t="str">
        <f>名簿!Z107</f>
        <v/>
      </c>
      <c r="H110" s="322" t="str">
        <f>名簿!CM107</f>
        <v/>
      </c>
      <c r="I110" s="323" t="str">
        <f>名簿!Y107</f>
        <v/>
      </c>
      <c r="J110" s="323" t="str">
        <f>名簿!CN107</f>
        <v/>
      </c>
      <c r="K110" s="900">
        <f>名簿!CP107</f>
        <v>0</v>
      </c>
      <c r="L110" s="901" t="str">
        <f>名簿!CU107</f>
        <v>00</v>
      </c>
      <c r="M110" s="322" t="str">
        <f>名簿!Q107</f>
        <v/>
      </c>
      <c r="N110" s="1315">
        <f>名簿!D107</f>
        <v>0</v>
      </c>
      <c r="O110" s="327"/>
      <c r="P110" s="258" t="str">
        <f>IF(O110="","",IF(I110=1,VLOOKUP(O110,男子種目コード!$P$1:$Q$26,2,FALSE),IF(I110=2,VLOOKUP(O110,女子種目コード!$P$1:$Q$26,2,FALSE))))</f>
        <v/>
      </c>
      <c r="Q110" s="494" t="str">
        <f>IF(O110="","",HLOOKUP(O110,名簿!$AH$3:$CH$118,105,FALSE))</f>
        <v/>
      </c>
      <c r="R110" s="1002"/>
      <c r="S110" s="843" t="str">
        <f t="shared" si="18"/>
        <v/>
      </c>
      <c r="T110" s="844" t="str">
        <f t="shared" si="19"/>
        <v/>
      </c>
      <c r="U110" s="327"/>
      <c r="V110" s="258" t="str">
        <f>IF(U110="","",IF(I110=1,VLOOKUP(U110,男子種目コード!$P$1:$Q$26,2,FALSE),IF(I110=2,VLOOKUP(U110,女子種目コード!$P$1:$Q$26,2,FALSE))))</f>
        <v/>
      </c>
      <c r="W110" s="494" t="str">
        <f>IF(U110="","",HLOOKUP(U110,名簿!$AH$3:$CH$118,105,FALSE))</f>
        <v/>
      </c>
      <c r="X110" s="1004"/>
      <c r="Y110" s="843" t="str">
        <f t="shared" si="20"/>
        <v/>
      </c>
      <c r="Z110" s="844" t="str">
        <f t="shared" si="21"/>
        <v/>
      </c>
      <c r="AA110" s="569"/>
      <c r="AB110" s="818"/>
      <c r="AC110" s="831"/>
      <c r="AD110" s="322"/>
      <c r="AE110" s="818"/>
      <c r="AF110" s="831"/>
      <c r="AG110" s="322"/>
      <c r="AH110" s="819"/>
      <c r="AI110" s="20"/>
      <c r="AJ110" s="20"/>
      <c r="AK110" s="19"/>
      <c r="AL110" s="838"/>
      <c r="AM110" s="848" t="str">
        <f t="shared" si="22"/>
        <v/>
      </c>
      <c r="AN110" s="57" t="str">
        <f t="shared" si="23"/>
        <v/>
      </c>
      <c r="AO110" s="220"/>
      <c r="AP110" s="220"/>
      <c r="AQ110" s="220"/>
      <c r="AR110" s="224"/>
      <c r="AS110" s="224"/>
      <c r="AU110" s="22"/>
      <c r="AV110" s="22"/>
      <c r="AX110" s="331">
        <f t="shared" si="24"/>
        <v>0</v>
      </c>
      <c r="AY110" s="224"/>
      <c r="AZ110" s="224"/>
      <c r="BA110" s="224"/>
      <c r="BB110" s="224"/>
      <c r="BC110" s="19">
        <f t="shared" si="25"/>
        <v>0</v>
      </c>
      <c r="BD110" s="19" t="str">
        <f t="shared" si="26"/>
        <v/>
      </c>
      <c r="BE110" s="19" t="str">
        <f t="shared" si="27"/>
        <v/>
      </c>
    </row>
    <row r="111" spans="2:57">
      <c r="B111" s="322" t="str">
        <f>名簿!P108</f>
        <v/>
      </c>
      <c r="C111" s="825"/>
      <c r="D111" s="825"/>
      <c r="E111" s="1321">
        <f>名簿!E108</f>
        <v>0</v>
      </c>
      <c r="F111" s="563" t="str">
        <f>名簿!CM108</f>
        <v/>
      </c>
      <c r="G111" s="322" t="str">
        <f>名簿!Z108</f>
        <v/>
      </c>
      <c r="H111" s="322" t="str">
        <f>名簿!CM108</f>
        <v/>
      </c>
      <c r="I111" s="323" t="str">
        <f>名簿!Y108</f>
        <v/>
      </c>
      <c r="J111" s="323" t="str">
        <f>名簿!CN108</f>
        <v/>
      </c>
      <c r="K111" s="900">
        <f>名簿!CP108</f>
        <v>0</v>
      </c>
      <c r="L111" s="901" t="str">
        <f>名簿!CU108</f>
        <v>00</v>
      </c>
      <c r="M111" s="322" t="str">
        <f>名簿!Q108</f>
        <v/>
      </c>
      <c r="N111" s="1315">
        <f>名簿!D108</f>
        <v>0</v>
      </c>
      <c r="O111" s="327"/>
      <c r="P111" s="258" t="str">
        <f>IF(O111="","",IF(I111=1,VLOOKUP(O111,男子種目コード!$P$1:$Q$26,2,FALSE),IF(I111=2,VLOOKUP(O111,女子種目コード!$P$1:$Q$26,2,FALSE))))</f>
        <v/>
      </c>
      <c r="Q111" s="494" t="str">
        <f>IF(O111="","",HLOOKUP(O111,名簿!$AH$3:$CH$118,106,FALSE))</f>
        <v/>
      </c>
      <c r="R111" s="1002"/>
      <c r="S111" s="843" t="str">
        <f t="shared" si="18"/>
        <v/>
      </c>
      <c r="T111" s="844" t="str">
        <f t="shared" si="19"/>
        <v/>
      </c>
      <c r="U111" s="327"/>
      <c r="V111" s="258" t="str">
        <f>IF(U111="","",IF(I111=1,VLOOKUP(U111,男子種目コード!$P$1:$Q$26,2,FALSE),IF(I111=2,VLOOKUP(U111,女子種目コード!$P$1:$Q$26,2,FALSE))))</f>
        <v/>
      </c>
      <c r="W111" s="494" t="str">
        <f>IF(U111="","",HLOOKUP(U111,名簿!$AH$3:$CH$118,106,FALSE))</f>
        <v/>
      </c>
      <c r="X111" s="1004"/>
      <c r="Y111" s="843" t="str">
        <f t="shared" si="20"/>
        <v/>
      </c>
      <c r="Z111" s="844" t="str">
        <f t="shared" si="21"/>
        <v/>
      </c>
      <c r="AA111" s="569"/>
      <c r="AB111" s="818"/>
      <c r="AC111" s="831"/>
      <c r="AD111" s="322"/>
      <c r="AE111" s="818"/>
      <c r="AF111" s="831"/>
      <c r="AG111" s="322"/>
      <c r="AH111" s="819"/>
      <c r="AI111" s="20"/>
      <c r="AJ111" s="20"/>
      <c r="AK111" s="19"/>
      <c r="AL111" s="838"/>
      <c r="AM111" s="848" t="str">
        <f t="shared" si="22"/>
        <v/>
      </c>
      <c r="AN111" s="57" t="str">
        <f t="shared" si="23"/>
        <v/>
      </c>
      <c r="AO111" s="220"/>
      <c r="AP111" s="220"/>
      <c r="AQ111" s="220"/>
      <c r="AR111" s="224"/>
      <c r="AS111" s="224"/>
      <c r="AU111" s="22"/>
      <c r="AV111" s="22"/>
      <c r="AX111" s="331">
        <f t="shared" si="24"/>
        <v>0</v>
      </c>
      <c r="AY111" s="224"/>
      <c r="AZ111" s="224"/>
      <c r="BA111" s="224"/>
      <c r="BB111" s="224"/>
      <c r="BC111" s="19">
        <f t="shared" si="25"/>
        <v>0</v>
      </c>
      <c r="BD111" s="19" t="str">
        <f t="shared" si="26"/>
        <v/>
      </c>
      <c r="BE111" s="19" t="str">
        <f t="shared" si="27"/>
        <v/>
      </c>
    </row>
    <row r="112" spans="2:57">
      <c r="B112" s="322" t="str">
        <f>名簿!P109</f>
        <v/>
      </c>
      <c r="C112" s="825"/>
      <c r="D112" s="825"/>
      <c r="E112" s="1321">
        <f>名簿!E109</f>
        <v>0</v>
      </c>
      <c r="F112" s="563" t="str">
        <f>名簿!CM109</f>
        <v/>
      </c>
      <c r="G112" s="322" t="str">
        <f>名簿!Z109</f>
        <v/>
      </c>
      <c r="H112" s="322" t="str">
        <f>名簿!CM109</f>
        <v/>
      </c>
      <c r="I112" s="323" t="str">
        <f>名簿!Y109</f>
        <v/>
      </c>
      <c r="J112" s="323" t="str">
        <f>名簿!CN109</f>
        <v/>
      </c>
      <c r="K112" s="900">
        <f>名簿!CP109</f>
        <v>0</v>
      </c>
      <c r="L112" s="901" t="str">
        <f>名簿!CU109</f>
        <v>00</v>
      </c>
      <c r="M112" s="322" t="str">
        <f>名簿!Q109</f>
        <v/>
      </c>
      <c r="N112" s="1315">
        <f>名簿!D109</f>
        <v>0</v>
      </c>
      <c r="O112" s="327"/>
      <c r="P112" s="258" t="str">
        <f>IF(O112="","",IF(I112=1,VLOOKUP(O112,男子種目コード!$P$1:$Q$26,2,FALSE),IF(I112=2,VLOOKUP(O112,女子種目コード!$P$1:$Q$26,2,FALSE))))</f>
        <v/>
      </c>
      <c r="Q112" s="494" t="str">
        <f>IF(O112="","",HLOOKUP(O112,名簿!$AH$3:$CH$118,107,FALSE))</f>
        <v/>
      </c>
      <c r="R112" s="1002"/>
      <c r="S112" s="843" t="str">
        <f t="shared" si="18"/>
        <v/>
      </c>
      <c r="T112" s="844" t="str">
        <f t="shared" si="19"/>
        <v/>
      </c>
      <c r="U112" s="327"/>
      <c r="V112" s="258" t="str">
        <f>IF(U112="","",IF(I112=1,VLOOKUP(U112,男子種目コード!$P$1:$Q$26,2,FALSE),IF(I112=2,VLOOKUP(U112,女子種目コード!$P$1:$Q$26,2,FALSE))))</f>
        <v/>
      </c>
      <c r="W112" s="494" t="str">
        <f>IF(U112="","",HLOOKUP(U112,名簿!$AH$3:$CH$118,107,FALSE))</f>
        <v/>
      </c>
      <c r="X112" s="1004"/>
      <c r="Y112" s="843" t="str">
        <f t="shared" si="20"/>
        <v/>
      </c>
      <c r="Z112" s="844" t="str">
        <f t="shared" si="21"/>
        <v/>
      </c>
      <c r="AA112" s="569"/>
      <c r="AB112" s="818"/>
      <c r="AC112" s="831"/>
      <c r="AD112" s="322"/>
      <c r="AE112" s="818"/>
      <c r="AF112" s="831"/>
      <c r="AG112" s="322"/>
      <c r="AH112" s="819"/>
      <c r="AI112" s="20"/>
      <c r="AJ112" s="20"/>
      <c r="AK112" s="19"/>
      <c r="AL112" s="838"/>
      <c r="AM112" s="848" t="str">
        <f t="shared" si="22"/>
        <v/>
      </c>
      <c r="AN112" s="57" t="str">
        <f t="shared" si="23"/>
        <v/>
      </c>
      <c r="AO112" s="220"/>
      <c r="AP112" s="220"/>
      <c r="AQ112" s="220"/>
      <c r="AR112" s="224"/>
      <c r="AS112" s="224"/>
      <c r="AU112" s="22"/>
      <c r="AV112" s="22"/>
      <c r="AX112" s="331">
        <f t="shared" si="24"/>
        <v>0</v>
      </c>
      <c r="AY112" s="224"/>
      <c r="AZ112" s="224"/>
      <c r="BA112" s="224"/>
      <c r="BB112" s="224"/>
      <c r="BC112" s="19">
        <f t="shared" si="25"/>
        <v>0</v>
      </c>
      <c r="BD112" s="19" t="str">
        <f t="shared" si="26"/>
        <v/>
      </c>
      <c r="BE112" s="19" t="str">
        <f t="shared" si="27"/>
        <v/>
      </c>
    </row>
    <row r="113" spans="2:57">
      <c r="B113" s="322" t="str">
        <f>名簿!P110</f>
        <v/>
      </c>
      <c r="C113" s="825"/>
      <c r="D113" s="825"/>
      <c r="E113" s="1321">
        <f>名簿!E110</f>
        <v>0</v>
      </c>
      <c r="F113" s="563" t="str">
        <f>名簿!CM110</f>
        <v/>
      </c>
      <c r="G113" s="322" t="str">
        <f>名簿!Z110</f>
        <v/>
      </c>
      <c r="H113" s="322" t="str">
        <f>名簿!CM110</f>
        <v/>
      </c>
      <c r="I113" s="323" t="str">
        <f>名簿!Y110</f>
        <v/>
      </c>
      <c r="J113" s="323" t="str">
        <f>名簿!CN110</f>
        <v/>
      </c>
      <c r="K113" s="900">
        <f>名簿!CP110</f>
        <v>0</v>
      </c>
      <c r="L113" s="901" t="str">
        <f>名簿!CU110</f>
        <v>00</v>
      </c>
      <c r="M113" s="322" t="str">
        <f>名簿!Q110</f>
        <v/>
      </c>
      <c r="N113" s="1315">
        <f>名簿!D110</f>
        <v>0</v>
      </c>
      <c r="O113" s="327"/>
      <c r="P113" s="258" t="str">
        <f>IF(O113="","",IF(I113=1,VLOOKUP(O113,男子種目コード!$P$1:$Q$26,2,FALSE),IF(I113=2,VLOOKUP(O113,女子種目コード!$P$1:$Q$26,2,FALSE))))</f>
        <v/>
      </c>
      <c r="Q113" s="494" t="str">
        <f>IF(O113="","",HLOOKUP(O113,名簿!$AH$3:$CH$118,108,FALSE))</f>
        <v/>
      </c>
      <c r="R113" s="1002"/>
      <c r="S113" s="843" t="str">
        <f t="shared" si="18"/>
        <v/>
      </c>
      <c r="T113" s="844" t="str">
        <f t="shared" si="19"/>
        <v/>
      </c>
      <c r="U113" s="327"/>
      <c r="V113" s="258" t="str">
        <f>IF(U113="","",IF(I113=1,VLOOKUP(U113,男子種目コード!$P$1:$Q$26,2,FALSE),IF(I113=2,VLOOKUP(U113,女子種目コード!$P$1:$Q$26,2,FALSE))))</f>
        <v/>
      </c>
      <c r="W113" s="494" t="str">
        <f>IF(U113="","",HLOOKUP(U113,名簿!$AH$3:$CH$118,108,FALSE))</f>
        <v/>
      </c>
      <c r="X113" s="1004"/>
      <c r="Y113" s="843" t="str">
        <f t="shared" si="20"/>
        <v/>
      </c>
      <c r="Z113" s="844" t="str">
        <f t="shared" si="21"/>
        <v/>
      </c>
      <c r="AA113" s="569"/>
      <c r="AB113" s="818"/>
      <c r="AC113" s="831"/>
      <c r="AD113" s="322"/>
      <c r="AE113" s="818"/>
      <c r="AF113" s="831"/>
      <c r="AG113" s="322"/>
      <c r="AH113" s="819"/>
      <c r="AI113" s="20"/>
      <c r="AJ113" s="20"/>
      <c r="AK113" s="19"/>
      <c r="AL113" s="838"/>
      <c r="AM113" s="848" t="str">
        <f t="shared" si="22"/>
        <v/>
      </c>
      <c r="AN113" s="57" t="str">
        <f t="shared" si="23"/>
        <v/>
      </c>
      <c r="AO113" s="220"/>
      <c r="AP113" s="220"/>
      <c r="AQ113" s="220"/>
      <c r="AR113" s="224"/>
      <c r="AS113" s="224"/>
      <c r="AU113" s="22"/>
      <c r="AV113" s="22"/>
      <c r="AX113" s="331">
        <f t="shared" si="24"/>
        <v>0</v>
      </c>
      <c r="AY113" s="224"/>
      <c r="AZ113" s="224"/>
      <c r="BA113" s="224"/>
      <c r="BB113" s="224"/>
      <c r="BC113" s="19">
        <f t="shared" si="25"/>
        <v>0</v>
      </c>
      <c r="BD113" s="19" t="str">
        <f t="shared" si="26"/>
        <v/>
      </c>
      <c r="BE113" s="19" t="str">
        <f t="shared" si="27"/>
        <v/>
      </c>
    </row>
    <row r="114" spans="2:57">
      <c r="B114" s="322" t="str">
        <f>名簿!P111</f>
        <v/>
      </c>
      <c r="C114" s="825"/>
      <c r="D114" s="825"/>
      <c r="E114" s="1321">
        <f>名簿!E111</f>
        <v>0</v>
      </c>
      <c r="F114" s="563" t="str">
        <f>名簿!CM111</f>
        <v/>
      </c>
      <c r="G114" s="322" t="str">
        <f>名簿!Z111</f>
        <v/>
      </c>
      <c r="H114" s="322" t="str">
        <f>名簿!CM111</f>
        <v/>
      </c>
      <c r="I114" s="323" t="str">
        <f>名簿!Y111</f>
        <v/>
      </c>
      <c r="J114" s="323" t="str">
        <f>名簿!CN111</f>
        <v/>
      </c>
      <c r="K114" s="900">
        <f>名簿!CP111</f>
        <v>0</v>
      </c>
      <c r="L114" s="901" t="str">
        <f>名簿!CU111</f>
        <v>00</v>
      </c>
      <c r="M114" s="322" t="str">
        <f>名簿!Q111</f>
        <v/>
      </c>
      <c r="N114" s="1315">
        <f>名簿!D111</f>
        <v>0</v>
      </c>
      <c r="O114" s="327"/>
      <c r="P114" s="258" t="str">
        <f>IF(O114="","",IF(I114=1,VLOOKUP(O114,男子種目コード!$P$1:$Q$26,2,FALSE),IF(I114=2,VLOOKUP(O114,女子種目コード!$P$1:$Q$26,2,FALSE))))</f>
        <v/>
      </c>
      <c r="Q114" s="494" t="str">
        <f>IF(O114="","",HLOOKUP(O114,名簿!$AH$3:$CH$118,109,FALSE))</f>
        <v/>
      </c>
      <c r="R114" s="1002"/>
      <c r="S114" s="843" t="str">
        <f t="shared" si="18"/>
        <v/>
      </c>
      <c r="T114" s="844" t="str">
        <f t="shared" si="19"/>
        <v/>
      </c>
      <c r="U114" s="327"/>
      <c r="V114" s="258" t="str">
        <f>IF(U114="","",IF(I114=1,VLOOKUP(U114,男子種目コード!$P$1:$Q$26,2,FALSE),IF(I114=2,VLOOKUP(U114,女子種目コード!$P$1:$Q$26,2,FALSE))))</f>
        <v/>
      </c>
      <c r="W114" s="494" t="str">
        <f>IF(U114="","",HLOOKUP(U114,名簿!$AH$3:$CH$118,109,FALSE))</f>
        <v/>
      </c>
      <c r="X114" s="1004"/>
      <c r="Y114" s="843" t="str">
        <f t="shared" si="20"/>
        <v/>
      </c>
      <c r="Z114" s="844" t="str">
        <f t="shared" si="21"/>
        <v/>
      </c>
      <c r="AA114" s="569"/>
      <c r="AB114" s="818"/>
      <c r="AC114" s="831"/>
      <c r="AD114" s="322"/>
      <c r="AE114" s="818"/>
      <c r="AF114" s="831"/>
      <c r="AG114" s="322"/>
      <c r="AH114" s="819"/>
      <c r="AI114" s="20"/>
      <c r="AJ114" s="20"/>
      <c r="AK114" s="19"/>
      <c r="AL114" s="838"/>
      <c r="AM114" s="848" t="str">
        <f t="shared" si="22"/>
        <v/>
      </c>
      <c r="AN114" s="57" t="str">
        <f t="shared" si="23"/>
        <v/>
      </c>
      <c r="AO114" s="220"/>
      <c r="AP114" s="220"/>
      <c r="AQ114" s="220"/>
      <c r="AR114" s="224"/>
      <c r="AS114" s="224"/>
      <c r="AU114" s="22"/>
      <c r="AV114" s="22"/>
      <c r="AX114" s="331">
        <f t="shared" si="24"/>
        <v>0</v>
      </c>
      <c r="AY114" s="224"/>
      <c r="AZ114" s="224"/>
      <c r="BA114" s="224"/>
      <c r="BB114" s="224"/>
      <c r="BC114" s="19">
        <f t="shared" si="25"/>
        <v>0</v>
      </c>
      <c r="BD114" s="19" t="str">
        <f t="shared" si="26"/>
        <v/>
      </c>
      <c r="BE114" s="19" t="str">
        <f t="shared" si="27"/>
        <v/>
      </c>
    </row>
    <row r="115" spans="2:57">
      <c r="B115" s="322" t="str">
        <f>名簿!P112</f>
        <v/>
      </c>
      <c r="C115" s="825"/>
      <c r="D115" s="825"/>
      <c r="E115" s="1321">
        <f>名簿!E112</f>
        <v>0</v>
      </c>
      <c r="F115" s="563" t="str">
        <f>名簿!CM112</f>
        <v/>
      </c>
      <c r="G115" s="322" t="str">
        <f>名簿!Z112</f>
        <v/>
      </c>
      <c r="H115" s="322" t="str">
        <f>名簿!CM112</f>
        <v/>
      </c>
      <c r="I115" s="323" t="str">
        <f>名簿!Y112</f>
        <v/>
      </c>
      <c r="J115" s="323" t="str">
        <f>名簿!CN112</f>
        <v/>
      </c>
      <c r="K115" s="900">
        <f>名簿!CP112</f>
        <v>0</v>
      </c>
      <c r="L115" s="901" t="str">
        <f>名簿!CU112</f>
        <v>00</v>
      </c>
      <c r="M115" s="322" t="str">
        <f>名簿!Q112</f>
        <v/>
      </c>
      <c r="N115" s="1315">
        <f>名簿!D112</f>
        <v>0</v>
      </c>
      <c r="O115" s="327"/>
      <c r="P115" s="258" t="str">
        <f>IF(O115="","",IF(I115=1,VLOOKUP(O115,男子種目コード!$P$1:$Q$26,2,FALSE),IF(I115=2,VLOOKUP(O115,女子種目コード!$P$1:$Q$26,2,FALSE))))</f>
        <v/>
      </c>
      <c r="Q115" s="494" t="str">
        <f>IF(O115="","",HLOOKUP(O115,名簿!$AH$3:$CH$118,110,FALSE))</f>
        <v/>
      </c>
      <c r="R115" s="1002"/>
      <c r="S115" s="843" t="str">
        <f t="shared" si="18"/>
        <v/>
      </c>
      <c r="T115" s="844" t="str">
        <f t="shared" si="19"/>
        <v/>
      </c>
      <c r="U115" s="327"/>
      <c r="V115" s="258" t="str">
        <f>IF(U115="","",IF(I115=1,VLOOKUP(U115,男子種目コード!$P$1:$Q$26,2,FALSE),IF(I115=2,VLOOKUP(U115,女子種目コード!$P$1:$Q$26,2,FALSE))))</f>
        <v/>
      </c>
      <c r="W115" s="494" t="str">
        <f>IF(U115="","",HLOOKUP(U115,名簿!$AH$3:$CH$118,110,FALSE))</f>
        <v/>
      </c>
      <c r="X115" s="1004"/>
      <c r="Y115" s="843" t="str">
        <f t="shared" si="20"/>
        <v/>
      </c>
      <c r="Z115" s="844" t="str">
        <f t="shared" si="21"/>
        <v/>
      </c>
      <c r="AA115" s="569"/>
      <c r="AB115" s="818"/>
      <c r="AC115" s="831"/>
      <c r="AD115" s="322"/>
      <c r="AE115" s="818"/>
      <c r="AF115" s="831"/>
      <c r="AG115" s="322"/>
      <c r="AH115" s="819"/>
      <c r="AI115" s="20"/>
      <c r="AJ115" s="20"/>
      <c r="AK115" s="19"/>
      <c r="AL115" s="838"/>
      <c r="AM115" s="848" t="str">
        <f t="shared" si="22"/>
        <v/>
      </c>
      <c r="AN115" s="57" t="str">
        <f t="shared" si="23"/>
        <v/>
      </c>
      <c r="AO115" s="852"/>
      <c r="AP115" s="852"/>
      <c r="AQ115" s="220"/>
      <c r="AR115" s="224"/>
      <c r="AS115" s="224"/>
      <c r="AU115" s="22"/>
      <c r="AV115" s="22"/>
      <c r="AX115" s="331">
        <f t="shared" si="24"/>
        <v>0</v>
      </c>
      <c r="AY115" s="224"/>
      <c r="AZ115" s="224"/>
      <c r="BA115" s="224"/>
      <c r="BB115" s="224"/>
      <c r="BC115" s="19">
        <f t="shared" si="25"/>
        <v>0</v>
      </c>
      <c r="BD115" s="19" t="str">
        <f t="shared" si="26"/>
        <v/>
      </c>
      <c r="BE115" s="19" t="str">
        <f t="shared" si="27"/>
        <v/>
      </c>
    </row>
    <row r="116" spans="2:57" ht="14.25" thickBot="1">
      <c r="B116" s="324" t="str">
        <f>名簿!P113</f>
        <v/>
      </c>
      <c r="C116" s="826"/>
      <c r="D116" s="826"/>
      <c r="E116" s="1322">
        <f>名簿!E113</f>
        <v>0</v>
      </c>
      <c r="F116" s="564" t="str">
        <f>名簿!CM113</f>
        <v/>
      </c>
      <c r="G116" s="324" t="str">
        <f>名簿!Z113</f>
        <v/>
      </c>
      <c r="H116" s="324" t="str">
        <f>名簿!CM113</f>
        <v/>
      </c>
      <c r="I116" s="325" t="str">
        <f>名簿!Y113</f>
        <v/>
      </c>
      <c r="J116" s="325" t="str">
        <f>名簿!CN113</f>
        <v/>
      </c>
      <c r="K116" s="902">
        <f>名簿!CP113</f>
        <v>0</v>
      </c>
      <c r="L116" s="903" t="str">
        <f>名簿!CU113</f>
        <v>00</v>
      </c>
      <c r="M116" s="324" t="str">
        <f>名簿!Q113</f>
        <v/>
      </c>
      <c r="N116" s="1323">
        <f>名簿!D113</f>
        <v>0</v>
      </c>
      <c r="O116" s="328"/>
      <c r="P116" s="260" t="str">
        <f>IF(O116="","",IF(I116=1,VLOOKUP(O116,男子種目コード!$P$1:$Q$26,2,FALSE),IF(I116=2,VLOOKUP(O116,女子種目コード!$P$1:$Q$26,2,FALSE))))</f>
        <v/>
      </c>
      <c r="Q116" s="495" t="str">
        <f>IF(O116="","",HLOOKUP(O116,名簿!$AH$3:$CH$118,111,FALSE))</f>
        <v/>
      </c>
      <c r="R116" s="1003"/>
      <c r="S116" s="845" t="str">
        <f t="shared" si="18"/>
        <v/>
      </c>
      <c r="T116" s="846" t="str">
        <f t="shared" si="19"/>
        <v/>
      </c>
      <c r="U116" s="328"/>
      <c r="V116" s="260" t="str">
        <f>IF(U116="","",IF(I116=1,VLOOKUP(U116,男子種目コード!$P$1:$Q$26,2,FALSE),IF(I116=2,VLOOKUP(U116,女子種目コード!$P$1:$Q$26,2,FALSE))))</f>
        <v/>
      </c>
      <c r="W116" s="495" t="str">
        <f>IF(U116="","",HLOOKUP(U116,名簿!$AH$3:$CH$118,111,FALSE))</f>
        <v/>
      </c>
      <c r="X116" s="1005"/>
      <c r="Y116" s="845" t="str">
        <f t="shared" si="20"/>
        <v/>
      </c>
      <c r="Z116" s="846" t="str">
        <f t="shared" si="21"/>
        <v/>
      </c>
      <c r="AA116" s="569"/>
      <c r="AB116" s="818"/>
      <c r="AC116" s="831"/>
      <c r="AD116" s="322"/>
      <c r="AE116" s="818"/>
      <c r="AF116" s="831"/>
      <c r="AG116" s="322"/>
      <c r="AH116" s="819"/>
      <c r="AI116" s="20"/>
      <c r="AJ116" s="20"/>
      <c r="AK116" s="19"/>
      <c r="AL116" s="838"/>
      <c r="AM116" s="848" t="str">
        <f t="shared" si="22"/>
        <v/>
      </c>
      <c r="AN116" s="57" t="str">
        <f t="shared" si="23"/>
        <v/>
      </c>
      <c r="AO116" s="852"/>
      <c r="AP116" s="852"/>
      <c r="AQ116" s="220"/>
      <c r="AR116" s="224"/>
      <c r="AS116" s="224"/>
      <c r="AU116" s="22"/>
      <c r="AV116" s="22"/>
      <c r="AX116" s="331">
        <f t="shared" si="24"/>
        <v>0</v>
      </c>
      <c r="AY116" s="224"/>
      <c r="AZ116" s="224"/>
      <c r="BA116" s="224"/>
      <c r="BB116" s="224"/>
      <c r="BC116" s="19">
        <f t="shared" si="25"/>
        <v>0</v>
      </c>
      <c r="BD116" s="19" t="str">
        <f t="shared" si="26"/>
        <v/>
      </c>
      <c r="BE116" s="19" t="str">
        <f t="shared" si="27"/>
        <v/>
      </c>
    </row>
    <row r="117" spans="2:57" s="57" customFormat="1">
      <c r="B117" s="220"/>
      <c r="C117" s="220"/>
      <c r="D117" s="220"/>
      <c r="E117" s="220"/>
      <c r="F117" s="220"/>
      <c r="G117" s="221"/>
      <c r="H117" s="220"/>
      <c r="I117" s="220"/>
      <c r="J117" s="222"/>
      <c r="K117" s="222"/>
      <c r="L117" s="220"/>
      <c r="M117" s="832"/>
      <c r="N117" s="614"/>
      <c r="O117" s="833"/>
      <c r="P117" s="833"/>
      <c r="Q117" s="832"/>
      <c r="R117" s="614"/>
      <c r="S117" s="834"/>
      <c r="T117" s="570"/>
      <c r="U117" s="835"/>
      <c r="V117" s="836"/>
      <c r="W117" s="837"/>
      <c r="X117" s="220"/>
      <c r="Y117" s="836"/>
      <c r="Z117" s="837"/>
      <c r="AA117" s="835"/>
      <c r="AB117" s="836"/>
      <c r="AC117" s="222"/>
      <c r="AD117" s="222"/>
      <c r="AE117" s="220"/>
      <c r="AF117" s="852"/>
      <c r="AG117" s="853">
        <f>SUM(AM7:AM116)</f>
        <v>0</v>
      </c>
      <c r="AH117" s="220">
        <f>SUM(AN7:AN116)</f>
        <v>0</v>
      </c>
      <c r="AI117" s="220"/>
      <c r="AJ117" s="220"/>
      <c r="AK117" s="220"/>
      <c r="AL117" s="220"/>
      <c r="AM117" s="220"/>
      <c r="AN117" s="220"/>
      <c r="AO117" s="852"/>
      <c r="AP117" s="852"/>
      <c r="AQ117" s="220"/>
      <c r="AR117" s="224"/>
      <c r="AS117" s="224"/>
      <c r="AT117" s="220"/>
      <c r="AU117" s="22"/>
      <c r="AV117" s="22"/>
      <c r="AW117" s="220"/>
      <c r="AX117" s="220"/>
      <c r="AY117" s="220"/>
      <c r="AZ117" s="220"/>
      <c r="BA117" s="220"/>
      <c r="BB117" s="220"/>
    </row>
    <row r="118" spans="2:57" s="57" customFormat="1">
      <c r="B118" s="220"/>
      <c r="C118" s="220"/>
      <c r="D118" s="220"/>
      <c r="E118" s="220"/>
      <c r="F118" s="220"/>
      <c r="G118" s="221"/>
      <c r="H118" s="220"/>
      <c r="I118" s="220"/>
      <c r="J118" s="222"/>
      <c r="K118" s="222"/>
      <c r="L118" s="220"/>
      <c r="M118" s="832"/>
      <c r="N118" s="614"/>
      <c r="O118" s="833"/>
      <c r="P118" s="833"/>
      <c r="Q118" s="832"/>
      <c r="R118" s="614"/>
      <c r="S118" s="834"/>
      <c r="T118" s="570"/>
      <c r="U118" s="220"/>
      <c r="V118" s="839"/>
      <c r="W118" s="570"/>
      <c r="X118" s="220"/>
      <c r="Y118" s="839"/>
      <c r="Z118" s="570"/>
      <c r="AA118" s="220"/>
      <c r="AB118" s="839"/>
      <c r="AC118" s="222"/>
      <c r="AD118" s="222"/>
      <c r="AE118" s="220"/>
      <c r="AF118" s="852"/>
      <c r="AG118" s="853">
        <f>SUM(AG117:AH117)</f>
        <v>0</v>
      </c>
      <c r="AH118" s="220"/>
      <c r="AI118" s="220"/>
      <c r="AJ118" s="220"/>
      <c r="AK118" s="220"/>
      <c r="AL118" s="220"/>
      <c r="AM118" s="220"/>
      <c r="AN118" s="220"/>
      <c r="AO118" s="852"/>
      <c r="AP118" s="852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  <c r="BA118" s="220"/>
      <c r="BB118" s="220"/>
    </row>
    <row r="119" spans="2:57" s="57" customFormat="1">
      <c r="B119" s="220"/>
      <c r="C119" s="220"/>
      <c r="D119" s="220"/>
      <c r="E119" s="220"/>
      <c r="F119" s="220"/>
      <c r="G119" s="221"/>
      <c r="H119" s="220"/>
      <c r="I119" s="220"/>
      <c r="J119" s="222"/>
      <c r="K119" s="222"/>
      <c r="L119" s="220"/>
      <c r="M119" s="832"/>
      <c r="N119" s="614"/>
      <c r="O119" s="833"/>
      <c r="P119" s="833"/>
      <c r="Q119" s="832"/>
      <c r="R119" s="614"/>
      <c r="S119" s="834"/>
      <c r="T119" s="839"/>
      <c r="U119" s="220"/>
      <c r="V119" s="840"/>
      <c r="W119" s="839"/>
      <c r="X119" s="220"/>
      <c r="Y119" s="840"/>
      <c r="Z119" s="839"/>
      <c r="AA119" s="220"/>
      <c r="AB119" s="840"/>
      <c r="AC119" s="222"/>
      <c r="AD119" s="222"/>
      <c r="AE119" s="220"/>
      <c r="AF119" s="852"/>
      <c r="AG119" s="220"/>
      <c r="AH119" s="220"/>
      <c r="AI119" s="220"/>
      <c r="AJ119" s="220"/>
      <c r="AK119" s="220"/>
      <c r="AL119" s="220"/>
      <c r="AM119" s="220"/>
      <c r="AN119" s="220"/>
      <c r="AO119" s="228"/>
      <c r="AP119" s="228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  <c r="BA119" s="220"/>
      <c r="BB119" s="220"/>
    </row>
    <row r="120" spans="2:57" s="57" customFormat="1">
      <c r="B120" s="220"/>
      <c r="C120" s="220"/>
      <c r="D120" s="220"/>
      <c r="E120" s="220"/>
      <c r="F120" s="220"/>
      <c r="G120" s="221"/>
      <c r="H120" s="220"/>
      <c r="I120" s="220"/>
      <c r="J120" s="222"/>
      <c r="K120" s="222"/>
      <c r="L120" s="220"/>
      <c r="M120" s="832"/>
      <c r="N120" s="614"/>
      <c r="O120" s="833"/>
      <c r="P120" s="833"/>
      <c r="Q120" s="832"/>
      <c r="R120" s="614"/>
      <c r="S120" s="834"/>
      <c r="T120" s="839"/>
      <c r="U120" s="220"/>
      <c r="V120" s="840"/>
      <c r="W120" s="839"/>
      <c r="X120" s="220"/>
      <c r="Y120" s="840"/>
      <c r="Z120" s="839"/>
      <c r="AA120" s="220"/>
      <c r="AB120" s="840"/>
      <c r="AC120" s="222"/>
      <c r="AD120" s="222"/>
      <c r="AE120" s="220"/>
      <c r="AF120" s="852"/>
      <c r="AG120" s="220"/>
      <c r="AH120" s="220"/>
      <c r="AI120" s="220"/>
      <c r="AJ120" s="220"/>
      <c r="AK120" s="220"/>
      <c r="AL120" s="220"/>
      <c r="AM120" s="220"/>
      <c r="AN120" s="220"/>
      <c r="AO120" s="228"/>
      <c r="AP120" s="228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  <c r="BA120" s="220"/>
      <c r="BB120" s="220"/>
    </row>
    <row r="121" spans="2:57">
      <c r="B121" s="224"/>
      <c r="C121" s="224"/>
      <c r="D121" s="224"/>
      <c r="E121" s="224"/>
      <c r="F121" s="224"/>
      <c r="G121" s="248"/>
      <c r="H121" s="224"/>
      <c r="I121" s="224"/>
      <c r="J121" s="227"/>
      <c r="K121" s="227"/>
      <c r="L121" s="224"/>
      <c r="M121" s="249"/>
      <c r="N121" s="250"/>
      <c r="O121" s="251"/>
      <c r="P121" s="251"/>
      <c r="Q121" s="249"/>
      <c r="R121" s="250"/>
      <c r="S121" s="330"/>
      <c r="T121" s="332"/>
      <c r="U121" s="224"/>
      <c r="V121" s="229"/>
      <c r="W121" s="332"/>
      <c r="X121" s="224"/>
      <c r="Y121" s="229"/>
      <c r="Z121" s="332"/>
      <c r="AA121" s="224"/>
      <c r="AB121" s="229"/>
      <c r="AC121" s="227"/>
      <c r="AD121" s="227"/>
      <c r="AE121" s="224"/>
      <c r="AF121" s="228"/>
      <c r="AG121" s="224"/>
      <c r="AH121" s="224"/>
      <c r="AI121" s="224"/>
      <c r="AJ121" s="224"/>
      <c r="AK121" s="220"/>
      <c r="AL121" s="224"/>
      <c r="AM121" s="224"/>
      <c r="AN121" s="224"/>
      <c r="AO121" s="228"/>
      <c r="AP121" s="228"/>
      <c r="AQ121" s="224"/>
      <c r="AR121" s="220"/>
      <c r="AS121" s="220"/>
      <c r="AT121" s="224"/>
      <c r="AU121" s="220"/>
      <c r="AV121" s="220"/>
      <c r="AW121" s="224"/>
      <c r="AX121" s="224"/>
      <c r="AY121" s="224"/>
      <c r="AZ121" s="224"/>
      <c r="BA121" s="224"/>
      <c r="BB121" s="224"/>
    </row>
    <row r="122" spans="2:57">
      <c r="B122" s="224"/>
      <c r="C122" s="224"/>
      <c r="D122" s="224"/>
      <c r="E122" s="224"/>
      <c r="F122" s="224"/>
      <c r="G122" s="248"/>
      <c r="H122" s="224"/>
      <c r="I122" s="224"/>
      <c r="J122" s="227"/>
      <c r="K122" s="227"/>
      <c r="L122" s="224"/>
      <c r="M122" s="249"/>
      <c r="N122" s="250"/>
      <c r="O122" s="251"/>
      <c r="P122" s="251"/>
      <c r="Q122" s="249"/>
      <c r="R122" s="250"/>
      <c r="S122" s="330"/>
      <c r="T122" s="332"/>
      <c r="U122" s="224"/>
      <c r="V122" s="229"/>
      <c r="W122" s="332"/>
      <c r="X122" s="224"/>
      <c r="Y122" s="229"/>
      <c r="Z122" s="332"/>
      <c r="AA122" s="224"/>
      <c r="AB122" s="229"/>
      <c r="AC122" s="227"/>
      <c r="AD122" s="227"/>
      <c r="AE122" s="224"/>
      <c r="AF122" s="228"/>
      <c r="AG122" s="224"/>
      <c r="AH122" s="224"/>
      <c r="AI122" s="224"/>
      <c r="AJ122" s="224"/>
      <c r="AK122" s="220"/>
      <c r="AL122" s="224"/>
      <c r="AM122" s="224"/>
      <c r="AN122" s="224"/>
      <c r="AO122" s="228"/>
      <c r="AP122" s="228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</row>
    <row r="123" spans="2:57">
      <c r="B123" s="224"/>
      <c r="C123" s="224"/>
      <c r="D123" s="224"/>
      <c r="E123" s="224"/>
      <c r="F123" s="224"/>
      <c r="G123" s="248"/>
      <c r="H123" s="224"/>
      <c r="I123" s="224"/>
      <c r="J123" s="227"/>
      <c r="K123" s="227"/>
      <c r="L123" s="224"/>
      <c r="M123" s="249"/>
      <c r="N123" s="250"/>
      <c r="O123" s="251"/>
      <c r="P123" s="251"/>
      <c r="Q123" s="249"/>
      <c r="R123" s="250"/>
      <c r="S123" s="330"/>
      <c r="T123" s="332"/>
      <c r="U123" s="224"/>
      <c r="V123" s="229"/>
      <c r="W123" s="332"/>
      <c r="X123" s="224"/>
      <c r="Y123" s="229"/>
      <c r="Z123" s="332"/>
      <c r="AA123" s="224"/>
      <c r="AB123" s="229"/>
      <c r="AC123" s="227"/>
      <c r="AD123" s="227"/>
      <c r="AE123" s="224"/>
      <c r="AF123" s="228"/>
      <c r="AG123" s="224"/>
      <c r="AH123" s="224"/>
      <c r="AI123" s="224"/>
      <c r="AJ123" s="224"/>
      <c r="AK123" s="220"/>
      <c r="AL123" s="224"/>
      <c r="AM123" s="224"/>
      <c r="AN123" s="224"/>
      <c r="AO123" s="228"/>
      <c r="AP123" s="228"/>
      <c r="AQ123" s="224"/>
      <c r="AR123" s="224"/>
      <c r="AS123" s="224"/>
      <c r="AT123" s="224"/>
      <c r="AU123" s="224"/>
      <c r="AV123" s="224"/>
      <c r="AW123" s="224"/>
      <c r="AX123" s="224"/>
      <c r="AY123" s="224"/>
      <c r="AZ123" s="224"/>
      <c r="BA123" s="224"/>
      <c r="BB123" s="224"/>
    </row>
    <row r="124" spans="2:57">
      <c r="B124" s="224"/>
      <c r="C124" s="224"/>
      <c r="D124" s="224"/>
      <c r="E124" s="224"/>
      <c r="F124" s="224"/>
      <c r="G124" s="248"/>
      <c r="H124" s="224"/>
      <c r="I124" s="224"/>
      <c r="J124" s="227"/>
      <c r="K124" s="227"/>
      <c r="L124" s="224"/>
      <c r="M124" s="249"/>
      <c r="N124" s="250"/>
      <c r="O124" s="251"/>
      <c r="P124" s="251"/>
      <c r="Q124" s="249"/>
      <c r="R124" s="250"/>
      <c r="S124" s="330"/>
      <c r="T124" s="332"/>
      <c r="U124" s="224"/>
      <c r="V124" s="229"/>
      <c r="W124" s="332"/>
      <c r="X124" s="224"/>
      <c r="Y124" s="229"/>
      <c r="Z124" s="332"/>
      <c r="AA124" s="224"/>
      <c r="AB124" s="229"/>
      <c r="AC124" s="227"/>
      <c r="AD124" s="227"/>
      <c r="AE124" s="224"/>
      <c r="AF124" s="228"/>
      <c r="AG124" s="224"/>
      <c r="AH124" s="224"/>
      <c r="AI124" s="224"/>
      <c r="AJ124" s="224"/>
      <c r="AK124" s="220"/>
      <c r="AL124" s="224"/>
      <c r="AM124" s="224"/>
      <c r="AN124" s="224"/>
      <c r="AO124" s="228"/>
      <c r="AP124" s="228"/>
      <c r="AQ124" s="224"/>
      <c r="AR124" s="224"/>
      <c r="AS124" s="224"/>
      <c r="AT124" s="224"/>
      <c r="AU124" s="224"/>
      <c r="AV124" s="224"/>
      <c r="AW124" s="224"/>
      <c r="AX124" s="224"/>
      <c r="AY124" s="224"/>
      <c r="AZ124" s="224"/>
      <c r="BA124" s="224"/>
      <c r="BB124" s="224"/>
    </row>
    <row r="125" spans="2:57">
      <c r="B125" s="224"/>
      <c r="C125" s="224"/>
      <c r="D125" s="224"/>
      <c r="E125" s="224"/>
      <c r="F125" s="224"/>
      <c r="G125" s="248"/>
      <c r="H125" s="224"/>
      <c r="I125" s="224"/>
      <c r="J125" s="227"/>
      <c r="K125" s="227"/>
      <c r="L125" s="224"/>
      <c r="M125" s="249"/>
      <c r="N125" s="250"/>
      <c r="O125" s="251"/>
      <c r="P125" s="251"/>
      <c r="Q125" s="249"/>
      <c r="R125" s="250"/>
      <c r="S125" s="330"/>
      <c r="T125" s="332"/>
      <c r="U125" s="224"/>
      <c r="V125" s="229"/>
      <c r="W125" s="332"/>
      <c r="X125" s="224"/>
      <c r="Y125" s="229"/>
      <c r="Z125" s="332"/>
      <c r="AA125" s="224"/>
      <c r="AB125" s="229"/>
      <c r="AC125" s="227"/>
      <c r="AD125" s="227"/>
      <c r="AE125" s="224"/>
      <c r="AF125" s="228"/>
      <c r="AG125" s="224"/>
      <c r="AH125" s="224"/>
      <c r="AI125" s="224"/>
      <c r="AJ125" s="224"/>
      <c r="AK125" s="220"/>
      <c r="AL125" s="224"/>
      <c r="AM125" s="224"/>
      <c r="AN125" s="224"/>
      <c r="AO125" s="977"/>
      <c r="AP125" s="977"/>
      <c r="AQ125" s="976"/>
      <c r="AR125" s="976"/>
      <c r="AS125" s="224"/>
      <c r="AT125" s="224"/>
      <c r="AU125" s="224"/>
      <c r="AV125" s="224"/>
      <c r="AW125" s="224"/>
      <c r="AX125" s="224"/>
      <c r="AY125" s="224"/>
      <c r="AZ125" s="224"/>
      <c r="BA125" s="224"/>
      <c r="BB125" s="224"/>
    </row>
    <row r="126" spans="2:57">
      <c r="B126" s="224"/>
      <c r="C126" s="224"/>
      <c r="D126" s="224"/>
      <c r="E126" s="224"/>
      <c r="F126" s="224"/>
      <c r="G126" s="248"/>
      <c r="H126" s="224"/>
      <c r="I126" s="224"/>
      <c r="J126" s="227"/>
      <c r="K126" s="227"/>
      <c r="L126" s="224"/>
      <c r="M126" s="249"/>
      <c r="N126" s="250"/>
      <c r="O126" s="251"/>
      <c r="P126" s="251"/>
      <c r="Q126" s="249"/>
      <c r="R126" s="250"/>
      <c r="S126" s="330"/>
      <c r="T126" s="332"/>
      <c r="U126" s="224"/>
      <c r="V126" s="229"/>
      <c r="W126" s="332"/>
      <c r="X126" s="224"/>
      <c r="Y126" s="229"/>
      <c r="Z126" s="332"/>
      <c r="AA126" s="224"/>
      <c r="AB126" s="229"/>
      <c r="AC126" s="227"/>
      <c r="AD126" s="227"/>
      <c r="AE126" s="224"/>
      <c r="AF126" s="228"/>
      <c r="AG126" s="224"/>
      <c r="AH126" s="224"/>
      <c r="AI126" s="224"/>
      <c r="AJ126" s="224"/>
      <c r="AK126" s="220"/>
      <c r="AL126" s="224"/>
      <c r="AM126" s="224"/>
      <c r="AN126" s="224"/>
      <c r="AO126" s="977"/>
      <c r="AP126" s="977"/>
      <c r="AQ126" s="976"/>
      <c r="AR126" s="976"/>
      <c r="AS126" s="224"/>
      <c r="AT126" s="224"/>
      <c r="AU126" s="224"/>
      <c r="AV126" s="224"/>
      <c r="AW126" s="224"/>
      <c r="AX126" s="224"/>
      <c r="AY126" s="224"/>
      <c r="AZ126" s="224"/>
      <c r="BA126" s="224"/>
      <c r="BB126" s="224"/>
    </row>
    <row r="127" spans="2:57" s="820" customFormat="1">
      <c r="G127" s="978"/>
      <c r="J127" s="979"/>
      <c r="K127" s="979"/>
      <c r="M127" s="34"/>
      <c r="N127" s="821"/>
      <c r="O127" s="822"/>
      <c r="P127" s="822"/>
      <c r="Q127" s="34"/>
      <c r="R127" s="821"/>
      <c r="S127" s="823"/>
      <c r="T127" s="26"/>
      <c r="V127" s="980"/>
      <c r="W127" s="26"/>
      <c r="Y127" s="980"/>
      <c r="Z127" s="26"/>
      <c r="AB127" s="980"/>
      <c r="AC127" s="979"/>
      <c r="AD127" s="979"/>
      <c r="AF127" s="981"/>
      <c r="AK127" s="638"/>
      <c r="AO127" s="981"/>
      <c r="AP127" s="981"/>
    </row>
  </sheetData>
  <sheetProtection password="83D4" sheet="1" objects="1" scenarios="1"/>
  <mergeCells count="20">
    <mergeCell ref="AO86:AP86"/>
    <mergeCell ref="AO45:AP45"/>
    <mergeCell ref="AO56:AP56"/>
    <mergeCell ref="AO63:AP63"/>
    <mergeCell ref="AO69:AP69"/>
    <mergeCell ref="AO25:AP25"/>
    <mergeCell ref="AO77:AP77"/>
    <mergeCell ref="AR48:AS48"/>
    <mergeCell ref="AR30:AS30"/>
    <mergeCell ref="G2:S2"/>
    <mergeCell ref="AO7:AP7"/>
    <mergeCell ref="AO6:AP6"/>
    <mergeCell ref="AR16:AS16"/>
    <mergeCell ref="AR6:AS6"/>
    <mergeCell ref="AR7:AS7"/>
    <mergeCell ref="AR40:AS40"/>
    <mergeCell ref="AO44:AP44"/>
    <mergeCell ref="AR36:AR37"/>
    <mergeCell ref="AR25:AS25"/>
    <mergeCell ref="AR21:AR22"/>
  </mergeCells>
  <phoneticPr fontId="5"/>
  <conditionalFormatting sqref="F7:F116">
    <cfRule type="expression" dxfId="614" priority="115" stopIfTrue="1">
      <formula>I7=2</formula>
    </cfRule>
  </conditionalFormatting>
  <conditionalFormatting sqref="G7:G116">
    <cfRule type="expression" dxfId="613" priority="116" stopIfTrue="1">
      <formula>I7=2</formula>
    </cfRule>
  </conditionalFormatting>
  <conditionalFormatting sqref="W7:W116">
    <cfRule type="expression" dxfId="612" priority="121" stopIfTrue="1">
      <formula>I7=""</formula>
    </cfRule>
  </conditionalFormatting>
  <conditionalFormatting sqref="R7:R116">
    <cfRule type="expression" dxfId="611" priority="123" stopIfTrue="1">
      <formula>I7=""</formula>
    </cfRule>
  </conditionalFormatting>
  <conditionalFormatting sqref="X7:X116">
    <cfRule type="expression" dxfId="610" priority="235" stopIfTrue="1">
      <formula>I7=""</formula>
    </cfRule>
  </conditionalFormatting>
  <conditionalFormatting sqref="O7:O116">
    <cfRule type="expression" dxfId="609" priority="236" stopIfTrue="1">
      <formula>ISNA(P7)</formula>
    </cfRule>
    <cfRule type="expression" dxfId="608" priority="237" stopIfTrue="1">
      <formula>I7=""</formula>
    </cfRule>
  </conditionalFormatting>
  <conditionalFormatting sqref="U7:U116">
    <cfRule type="expression" dxfId="607" priority="245" stopIfTrue="1">
      <formula>ISNA(V7)</formula>
    </cfRule>
    <cfRule type="expression" dxfId="606" priority="246" stopIfTrue="1">
      <formula>I7=""</formula>
    </cfRule>
  </conditionalFormatting>
  <conditionalFormatting sqref="I7:I116">
    <cfRule type="cellIs" dxfId="605" priority="124" stopIfTrue="1" operator="equal">
      <formula>2</formula>
    </cfRule>
  </conditionalFormatting>
  <conditionalFormatting sqref="Q7">
    <cfRule type="expression" dxfId="604" priority="125" stopIfTrue="1">
      <formula>$I$7=""</formula>
    </cfRule>
  </conditionalFormatting>
  <conditionalFormatting sqref="Q8">
    <cfRule type="expression" dxfId="603" priority="126" stopIfTrue="1">
      <formula>$I$8=""</formula>
    </cfRule>
  </conditionalFormatting>
  <conditionalFormatting sqref="Q9">
    <cfRule type="expression" dxfId="602" priority="127" stopIfTrue="1">
      <formula>$I$9=""</formula>
    </cfRule>
  </conditionalFormatting>
  <conditionalFormatting sqref="Q10">
    <cfRule type="expression" dxfId="601" priority="128" stopIfTrue="1">
      <formula>$I$10=""</formula>
    </cfRule>
  </conditionalFormatting>
  <conditionalFormatting sqref="Q11">
    <cfRule type="expression" dxfId="600" priority="129" stopIfTrue="1">
      <formula>$I$11=""</formula>
    </cfRule>
  </conditionalFormatting>
  <conditionalFormatting sqref="Q12">
    <cfRule type="expression" dxfId="599" priority="130" stopIfTrue="1">
      <formula>$I$12=""</formula>
    </cfRule>
  </conditionalFormatting>
  <conditionalFormatting sqref="Q13">
    <cfRule type="expression" dxfId="598" priority="131" stopIfTrue="1">
      <formula>$I$13=""</formula>
    </cfRule>
  </conditionalFormatting>
  <conditionalFormatting sqref="Q14">
    <cfRule type="expression" dxfId="597" priority="132" stopIfTrue="1">
      <formula>$I$14=""</formula>
    </cfRule>
  </conditionalFormatting>
  <conditionalFormatting sqref="Q15">
    <cfRule type="expression" dxfId="596" priority="133" stopIfTrue="1">
      <formula>$I$15=""</formula>
    </cfRule>
  </conditionalFormatting>
  <conditionalFormatting sqref="Q16">
    <cfRule type="expression" dxfId="595" priority="134" stopIfTrue="1">
      <formula>$I$16=""</formula>
    </cfRule>
  </conditionalFormatting>
  <conditionalFormatting sqref="Q17">
    <cfRule type="expression" dxfId="594" priority="135" stopIfTrue="1">
      <formula>$I$17=""</formula>
    </cfRule>
  </conditionalFormatting>
  <conditionalFormatting sqref="Q18">
    <cfRule type="expression" dxfId="593" priority="136" stopIfTrue="1">
      <formula>$I$18=""</formula>
    </cfRule>
  </conditionalFormatting>
  <conditionalFormatting sqref="Q19">
    <cfRule type="expression" dxfId="592" priority="137" stopIfTrue="1">
      <formula>$I$19=""</formula>
    </cfRule>
  </conditionalFormatting>
  <conditionalFormatting sqref="Q20">
    <cfRule type="expression" dxfId="591" priority="138" stopIfTrue="1">
      <formula>$I$20=""</formula>
    </cfRule>
  </conditionalFormatting>
  <conditionalFormatting sqref="Q21">
    <cfRule type="expression" dxfId="590" priority="139" stopIfTrue="1">
      <formula>$I$21=""</formula>
    </cfRule>
  </conditionalFormatting>
  <conditionalFormatting sqref="Q22">
    <cfRule type="expression" dxfId="589" priority="140" stopIfTrue="1">
      <formula>$I$22=""</formula>
    </cfRule>
  </conditionalFormatting>
  <conditionalFormatting sqref="Q23">
    <cfRule type="expression" dxfId="588" priority="141" stopIfTrue="1">
      <formula>$I$23=""</formula>
    </cfRule>
  </conditionalFormatting>
  <conditionalFormatting sqref="Q24">
    <cfRule type="expression" dxfId="587" priority="142" stopIfTrue="1">
      <formula>$I$24=""</formula>
    </cfRule>
  </conditionalFormatting>
  <conditionalFormatting sqref="Q25">
    <cfRule type="expression" dxfId="586" priority="143" stopIfTrue="1">
      <formula>$I$25=""</formula>
    </cfRule>
  </conditionalFormatting>
  <conditionalFormatting sqref="Q26">
    <cfRule type="expression" dxfId="585" priority="144" stopIfTrue="1">
      <formula>$I$26=""</formula>
    </cfRule>
  </conditionalFormatting>
  <conditionalFormatting sqref="Q27">
    <cfRule type="expression" dxfId="584" priority="145" stopIfTrue="1">
      <formula>$I$27=""</formula>
    </cfRule>
  </conditionalFormatting>
  <conditionalFormatting sqref="Q28">
    <cfRule type="expression" dxfId="583" priority="146" stopIfTrue="1">
      <formula>$I$28=""</formula>
    </cfRule>
  </conditionalFormatting>
  <conditionalFormatting sqref="Q29">
    <cfRule type="expression" dxfId="582" priority="147" stopIfTrue="1">
      <formula>$I$29=""</formula>
    </cfRule>
  </conditionalFormatting>
  <conditionalFormatting sqref="Q30">
    <cfRule type="expression" dxfId="581" priority="148" stopIfTrue="1">
      <formula>$I$30=""</formula>
    </cfRule>
  </conditionalFormatting>
  <conditionalFormatting sqref="Q31">
    <cfRule type="expression" dxfId="580" priority="149" stopIfTrue="1">
      <formula>$I$31=""</formula>
    </cfRule>
  </conditionalFormatting>
  <conditionalFormatting sqref="Q32">
    <cfRule type="expression" dxfId="579" priority="150" stopIfTrue="1">
      <formula>$I$32=""</formula>
    </cfRule>
  </conditionalFormatting>
  <conditionalFormatting sqref="Q33">
    <cfRule type="expression" dxfId="578" priority="151" stopIfTrue="1">
      <formula>$I$33=""</formula>
    </cfRule>
  </conditionalFormatting>
  <conditionalFormatting sqref="Q34">
    <cfRule type="expression" dxfId="577" priority="152" stopIfTrue="1">
      <formula>$I$34=""</formula>
    </cfRule>
  </conditionalFormatting>
  <conditionalFormatting sqref="Q35">
    <cfRule type="expression" dxfId="576" priority="153" stopIfTrue="1">
      <formula>$I$35=""</formula>
    </cfRule>
  </conditionalFormatting>
  <conditionalFormatting sqref="Q36">
    <cfRule type="expression" dxfId="575" priority="154" stopIfTrue="1">
      <formula>$I$36=""</formula>
    </cfRule>
  </conditionalFormatting>
  <conditionalFormatting sqref="Q47">
    <cfRule type="expression" dxfId="574" priority="155" stopIfTrue="1">
      <formula>$I$47=""</formula>
    </cfRule>
  </conditionalFormatting>
  <conditionalFormatting sqref="Q48">
    <cfRule type="expression" dxfId="573" priority="156" stopIfTrue="1">
      <formula>$I$48=""</formula>
    </cfRule>
  </conditionalFormatting>
  <conditionalFormatting sqref="Q49">
    <cfRule type="expression" dxfId="572" priority="157" stopIfTrue="1">
      <formula>$I$49=""</formula>
    </cfRule>
  </conditionalFormatting>
  <conditionalFormatting sqref="Q50">
    <cfRule type="expression" dxfId="571" priority="158" stopIfTrue="1">
      <formula>$I$50=""</formula>
    </cfRule>
  </conditionalFormatting>
  <conditionalFormatting sqref="Q51">
    <cfRule type="expression" dxfId="570" priority="159" stopIfTrue="1">
      <formula>$I$51=""</formula>
    </cfRule>
  </conditionalFormatting>
  <conditionalFormatting sqref="Q52">
    <cfRule type="expression" dxfId="569" priority="160" stopIfTrue="1">
      <formula>$I$52=""</formula>
    </cfRule>
  </conditionalFormatting>
  <conditionalFormatting sqref="Q53">
    <cfRule type="expression" dxfId="568" priority="161" stopIfTrue="1">
      <formula>$I$53=""</formula>
    </cfRule>
  </conditionalFormatting>
  <conditionalFormatting sqref="Q54">
    <cfRule type="expression" dxfId="567" priority="162" stopIfTrue="1">
      <formula>$I$54=""</formula>
    </cfRule>
  </conditionalFormatting>
  <conditionalFormatting sqref="Q55">
    <cfRule type="expression" dxfId="566" priority="163" stopIfTrue="1">
      <formula>$I$55=""</formula>
    </cfRule>
  </conditionalFormatting>
  <conditionalFormatting sqref="Q56">
    <cfRule type="expression" dxfId="565" priority="164" stopIfTrue="1">
      <formula>$I$56=""</formula>
    </cfRule>
  </conditionalFormatting>
  <conditionalFormatting sqref="Q57">
    <cfRule type="expression" dxfId="564" priority="165" stopIfTrue="1">
      <formula>$I$57=""</formula>
    </cfRule>
  </conditionalFormatting>
  <conditionalFormatting sqref="Q58">
    <cfRule type="expression" dxfId="563" priority="166" stopIfTrue="1">
      <formula>$I$58=""</formula>
    </cfRule>
  </conditionalFormatting>
  <conditionalFormatting sqref="Q59">
    <cfRule type="expression" dxfId="562" priority="167" stopIfTrue="1">
      <formula>$I$59=""</formula>
    </cfRule>
  </conditionalFormatting>
  <conditionalFormatting sqref="Q60">
    <cfRule type="expression" dxfId="561" priority="168" stopIfTrue="1">
      <formula>$I$60=""</formula>
    </cfRule>
  </conditionalFormatting>
  <conditionalFormatting sqref="Q61">
    <cfRule type="expression" dxfId="560" priority="169" stopIfTrue="1">
      <formula>$I$61=""</formula>
    </cfRule>
  </conditionalFormatting>
  <conditionalFormatting sqref="Q62">
    <cfRule type="expression" dxfId="559" priority="170" stopIfTrue="1">
      <formula>$I$62=""</formula>
    </cfRule>
  </conditionalFormatting>
  <conditionalFormatting sqref="Q63">
    <cfRule type="expression" dxfId="558" priority="171" stopIfTrue="1">
      <formula>$I$63=""</formula>
    </cfRule>
  </conditionalFormatting>
  <conditionalFormatting sqref="Q64">
    <cfRule type="expression" dxfId="557" priority="172" stopIfTrue="1">
      <formula>$I$64=""</formula>
    </cfRule>
  </conditionalFormatting>
  <conditionalFormatting sqref="Q65">
    <cfRule type="expression" dxfId="556" priority="173" stopIfTrue="1">
      <formula>$I$65=""</formula>
    </cfRule>
  </conditionalFormatting>
  <conditionalFormatting sqref="Q66">
    <cfRule type="expression" dxfId="555" priority="174" stopIfTrue="1">
      <formula>$I$66=""</formula>
    </cfRule>
  </conditionalFormatting>
  <conditionalFormatting sqref="Q67">
    <cfRule type="expression" dxfId="554" priority="175" stopIfTrue="1">
      <formula>$I$67=""</formula>
    </cfRule>
  </conditionalFormatting>
  <conditionalFormatting sqref="Q68">
    <cfRule type="expression" dxfId="553" priority="176" stopIfTrue="1">
      <formula>$I$68=""</formula>
    </cfRule>
  </conditionalFormatting>
  <conditionalFormatting sqref="Q69">
    <cfRule type="expression" dxfId="552" priority="177" stopIfTrue="1">
      <formula>$I$69=""</formula>
    </cfRule>
  </conditionalFormatting>
  <conditionalFormatting sqref="Q71">
    <cfRule type="expression" dxfId="551" priority="178" stopIfTrue="1">
      <formula>$I$71=""</formula>
    </cfRule>
  </conditionalFormatting>
  <conditionalFormatting sqref="Q72">
    <cfRule type="expression" dxfId="550" priority="179" stopIfTrue="1">
      <formula>$I$72=""</formula>
    </cfRule>
  </conditionalFormatting>
  <conditionalFormatting sqref="Q73">
    <cfRule type="expression" dxfId="549" priority="180" stopIfTrue="1">
      <formula>$I$73=""</formula>
    </cfRule>
  </conditionalFormatting>
  <conditionalFormatting sqref="Q74">
    <cfRule type="expression" dxfId="548" priority="181" stopIfTrue="1">
      <formula>$I$74=""</formula>
    </cfRule>
  </conditionalFormatting>
  <conditionalFormatting sqref="Q75">
    <cfRule type="expression" dxfId="547" priority="182" stopIfTrue="1">
      <formula>$I$75=""</formula>
    </cfRule>
  </conditionalFormatting>
  <conditionalFormatting sqref="Q76">
    <cfRule type="expression" dxfId="546" priority="183" stopIfTrue="1">
      <formula>$I$76=""</formula>
    </cfRule>
  </conditionalFormatting>
  <conditionalFormatting sqref="Q77">
    <cfRule type="expression" dxfId="545" priority="184" stopIfTrue="1">
      <formula>$I$77=""</formula>
    </cfRule>
  </conditionalFormatting>
  <conditionalFormatting sqref="Q78">
    <cfRule type="expression" dxfId="544" priority="185" stopIfTrue="1">
      <formula>$I$78=""</formula>
    </cfRule>
  </conditionalFormatting>
  <conditionalFormatting sqref="Q79">
    <cfRule type="expression" dxfId="543" priority="186" stopIfTrue="1">
      <formula>$I$79=""</formula>
    </cfRule>
  </conditionalFormatting>
  <conditionalFormatting sqref="Q80">
    <cfRule type="expression" dxfId="542" priority="187" stopIfTrue="1">
      <formula>$I$80=""</formula>
    </cfRule>
  </conditionalFormatting>
  <conditionalFormatting sqref="Q81">
    <cfRule type="expression" dxfId="541" priority="188" stopIfTrue="1">
      <formula>$I$81=""</formula>
    </cfRule>
  </conditionalFormatting>
  <conditionalFormatting sqref="Q82">
    <cfRule type="expression" dxfId="540" priority="189" stopIfTrue="1">
      <formula>$I$82=""</formula>
    </cfRule>
  </conditionalFormatting>
  <conditionalFormatting sqref="Q83">
    <cfRule type="expression" dxfId="539" priority="190" stopIfTrue="1">
      <formula>$I$83=""</formula>
    </cfRule>
  </conditionalFormatting>
  <conditionalFormatting sqref="Q84">
    <cfRule type="expression" dxfId="538" priority="191" stopIfTrue="1">
      <formula>$I$84=""</formula>
    </cfRule>
  </conditionalFormatting>
  <conditionalFormatting sqref="Q85">
    <cfRule type="expression" dxfId="537" priority="192" stopIfTrue="1">
      <formula>$I$85=""</formula>
    </cfRule>
  </conditionalFormatting>
  <conditionalFormatting sqref="Q86">
    <cfRule type="expression" dxfId="536" priority="193" stopIfTrue="1">
      <formula>$I$86=""</formula>
    </cfRule>
  </conditionalFormatting>
  <conditionalFormatting sqref="Q87">
    <cfRule type="expression" dxfId="535" priority="194" stopIfTrue="1">
      <formula>$I$87=""</formula>
    </cfRule>
  </conditionalFormatting>
  <conditionalFormatting sqref="Q88">
    <cfRule type="expression" dxfId="534" priority="195" stopIfTrue="1">
      <formula>$I$88=""</formula>
    </cfRule>
  </conditionalFormatting>
  <conditionalFormatting sqref="Q89">
    <cfRule type="expression" dxfId="533" priority="196" stopIfTrue="1">
      <formula>$I$89=""</formula>
    </cfRule>
  </conditionalFormatting>
  <conditionalFormatting sqref="Q90">
    <cfRule type="expression" dxfId="532" priority="197" stopIfTrue="1">
      <formula>$I$90=""</formula>
    </cfRule>
  </conditionalFormatting>
  <conditionalFormatting sqref="Q91">
    <cfRule type="expression" dxfId="531" priority="198" stopIfTrue="1">
      <formula>$I$91=""</formula>
    </cfRule>
  </conditionalFormatting>
  <conditionalFormatting sqref="Q92">
    <cfRule type="expression" dxfId="530" priority="199" stopIfTrue="1">
      <formula>$I$92=""</formula>
    </cfRule>
  </conditionalFormatting>
  <conditionalFormatting sqref="Q93">
    <cfRule type="expression" dxfId="529" priority="200" stopIfTrue="1">
      <formula>$I$93=""</formula>
    </cfRule>
  </conditionalFormatting>
  <conditionalFormatting sqref="Q94">
    <cfRule type="expression" dxfId="528" priority="201" stopIfTrue="1">
      <formula>$I$94=""</formula>
    </cfRule>
  </conditionalFormatting>
  <conditionalFormatting sqref="Q95">
    <cfRule type="expression" dxfId="527" priority="202" stopIfTrue="1">
      <formula>$I$95=""</formula>
    </cfRule>
  </conditionalFormatting>
  <conditionalFormatting sqref="Q96">
    <cfRule type="expression" dxfId="526" priority="203" stopIfTrue="1">
      <formula>$I$96=""</formula>
    </cfRule>
  </conditionalFormatting>
  <conditionalFormatting sqref="Q97">
    <cfRule type="expression" dxfId="525" priority="204" stopIfTrue="1">
      <formula>$I$97=""</formula>
    </cfRule>
  </conditionalFormatting>
  <conditionalFormatting sqref="Q98">
    <cfRule type="expression" dxfId="524" priority="205" stopIfTrue="1">
      <formula>$I$98=""</formula>
    </cfRule>
  </conditionalFormatting>
  <conditionalFormatting sqref="Q99">
    <cfRule type="expression" dxfId="523" priority="206" stopIfTrue="1">
      <formula>$I$99=""</formula>
    </cfRule>
  </conditionalFormatting>
  <conditionalFormatting sqref="Q100">
    <cfRule type="expression" dxfId="522" priority="207" stopIfTrue="1">
      <formula>$I$100=""</formula>
    </cfRule>
  </conditionalFormatting>
  <conditionalFormatting sqref="Q101">
    <cfRule type="expression" dxfId="521" priority="208" stopIfTrue="1">
      <formula>$I$101=""</formula>
    </cfRule>
  </conditionalFormatting>
  <conditionalFormatting sqref="Q102">
    <cfRule type="expression" dxfId="520" priority="209" stopIfTrue="1">
      <formula>$I$102=""</formula>
    </cfRule>
  </conditionalFormatting>
  <conditionalFormatting sqref="Q103">
    <cfRule type="expression" dxfId="519" priority="210" stopIfTrue="1">
      <formula>$I$103=""</formula>
    </cfRule>
  </conditionalFormatting>
  <conditionalFormatting sqref="Q104">
    <cfRule type="expression" dxfId="518" priority="211" stopIfTrue="1">
      <formula>$I$104=""</formula>
    </cfRule>
  </conditionalFormatting>
  <conditionalFormatting sqref="Q105">
    <cfRule type="expression" dxfId="517" priority="212" stopIfTrue="1">
      <formula>$I$105=""</formula>
    </cfRule>
  </conditionalFormatting>
  <conditionalFormatting sqref="Q106">
    <cfRule type="expression" dxfId="516" priority="213" stopIfTrue="1">
      <formula>$I$106=""</formula>
    </cfRule>
  </conditionalFormatting>
  <conditionalFormatting sqref="Q107">
    <cfRule type="expression" dxfId="515" priority="214" stopIfTrue="1">
      <formula>$I$107=""</formula>
    </cfRule>
  </conditionalFormatting>
  <conditionalFormatting sqref="Q108">
    <cfRule type="expression" dxfId="514" priority="215" stopIfTrue="1">
      <formula>$I$108=""</formula>
    </cfRule>
  </conditionalFormatting>
  <conditionalFormatting sqref="Q109">
    <cfRule type="expression" dxfId="513" priority="216" stopIfTrue="1">
      <formula>$I$109=""</formula>
    </cfRule>
  </conditionalFormatting>
  <conditionalFormatting sqref="Q110">
    <cfRule type="expression" dxfId="512" priority="217" stopIfTrue="1">
      <formula>$I$110=""</formula>
    </cfRule>
  </conditionalFormatting>
  <conditionalFormatting sqref="Q111">
    <cfRule type="expression" dxfId="511" priority="218" stopIfTrue="1">
      <formula>$I$111=""</formula>
    </cfRule>
  </conditionalFormatting>
  <conditionalFormatting sqref="Q112">
    <cfRule type="expression" dxfId="510" priority="219" stopIfTrue="1">
      <formula>$I$112=""</formula>
    </cfRule>
  </conditionalFormatting>
  <conditionalFormatting sqref="Q113">
    <cfRule type="expression" dxfId="509" priority="220" stopIfTrue="1">
      <formula>$I$113=""</formula>
    </cfRule>
  </conditionalFormatting>
  <conditionalFormatting sqref="Q114">
    <cfRule type="expression" dxfId="508" priority="221" stopIfTrue="1">
      <formula>$I$114=""</formula>
    </cfRule>
  </conditionalFormatting>
  <conditionalFormatting sqref="Q115">
    <cfRule type="expression" dxfId="507" priority="222" stopIfTrue="1">
      <formula>$I$115=""</formula>
    </cfRule>
  </conditionalFormatting>
  <conditionalFormatting sqref="Q116">
    <cfRule type="expression" dxfId="506" priority="223" stopIfTrue="1">
      <formula>$I$116=""</formula>
    </cfRule>
  </conditionalFormatting>
  <conditionalFormatting sqref="Q37">
    <cfRule type="expression" dxfId="505" priority="224" stopIfTrue="1">
      <formula>$I$37=""</formula>
    </cfRule>
  </conditionalFormatting>
  <conditionalFormatting sqref="Q38">
    <cfRule type="expression" dxfId="504" priority="225" stopIfTrue="1">
      <formula>$I$38=""</formula>
    </cfRule>
  </conditionalFormatting>
  <conditionalFormatting sqref="Q39">
    <cfRule type="expression" dxfId="503" priority="226" stopIfTrue="1">
      <formula>$I$39=""</formula>
    </cfRule>
  </conditionalFormatting>
  <conditionalFormatting sqref="Q40">
    <cfRule type="expression" dxfId="502" priority="227" stopIfTrue="1">
      <formula>$I$40=""</formula>
    </cfRule>
  </conditionalFormatting>
  <conditionalFormatting sqref="Q41">
    <cfRule type="expression" dxfId="501" priority="228" stopIfTrue="1">
      <formula>$I$41=""</formula>
    </cfRule>
  </conditionalFormatting>
  <conditionalFormatting sqref="Q42">
    <cfRule type="expression" dxfId="500" priority="229" stopIfTrue="1">
      <formula>$I$42=""</formula>
    </cfRule>
  </conditionalFormatting>
  <conditionalFormatting sqref="Q43">
    <cfRule type="expression" dxfId="499" priority="230" stopIfTrue="1">
      <formula>$I$43=""</formula>
    </cfRule>
  </conditionalFormatting>
  <conditionalFormatting sqref="Q44">
    <cfRule type="expression" dxfId="498" priority="231" stopIfTrue="1">
      <formula>$I$44=""</formula>
    </cfRule>
  </conditionalFormatting>
  <conditionalFormatting sqref="Q45">
    <cfRule type="expression" dxfId="497" priority="232" stopIfTrue="1">
      <formula>$I$45=""</formula>
    </cfRule>
  </conditionalFormatting>
  <conditionalFormatting sqref="Q46">
    <cfRule type="expression" dxfId="496" priority="233" stopIfTrue="1">
      <formula>$I$46=""</formula>
    </cfRule>
  </conditionalFormatting>
  <conditionalFormatting sqref="Q70">
    <cfRule type="expression" dxfId="495" priority="234" stopIfTrue="1">
      <formula>$I$70=""</formula>
    </cfRule>
  </conditionalFormatting>
  <conditionalFormatting sqref="R7:R116">
    <cfRule type="cellIs" dxfId="494" priority="112" operator="equal">
      <formula>"学校"</formula>
    </cfRule>
    <cfRule type="expression" dxfId="493" priority="113">
      <formula>"学校"</formula>
    </cfRule>
  </conditionalFormatting>
  <conditionalFormatting sqref="X7:X116">
    <cfRule type="cellIs" dxfId="492" priority="111" operator="equal">
      <formula>"学校"</formula>
    </cfRule>
  </conditionalFormatting>
  <conditionalFormatting sqref="W7">
    <cfRule type="expression" dxfId="491" priority="110" stopIfTrue="1">
      <formula>$I$7=""</formula>
    </cfRule>
  </conditionalFormatting>
  <conditionalFormatting sqref="W8">
    <cfRule type="expression" dxfId="490" priority="109" stopIfTrue="1">
      <formula>$I$8=""</formula>
    </cfRule>
  </conditionalFormatting>
  <conditionalFormatting sqref="W9">
    <cfRule type="expression" dxfId="489" priority="108" stopIfTrue="1">
      <formula>$I$9=""</formula>
    </cfRule>
  </conditionalFormatting>
  <conditionalFormatting sqref="W10">
    <cfRule type="expression" dxfId="488" priority="107" stopIfTrue="1">
      <formula>$I$10=""</formula>
    </cfRule>
  </conditionalFormatting>
  <conditionalFormatting sqref="W11">
    <cfRule type="expression" dxfId="487" priority="106" stopIfTrue="1">
      <formula>$I$11=""</formula>
    </cfRule>
  </conditionalFormatting>
  <conditionalFormatting sqref="W12">
    <cfRule type="expression" dxfId="486" priority="105" stopIfTrue="1">
      <formula>$I$12=""</formula>
    </cfRule>
  </conditionalFormatting>
  <conditionalFormatting sqref="W13">
    <cfRule type="expression" dxfId="485" priority="104" stopIfTrue="1">
      <formula>$I$13=""</formula>
    </cfRule>
  </conditionalFormatting>
  <conditionalFormatting sqref="W14">
    <cfRule type="expression" dxfId="484" priority="103" stopIfTrue="1">
      <formula>$I$14=""</formula>
    </cfRule>
  </conditionalFormatting>
  <conditionalFormatting sqref="W15">
    <cfRule type="expression" dxfId="483" priority="102" stopIfTrue="1">
      <formula>$I$15=""</formula>
    </cfRule>
  </conditionalFormatting>
  <conditionalFormatting sqref="W16">
    <cfRule type="expression" dxfId="482" priority="101" stopIfTrue="1">
      <formula>$I$16=""</formula>
    </cfRule>
  </conditionalFormatting>
  <conditionalFormatting sqref="W17">
    <cfRule type="expression" dxfId="481" priority="100" stopIfTrue="1">
      <formula>$I$17=""</formula>
    </cfRule>
  </conditionalFormatting>
  <conditionalFormatting sqref="W18">
    <cfRule type="expression" dxfId="480" priority="99" stopIfTrue="1">
      <formula>$I$18=""</formula>
    </cfRule>
  </conditionalFormatting>
  <conditionalFormatting sqref="W19">
    <cfRule type="expression" dxfId="479" priority="98" stopIfTrue="1">
      <formula>$I$19=""</formula>
    </cfRule>
  </conditionalFormatting>
  <conditionalFormatting sqref="W20">
    <cfRule type="expression" dxfId="478" priority="97" stopIfTrue="1">
      <formula>$I$20=""</formula>
    </cfRule>
  </conditionalFormatting>
  <conditionalFormatting sqref="W21">
    <cfRule type="expression" dxfId="477" priority="96" stopIfTrue="1">
      <formula>$I$21=""</formula>
    </cfRule>
  </conditionalFormatting>
  <conditionalFormatting sqref="W22">
    <cfRule type="expression" dxfId="476" priority="95" stopIfTrue="1">
      <formula>$I$22=""</formula>
    </cfRule>
  </conditionalFormatting>
  <conditionalFormatting sqref="W23">
    <cfRule type="expression" dxfId="475" priority="94" stopIfTrue="1">
      <formula>$I$23=""</formula>
    </cfRule>
  </conditionalFormatting>
  <conditionalFormatting sqref="W24">
    <cfRule type="expression" dxfId="474" priority="93" stopIfTrue="1">
      <formula>$I$24=""</formula>
    </cfRule>
  </conditionalFormatting>
  <conditionalFormatting sqref="W25">
    <cfRule type="expression" dxfId="473" priority="92" stopIfTrue="1">
      <formula>$I$25=""</formula>
    </cfRule>
  </conditionalFormatting>
  <conditionalFormatting sqref="W26">
    <cfRule type="expression" dxfId="472" priority="91" stopIfTrue="1">
      <formula>$I$26=""</formula>
    </cfRule>
  </conditionalFormatting>
  <conditionalFormatting sqref="W27">
    <cfRule type="expression" dxfId="471" priority="90" stopIfTrue="1">
      <formula>$I$27=""</formula>
    </cfRule>
  </conditionalFormatting>
  <conditionalFormatting sqref="W28">
    <cfRule type="expression" dxfId="470" priority="89" stopIfTrue="1">
      <formula>$I$28=""</formula>
    </cfRule>
  </conditionalFormatting>
  <conditionalFormatting sqref="W29">
    <cfRule type="expression" dxfId="469" priority="88" stopIfTrue="1">
      <formula>$I$29=""</formula>
    </cfRule>
  </conditionalFormatting>
  <conditionalFormatting sqref="W30">
    <cfRule type="expression" dxfId="468" priority="87" stopIfTrue="1">
      <formula>$I$30=""</formula>
    </cfRule>
  </conditionalFormatting>
  <conditionalFormatting sqref="W31">
    <cfRule type="expression" dxfId="467" priority="86" stopIfTrue="1">
      <formula>$I$31=""</formula>
    </cfRule>
  </conditionalFormatting>
  <conditionalFormatting sqref="W32">
    <cfRule type="expression" dxfId="466" priority="85" stopIfTrue="1">
      <formula>$I$32=""</formula>
    </cfRule>
  </conditionalFormatting>
  <conditionalFormatting sqref="W33">
    <cfRule type="expression" dxfId="465" priority="84" stopIfTrue="1">
      <formula>$I$33=""</formula>
    </cfRule>
  </conditionalFormatting>
  <conditionalFormatting sqref="W34">
    <cfRule type="expression" dxfId="464" priority="83" stopIfTrue="1">
      <formula>$I$34=""</formula>
    </cfRule>
  </conditionalFormatting>
  <conditionalFormatting sqref="W35">
    <cfRule type="expression" dxfId="463" priority="82" stopIfTrue="1">
      <formula>$I$35=""</formula>
    </cfRule>
  </conditionalFormatting>
  <conditionalFormatting sqref="W36">
    <cfRule type="expression" dxfId="462" priority="81" stopIfTrue="1">
      <formula>$I$36=""</formula>
    </cfRule>
  </conditionalFormatting>
  <conditionalFormatting sqref="W47">
    <cfRule type="expression" dxfId="461" priority="80" stopIfTrue="1">
      <formula>$I$47=""</formula>
    </cfRule>
  </conditionalFormatting>
  <conditionalFormatting sqref="W48">
    <cfRule type="expression" dxfId="460" priority="79" stopIfTrue="1">
      <formula>$I$48=""</formula>
    </cfRule>
  </conditionalFormatting>
  <conditionalFormatting sqref="W49">
    <cfRule type="expression" dxfId="459" priority="78" stopIfTrue="1">
      <formula>$I$49=""</formula>
    </cfRule>
  </conditionalFormatting>
  <conditionalFormatting sqref="W50">
    <cfRule type="expression" dxfId="458" priority="77" stopIfTrue="1">
      <formula>$I$50=""</formula>
    </cfRule>
  </conditionalFormatting>
  <conditionalFormatting sqref="W51">
    <cfRule type="expression" dxfId="457" priority="76" stopIfTrue="1">
      <formula>$I$51=""</formula>
    </cfRule>
  </conditionalFormatting>
  <conditionalFormatting sqref="W52">
    <cfRule type="expression" dxfId="456" priority="75" stopIfTrue="1">
      <formula>$I$52=""</formula>
    </cfRule>
  </conditionalFormatting>
  <conditionalFormatting sqref="W53">
    <cfRule type="expression" dxfId="455" priority="74" stopIfTrue="1">
      <formula>$I$53=""</formula>
    </cfRule>
  </conditionalFormatting>
  <conditionalFormatting sqref="W54">
    <cfRule type="expression" dxfId="454" priority="73" stopIfTrue="1">
      <formula>$I$54=""</formula>
    </cfRule>
  </conditionalFormatting>
  <conditionalFormatting sqref="W55">
    <cfRule type="expression" dxfId="453" priority="72" stopIfTrue="1">
      <formula>$I$55=""</formula>
    </cfRule>
  </conditionalFormatting>
  <conditionalFormatting sqref="W56">
    <cfRule type="expression" dxfId="452" priority="71" stopIfTrue="1">
      <formula>$I$56=""</formula>
    </cfRule>
  </conditionalFormatting>
  <conditionalFormatting sqref="W57">
    <cfRule type="expression" dxfId="451" priority="70" stopIfTrue="1">
      <formula>$I$57=""</formula>
    </cfRule>
  </conditionalFormatting>
  <conditionalFormatting sqref="W58">
    <cfRule type="expression" dxfId="450" priority="69" stopIfTrue="1">
      <formula>$I$58=""</formula>
    </cfRule>
  </conditionalFormatting>
  <conditionalFormatting sqref="W59">
    <cfRule type="expression" dxfId="449" priority="68" stopIfTrue="1">
      <formula>$I$59=""</formula>
    </cfRule>
  </conditionalFormatting>
  <conditionalFormatting sqref="W60">
    <cfRule type="expression" dxfId="448" priority="67" stopIfTrue="1">
      <formula>$I$60=""</formula>
    </cfRule>
  </conditionalFormatting>
  <conditionalFormatting sqref="W61">
    <cfRule type="expression" dxfId="447" priority="66" stopIfTrue="1">
      <formula>$I$61=""</formula>
    </cfRule>
  </conditionalFormatting>
  <conditionalFormatting sqref="W62">
    <cfRule type="expression" dxfId="446" priority="65" stopIfTrue="1">
      <formula>$I$62=""</formula>
    </cfRule>
  </conditionalFormatting>
  <conditionalFormatting sqref="W63">
    <cfRule type="expression" dxfId="445" priority="64" stopIfTrue="1">
      <formula>$I$63=""</formula>
    </cfRule>
  </conditionalFormatting>
  <conditionalFormatting sqref="W64">
    <cfRule type="expression" dxfId="444" priority="63" stopIfTrue="1">
      <formula>$I$64=""</formula>
    </cfRule>
  </conditionalFormatting>
  <conditionalFormatting sqref="W65">
    <cfRule type="expression" dxfId="443" priority="62" stopIfTrue="1">
      <formula>$I$65=""</formula>
    </cfRule>
  </conditionalFormatting>
  <conditionalFormatting sqref="W66">
    <cfRule type="expression" dxfId="442" priority="61" stopIfTrue="1">
      <formula>$I$66=""</formula>
    </cfRule>
  </conditionalFormatting>
  <conditionalFormatting sqref="W67">
    <cfRule type="expression" dxfId="441" priority="60" stopIfTrue="1">
      <formula>$I$67=""</formula>
    </cfRule>
  </conditionalFormatting>
  <conditionalFormatting sqref="W68">
    <cfRule type="expression" dxfId="440" priority="59" stopIfTrue="1">
      <formula>$I$68=""</formula>
    </cfRule>
  </conditionalFormatting>
  <conditionalFormatting sqref="W69">
    <cfRule type="expression" dxfId="439" priority="58" stopIfTrue="1">
      <formula>$I$69=""</formula>
    </cfRule>
  </conditionalFormatting>
  <conditionalFormatting sqref="W71">
    <cfRule type="expression" dxfId="438" priority="57" stopIfTrue="1">
      <formula>$I$71=""</formula>
    </cfRule>
  </conditionalFormatting>
  <conditionalFormatting sqref="W72">
    <cfRule type="expression" dxfId="437" priority="56" stopIfTrue="1">
      <formula>$I$72=""</formula>
    </cfRule>
  </conditionalFormatting>
  <conditionalFormatting sqref="W73">
    <cfRule type="expression" dxfId="436" priority="55" stopIfTrue="1">
      <formula>$I$73=""</formula>
    </cfRule>
  </conditionalFormatting>
  <conditionalFormatting sqref="W74">
    <cfRule type="expression" dxfId="435" priority="54" stopIfTrue="1">
      <formula>$I$74=""</formula>
    </cfRule>
  </conditionalFormatting>
  <conditionalFormatting sqref="W75">
    <cfRule type="expression" dxfId="434" priority="53" stopIfTrue="1">
      <formula>$I$75=""</formula>
    </cfRule>
  </conditionalFormatting>
  <conditionalFormatting sqref="W76">
    <cfRule type="expression" dxfId="433" priority="52" stopIfTrue="1">
      <formula>$I$76=""</formula>
    </cfRule>
  </conditionalFormatting>
  <conditionalFormatting sqref="W77">
    <cfRule type="expression" dxfId="432" priority="51" stopIfTrue="1">
      <formula>$I$77=""</formula>
    </cfRule>
  </conditionalFormatting>
  <conditionalFormatting sqref="W78">
    <cfRule type="expression" dxfId="431" priority="50" stopIfTrue="1">
      <formula>$I$78=""</formula>
    </cfRule>
  </conditionalFormatting>
  <conditionalFormatting sqref="W79">
    <cfRule type="expression" dxfId="430" priority="49" stopIfTrue="1">
      <formula>$I$79=""</formula>
    </cfRule>
  </conditionalFormatting>
  <conditionalFormatting sqref="W80">
    <cfRule type="expression" dxfId="429" priority="48" stopIfTrue="1">
      <formula>$I$80=""</formula>
    </cfRule>
  </conditionalFormatting>
  <conditionalFormatting sqref="W81">
    <cfRule type="expression" dxfId="428" priority="47" stopIfTrue="1">
      <formula>$I$81=""</formula>
    </cfRule>
  </conditionalFormatting>
  <conditionalFormatting sqref="W82">
    <cfRule type="expression" dxfId="427" priority="46" stopIfTrue="1">
      <formula>$I$82=""</formula>
    </cfRule>
  </conditionalFormatting>
  <conditionalFormatting sqref="W83">
    <cfRule type="expression" dxfId="426" priority="45" stopIfTrue="1">
      <formula>$I$83=""</formula>
    </cfRule>
  </conditionalFormatting>
  <conditionalFormatting sqref="W84">
    <cfRule type="expression" dxfId="425" priority="44" stopIfTrue="1">
      <formula>$I$84=""</formula>
    </cfRule>
  </conditionalFormatting>
  <conditionalFormatting sqref="W85">
    <cfRule type="expression" dxfId="424" priority="43" stopIfTrue="1">
      <formula>$I$85=""</formula>
    </cfRule>
  </conditionalFormatting>
  <conditionalFormatting sqref="W86">
    <cfRule type="expression" dxfId="423" priority="42" stopIfTrue="1">
      <formula>$I$86=""</formula>
    </cfRule>
  </conditionalFormatting>
  <conditionalFormatting sqref="W87">
    <cfRule type="expression" dxfId="422" priority="41" stopIfTrue="1">
      <formula>$I$87=""</formula>
    </cfRule>
  </conditionalFormatting>
  <conditionalFormatting sqref="W88">
    <cfRule type="expression" dxfId="421" priority="40" stopIfTrue="1">
      <formula>$I$88=""</formula>
    </cfRule>
  </conditionalFormatting>
  <conditionalFormatting sqref="W89">
    <cfRule type="expression" dxfId="420" priority="39" stopIfTrue="1">
      <formula>$I$89=""</formula>
    </cfRule>
  </conditionalFormatting>
  <conditionalFormatting sqref="W90">
    <cfRule type="expression" dxfId="419" priority="38" stopIfTrue="1">
      <formula>$I$90=""</formula>
    </cfRule>
  </conditionalFormatting>
  <conditionalFormatting sqref="W91">
    <cfRule type="expression" dxfId="418" priority="37" stopIfTrue="1">
      <formula>$I$91=""</formula>
    </cfRule>
  </conditionalFormatting>
  <conditionalFormatting sqref="W92">
    <cfRule type="expression" dxfId="417" priority="36" stopIfTrue="1">
      <formula>$I$92=""</formula>
    </cfRule>
  </conditionalFormatting>
  <conditionalFormatting sqref="W93">
    <cfRule type="expression" dxfId="416" priority="35" stopIfTrue="1">
      <formula>$I$93=""</formula>
    </cfRule>
  </conditionalFormatting>
  <conditionalFormatting sqref="W94">
    <cfRule type="expression" dxfId="415" priority="34" stopIfTrue="1">
      <formula>$I$94=""</formula>
    </cfRule>
  </conditionalFormatting>
  <conditionalFormatting sqref="W95">
    <cfRule type="expression" dxfId="414" priority="33" stopIfTrue="1">
      <formula>$I$95=""</formula>
    </cfRule>
  </conditionalFormatting>
  <conditionalFormatting sqref="W96">
    <cfRule type="expression" dxfId="413" priority="32" stopIfTrue="1">
      <formula>$I$96=""</formula>
    </cfRule>
  </conditionalFormatting>
  <conditionalFormatting sqref="W97">
    <cfRule type="expression" dxfId="412" priority="31" stopIfTrue="1">
      <formula>$I$97=""</formula>
    </cfRule>
  </conditionalFormatting>
  <conditionalFormatting sqref="W98">
    <cfRule type="expression" dxfId="411" priority="30" stopIfTrue="1">
      <formula>$I$98=""</formula>
    </cfRule>
  </conditionalFormatting>
  <conditionalFormatting sqref="W99">
    <cfRule type="expression" dxfId="410" priority="29" stopIfTrue="1">
      <formula>$I$99=""</formula>
    </cfRule>
  </conditionalFormatting>
  <conditionalFormatting sqref="W100">
    <cfRule type="expression" dxfId="409" priority="28" stopIfTrue="1">
      <formula>$I$100=""</formula>
    </cfRule>
  </conditionalFormatting>
  <conditionalFormatting sqref="W101">
    <cfRule type="expression" dxfId="408" priority="27" stopIfTrue="1">
      <formula>$I$101=""</formula>
    </cfRule>
  </conditionalFormatting>
  <conditionalFormatting sqref="W102">
    <cfRule type="expression" dxfId="407" priority="26" stopIfTrue="1">
      <formula>$I$102=""</formula>
    </cfRule>
  </conditionalFormatting>
  <conditionalFormatting sqref="W103">
    <cfRule type="expression" dxfId="406" priority="25" stopIfTrue="1">
      <formula>$I$103=""</formula>
    </cfRule>
  </conditionalFormatting>
  <conditionalFormatting sqref="W104">
    <cfRule type="expression" dxfId="405" priority="24" stopIfTrue="1">
      <formula>$I$104=""</formula>
    </cfRule>
  </conditionalFormatting>
  <conditionalFormatting sqref="W105">
    <cfRule type="expression" dxfId="404" priority="23" stopIfTrue="1">
      <formula>$I$105=""</formula>
    </cfRule>
  </conditionalFormatting>
  <conditionalFormatting sqref="W106">
    <cfRule type="expression" dxfId="403" priority="22" stopIfTrue="1">
      <formula>$I$106=""</formula>
    </cfRule>
  </conditionalFormatting>
  <conditionalFormatting sqref="W107">
    <cfRule type="expression" dxfId="402" priority="21" stopIfTrue="1">
      <formula>$I$107=""</formula>
    </cfRule>
  </conditionalFormatting>
  <conditionalFormatting sqref="W108">
    <cfRule type="expression" dxfId="401" priority="20" stopIfTrue="1">
      <formula>$I$108=""</formula>
    </cfRule>
  </conditionalFormatting>
  <conditionalFormatting sqref="W109">
    <cfRule type="expression" dxfId="400" priority="19" stopIfTrue="1">
      <formula>$I$109=""</formula>
    </cfRule>
  </conditionalFormatting>
  <conditionalFormatting sqref="W110">
    <cfRule type="expression" dxfId="399" priority="18" stopIfTrue="1">
      <formula>$I$110=""</formula>
    </cfRule>
  </conditionalFormatting>
  <conditionalFormatting sqref="W111">
    <cfRule type="expression" dxfId="398" priority="17" stopIfTrue="1">
      <formula>$I$111=""</formula>
    </cfRule>
  </conditionalFormatting>
  <conditionalFormatting sqref="W112">
    <cfRule type="expression" dxfId="397" priority="16" stopIfTrue="1">
      <formula>$I$112=""</formula>
    </cfRule>
  </conditionalFormatting>
  <conditionalFormatting sqref="W113">
    <cfRule type="expression" dxfId="396" priority="15" stopIfTrue="1">
      <formula>$I$113=""</formula>
    </cfRule>
  </conditionalFormatting>
  <conditionalFormatting sqref="W114">
    <cfRule type="expression" dxfId="395" priority="14" stopIfTrue="1">
      <formula>$I$114=""</formula>
    </cfRule>
  </conditionalFormatting>
  <conditionalFormatting sqref="W115">
    <cfRule type="expression" dxfId="394" priority="13" stopIfTrue="1">
      <formula>$I$115=""</formula>
    </cfRule>
  </conditionalFormatting>
  <conditionalFormatting sqref="W116">
    <cfRule type="expression" dxfId="393" priority="12" stopIfTrue="1">
      <formula>$I$116=""</formula>
    </cfRule>
  </conditionalFormatting>
  <conditionalFormatting sqref="W37">
    <cfRule type="expression" dxfId="392" priority="11" stopIfTrue="1">
      <formula>$I$37=""</formula>
    </cfRule>
  </conditionalFormatting>
  <conditionalFormatting sqref="W38">
    <cfRule type="expression" dxfId="391" priority="10" stopIfTrue="1">
      <formula>$I$38=""</formula>
    </cfRule>
  </conditionalFormatting>
  <conditionalFormatting sqref="W39">
    <cfRule type="expression" dxfId="390" priority="9" stopIfTrue="1">
      <formula>$I$39=""</formula>
    </cfRule>
  </conditionalFormatting>
  <conditionalFormatting sqref="W40">
    <cfRule type="expression" dxfId="389" priority="8" stopIfTrue="1">
      <formula>$I$40=""</formula>
    </cfRule>
  </conditionalFormatting>
  <conditionalFormatting sqref="W41">
    <cfRule type="expression" dxfId="388" priority="7" stopIfTrue="1">
      <formula>$I$41=""</formula>
    </cfRule>
  </conditionalFormatting>
  <conditionalFormatting sqref="W42">
    <cfRule type="expression" dxfId="387" priority="6" stopIfTrue="1">
      <formula>$I$42=""</formula>
    </cfRule>
  </conditionalFormatting>
  <conditionalFormatting sqref="W43">
    <cfRule type="expression" dxfId="386" priority="5" stopIfTrue="1">
      <formula>$I$43=""</formula>
    </cfRule>
  </conditionalFormatting>
  <conditionalFormatting sqref="W44">
    <cfRule type="expression" dxfId="385" priority="4" stopIfTrue="1">
      <formula>$I$44=""</formula>
    </cfRule>
  </conditionalFormatting>
  <conditionalFormatting sqref="W45">
    <cfRule type="expression" dxfId="384" priority="3" stopIfTrue="1">
      <formula>$I$45=""</formula>
    </cfRule>
  </conditionalFormatting>
  <conditionalFormatting sqref="W46">
    <cfRule type="expression" dxfId="383" priority="2" stopIfTrue="1">
      <formula>$I$46=""</formula>
    </cfRule>
  </conditionalFormatting>
  <conditionalFormatting sqref="W70">
    <cfRule type="expression" dxfId="382" priority="1" stopIfTrue="1">
      <formula>$I$70=""</formula>
    </cfRule>
  </conditionalFormatting>
  <dataValidations count="13">
    <dataValidation type="list" allowBlank="1" showInputMessage="1" showErrorMessage="1" sqref="O7:O116">
      <formula1>IF(I7=1,IF(J7=1,$AU$21:$AU$25,IF(J7=2,$AU$14:$AU$20,IF(J7=3,$AU$6:$AU$13))),IF(J7=1,$AV$21:$AV$25,IF(J7=2,$AV$14:$AV$20,IF(J7=3,$AV$6:$AV$13))))</formula1>
    </dataValidation>
    <dataValidation type="list" allowBlank="1" showInputMessage="1" showErrorMessage="1" sqref="U7:U116">
      <formula1>IF(I7=1,IF(J7=1,$AU$21:$AU$25,IF(J7=2,$AU$14:$AU$20,IF(J7=3,$AU$6:$AU$13))),IF(J7=1,$AV$21:$AV$25,IF(J7=2,$AV$14:$AV$20,IF(J7=3,$AV$6:$AV$13))))</formula1>
    </dataValidation>
    <dataValidation imeMode="disabled" allowBlank="1" sqref="W6 S117:S65536 O117:O65536 Q6 R3"/>
    <dataValidation allowBlank="1" showInputMessage="1" showErrorMessage="1" prompt="#N/Aは種目選択ミス" sqref="V7:V116"/>
    <dataValidation allowBlank="1" showInputMessage="1" showErrorMessage="1" prompt="#N/A表示は種目選択ミス" sqref="P7:P116"/>
    <dataValidation imeMode="disabled" allowBlank="1" showInputMessage="1" prompt="記録は半角英数字で_x000a_例_x000a_11秒11→11.11_x000a_1分50秒00→1.50.00_x000a_15m50→15m50_x000a__x000a_" sqref="Q7:Q116 W7:W116"/>
    <dataValidation imeMode="hiragana" allowBlank="1" showInputMessage="1" showErrorMessage="1" sqref="P117:P65536 R6 P1 P3:P5"/>
    <dataValidation errorStyle="warning" imeMode="hiragana" allowBlank="1" showInputMessage="1" showErrorMessage="1" sqref="T1:T5 X6 T117:T65536"/>
    <dataValidation errorStyle="warning" imeMode="hiragana" allowBlank="1" showInputMessage="1" showErrorMessage="1" prompt="今年度、標準記録を突破した大会名を記載のこと" sqref="X7:X116"/>
    <dataValidation imeMode="halfAlpha" allowBlank="1" showInputMessage="1" showErrorMessage="1" sqref="AH6:AH116 V117:V65536 Y117:Y65536 Y1:Y5 AB1:AB1048576 AE6:AE116"/>
    <dataValidation type="list" errorStyle="warning" allowBlank="1" showInputMessage="1" showErrorMessage="1" sqref="AF7:AF116 W117:W118 AC7:AC116 Z117:Z118">
      <formula1>$AL$6:$AL$32</formula1>
    </dataValidation>
    <dataValidation imeMode="hiragana" allowBlank="1" showInputMessage="1" showErrorMessage="1" prompt="今年度、標準記録を突破した大会名を記載のこと" sqref="R7:R116"/>
    <dataValidation allowBlank="1" sqref="R4:R5"/>
  </dataValidations>
  <printOptions horizontalCentered="1"/>
  <pageMargins left="0.5" right="0.3" top="0.98425196850393704" bottom="0.98425196850393704" header="0.51181102362204722" footer="0.51181102362204722"/>
  <pageSetup paperSize="9" scale="71" fitToHeight="2" orientation="portrait" verticalDpi="300" r:id="rId1"/>
  <headerFooter alignWithMargins="0">
    <oddHeader>&amp;R&amp;D &amp;T</oddHeader>
    <oddFooter>&amp;L&amp;P&amp;R三重陸上競技協会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5"/>
  <dimension ref="A1:M12"/>
  <sheetViews>
    <sheetView workbookViewId="0">
      <selection activeCell="I12" sqref="I12"/>
    </sheetView>
  </sheetViews>
  <sheetFormatPr defaultColWidth="5.625" defaultRowHeight="15" customHeight="1"/>
  <cols>
    <col min="1" max="1" width="15.125" bestFit="1" customWidth="1"/>
    <col min="2" max="2" width="9" style="2" customWidth="1"/>
    <col min="3" max="4" width="15.125" bestFit="1" customWidth="1"/>
    <col min="5" max="5" width="9" customWidth="1"/>
    <col min="6" max="6" width="5.625" style="3" customWidth="1"/>
    <col min="7" max="7" width="7.25" style="3" bestFit="1" customWidth="1"/>
    <col min="8" max="8" width="5.625" style="3" customWidth="1"/>
    <col min="9" max="9" width="7.5" style="3" bestFit="1" customWidth="1"/>
    <col min="10" max="16384" width="5.625" style="3"/>
  </cols>
  <sheetData>
    <row r="1" spans="1:13" s="74" customFormat="1" ht="15" customHeight="1">
      <c r="A1" t="s">
        <v>113</v>
      </c>
      <c r="B1" s="2" t="s">
        <v>112</v>
      </c>
      <c r="C1" t="s">
        <v>113</v>
      </c>
      <c r="D1" t="s">
        <v>114</v>
      </c>
      <c r="E1" t="s">
        <v>115</v>
      </c>
    </row>
    <row r="2" spans="1:13" ht="15" customHeight="1">
      <c r="A2" s="1010" t="s">
        <v>502</v>
      </c>
      <c r="B2" s="1010">
        <v>239126</v>
      </c>
      <c r="C2" s="1010" t="s">
        <v>502</v>
      </c>
      <c r="D2" t="s">
        <v>488</v>
      </c>
      <c r="E2">
        <v>23</v>
      </c>
      <c r="G2" s="3" t="s">
        <v>235</v>
      </c>
      <c r="L2" s="1010"/>
      <c r="M2" s="1010"/>
    </row>
    <row r="3" spans="1:13" ht="15" customHeight="1">
      <c r="A3" s="1010" t="s">
        <v>504</v>
      </c>
      <c r="B3" s="1010">
        <v>230082</v>
      </c>
      <c r="C3" s="1010" t="s">
        <v>504</v>
      </c>
      <c r="D3" t="s">
        <v>235</v>
      </c>
      <c r="E3">
        <v>23</v>
      </c>
      <c r="G3" s="3" t="s">
        <v>235</v>
      </c>
      <c r="L3" s="1010"/>
      <c r="M3" s="1010"/>
    </row>
    <row r="4" spans="1:13" ht="15" customHeight="1">
      <c r="A4" s="1010" t="s">
        <v>503</v>
      </c>
      <c r="B4" s="1010">
        <v>230115</v>
      </c>
      <c r="C4" s="1010" t="s">
        <v>503</v>
      </c>
      <c r="D4" t="s">
        <v>488</v>
      </c>
      <c r="E4">
        <v>23</v>
      </c>
      <c r="G4" s="3" t="s">
        <v>235</v>
      </c>
      <c r="L4" s="1010"/>
      <c r="M4" s="1010"/>
    </row>
    <row r="5" spans="1:13" ht="15" customHeight="1">
      <c r="A5" s="1010" t="s">
        <v>550</v>
      </c>
      <c r="B5" s="1010">
        <v>239134</v>
      </c>
      <c r="C5" s="1010" t="s">
        <v>550</v>
      </c>
      <c r="D5" t="s">
        <v>235</v>
      </c>
      <c r="E5">
        <v>23</v>
      </c>
      <c r="G5" s="3" t="s">
        <v>235</v>
      </c>
      <c r="L5" s="1010"/>
      <c r="M5" s="1010"/>
    </row>
    <row r="6" spans="1:13" ht="15" customHeight="1">
      <c r="A6" s="906" t="s">
        <v>500</v>
      </c>
      <c r="B6" s="935">
        <v>239128</v>
      </c>
      <c r="C6" s="906" t="s">
        <v>500</v>
      </c>
      <c r="D6" t="s">
        <v>235</v>
      </c>
      <c r="E6">
        <v>23</v>
      </c>
      <c r="G6" s="3" t="s">
        <v>235</v>
      </c>
      <c r="L6" s="906"/>
      <c r="M6" s="935"/>
    </row>
    <row r="7" spans="1:13" ht="15" customHeight="1">
      <c r="A7" s="906" t="s">
        <v>501</v>
      </c>
      <c r="B7" s="935">
        <v>239125</v>
      </c>
      <c r="C7" s="906" t="s">
        <v>501</v>
      </c>
      <c r="D7" t="s">
        <v>235</v>
      </c>
      <c r="E7">
        <v>23</v>
      </c>
      <c r="G7" s="3" t="s">
        <v>235</v>
      </c>
      <c r="L7" s="906"/>
      <c r="M7" s="935"/>
    </row>
    <row r="8" spans="1:13" ht="15" customHeight="1">
      <c r="A8" s="906" t="s">
        <v>551</v>
      </c>
      <c r="B8" s="935">
        <v>239137</v>
      </c>
      <c r="C8" s="906" t="s">
        <v>551</v>
      </c>
      <c r="D8" t="s">
        <v>488</v>
      </c>
      <c r="E8">
        <v>23</v>
      </c>
      <c r="G8" s="3" t="s">
        <v>235</v>
      </c>
      <c r="L8" s="906"/>
      <c r="M8" s="935"/>
    </row>
    <row r="9" spans="1:13" ht="15" customHeight="1">
      <c r="A9" s="906" t="s">
        <v>552</v>
      </c>
      <c r="B9" s="935">
        <v>230102</v>
      </c>
      <c r="C9" s="906" t="s">
        <v>552</v>
      </c>
      <c r="D9" t="s">
        <v>235</v>
      </c>
      <c r="E9">
        <v>23</v>
      </c>
      <c r="G9" s="3" t="s">
        <v>235</v>
      </c>
      <c r="L9" s="906"/>
      <c r="M9" s="935"/>
    </row>
    <row r="10" spans="1:13" ht="15" customHeight="1">
      <c r="A10" s="906"/>
      <c r="B10" s="935"/>
      <c r="C10" s="906"/>
    </row>
    <row r="11" spans="1:13" ht="15" customHeight="1">
      <c r="A11" s="906"/>
      <c r="B11" s="935"/>
      <c r="C11" s="906"/>
    </row>
    <row r="12" spans="1:13" ht="15" customHeight="1">
      <c r="A12" s="906"/>
      <c r="B12" s="935"/>
      <c r="C12" s="906"/>
    </row>
  </sheetData>
  <sortState ref="A182:I191">
    <sortCondition ref="E182:E191"/>
  </sortState>
  <phoneticPr fontId="4"/>
  <pageMargins left="0.78740157480314965" right="0.59055118110236227" top="0.78740157480314965" bottom="0.78740157480314965" header="0.51181102362204722" footer="0.51181102362204722"/>
  <pageSetup paperSize="13" orientation="landscape" horizontalDpi="4294967292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22">
    <pageSetUpPr fitToPage="1"/>
  </sheetPr>
  <dimension ref="A1:W77"/>
  <sheetViews>
    <sheetView showGridLines="0" showZeros="0" zoomScaleNormal="100" workbookViewId="0">
      <selection activeCell="I8" sqref="I8"/>
    </sheetView>
  </sheetViews>
  <sheetFormatPr defaultRowHeight="13.5"/>
  <cols>
    <col min="1" max="2" width="9" style="447"/>
    <col min="3" max="3" width="16.125" style="447" customWidth="1"/>
    <col min="4" max="4" width="15.5" style="447" customWidth="1"/>
    <col min="5" max="5" width="5.25" style="462" customWidth="1"/>
    <col min="6" max="6" width="4.75" style="462" hidden="1" customWidth="1"/>
    <col min="7" max="9" width="9" style="447"/>
    <col min="10" max="10" width="16.125" style="447" customWidth="1"/>
    <col min="11" max="11" width="15.5" style="447" customWidth="1"/>
    <col min="12" max="12" width="5.5" style="447" bestFit="1" customWidth="1"/>
    <col min="13" max="13" width="4.75" style="447" hidden="1" customWidth="1"/>
    <col min="14" max="14" width="6.5" style="464" hidden="1" customWidth="1"/>
    <col min="15" max="15" width="5.25" style="464" hidden="1" customWidth="1"/>
    <col min="16" max="16" width="5" style="464" hidden="1" customWidth="1"/>
    <col min="17" max="17" width="9" style="464"/>
    <col min="18" max="19" width="12.625" style="464" customWidth="1"/>
    <col min="20" max="22" width="9" style="464"/>
    <col min="23" max="16384" width="9" style="447"/>
  </cols>
  <sheetData>
    <row r="1" spans="1:23" ht="24">
      <c r="A1" s="982" t="s">
        <v>495</v>
      </c>
      <c r="B1" s="446"/>
      <c r="C1" s="446"/>
      <c r="D1" s="446"/>
      <c r="E1" s="450"/>
      <c r="F1" s="450"/>
      <c r="G1" s="463" t="s">
        <v>332</v>
      </c>
      <c r="H1" s="446"/>
      <c r="I1" s="446"/>
      <c r="J1" s="446"/>
      <c r="K1" s="446"/>
      <c r="L1" s="446"/>
      <c r="M1" s="446"/>
      <c r="Q1" s="446"/>
      <c r="R1" s="1007" t="s">
        <v>424</v>
      </c>
      <c r="S1" s="1007" t="s">
        <v>425</v>
      </c>
      <c r="T1" s="983"/>
      <c r="U1" s="983"/>
      <c r="V1" s="983"/>
      <c r="W1" s="983"/>
    </row>
    <row r="2" spans="1:23">
      <c r="A2" s="449"/>
      <c r="B2" s="446"/>
      <c r="C2" s="446"/>
      <c r="D2" s="446"/>
      <c r="E2" s="450"/>
      <c r="F2" s="450"/>
      <c r="G2" s="446"/>
      <c r="H2" s="446"/>
      <c r="I2" s="446"/>
      <c r="J2" s="446"/>
      <c r="K2" s="446"/>
      <c r="L2" s="446"/>
      <c r="M2" s="446"/>
      <c r="Q2" s="446"/>
      <c r="R2" s="983"/>
      <c r="S2" s="983"/>
      <c r="T2" s="983"/>
      <c r="U2" s="983"/>
      <c r="V2" s="983"/>
      <c r="W2" s="983"/>
    </row>
    <row r="3" spans="1:23">
      <c r="A3" s="446"/>
      <c r="B3" s="446"/>
      <c r="C3" s="446"/>
      <c r="D3" s="446"/>
      <c r="E3" s="450"/>
      <c r="F3" s="450"/>
      <c r="G3" s="446"/>
      <c r="H3" s="446"/>
      <c r="I3" s="446"/>
      <c r="J3" s="446"/>
      <c r="K3" s="446"/>
      <c r="L3" s="446"/>
      <c r="M3" s="446"/>
      <c r="Q3" s="446"/>
      <c r="R3" s="983"/>
      <c r="S3" s="983"/>
      <c r="T3" s="983"/>
      <c r="U3" s="983"/>
      <c r="V3" s="983"/>
      <c r="W3" s="983"/>
    </row>
    <row r="4" spans="1:23" ht="14.25" thickBot="1">
      <c r="A4" s="446"/>
      <c r="B4" s="446"/>
      <c r="C4" s="446"/>
      <c r="D4" s="446"/>
      <c r="E4" s="450"/>
      <c r="F4" s="450"/>
      <c r="G4" s="446"/>
      <c r="H4" s="446"/>
      <c r="I4" s="446"/>
      <c r="J4" s="446"/>
      <c r="K4" s="446"/>
      <c r="L4" s="446"/>
      <c r="M4" s="446"/>
      <c r="Q4" s="446"/>
      <c r="R4" s="983"/>
      <c r="S4" s="983"/>
      <c r="T4" s="983"/>
      <c r="U4" s="983"/>
      <c r="V4" s="983"/>
      <c r="W4" s="983"/>
    </row>
    <row r="5" spans="1:23" ht="16.5" customHeight="1" thickBot="1">
      <c r="A5" s="451" t="s">
        <v>280</v>
      </c>
      <c r="B5" s="1215">
        <f>名簿!O4</f>
        <v>0</v>
      </c>
      <c r="C5" s="1215"/>
      <c r="D5" s="446"/>
      <c r="E5" s="450"/>
      <c r="F5" s="450"/>
      <c r="G5" s="1107" t="s">
        <v>512</v>
      </c>
      <c r="H5" s="1109"/>
      <c r="I5" s="1108" t="s">
        <v>513</v>
      </c>
      <c r="J5" s="446"/>
      <c r="K5" s="446"/>
      <c r="L5" s="446"/>
      <c r="M5" s="446"/>
      <c r="Q5" s="446"/>
      <c r="R5" s="983"/>
      <c r="S5" s="983"/>
      <c r="T5" s="983"/>
      <c r="U5" s="983"/>
      <c r="V5" s="983"/>
      <c r="W5" s="983"/>
    </row>
    <row r="6" spans="1:23" ht="18.75">
      <c r="A6" s="451"/>
      <c r="B6" s="452"/>
      <c r="C6" s="446"/>
      <c r="D6" s="446"/>
      <c r="E6" s="450"/>
      <c r="F6" s="450"/>
      <c r="G6" s="446"/>
      <c r="H6" s="446"/>
      <c r="I6" s="446"/>
      <c r="J6" s="446"/>
      <c r="K6" s="446"/>
      <c r="L6" s="446"/>
      <c r="M6" s="446"/>
      <c r="Q6" s="446"/>
      <c r="R6" s="983"/>
      <c r="S6" s="983"/>
      <c r="T6" s="983"/>
      <c r="U6" s="983"/>
      <c r="V6" s="983"/>
      <c r="W6" s="983"/>
    </row>
    <row r="7" spans="1:23" ht="18.75">
      <c r="A7" s="451" t="s">
        <v>107</v>
      </c>
      <c r="B7" s="1216">
        <f>名簿!D1</f>
        <v>0</v>
      </c>
      <c r="C7" s="1216"/>
      <c r="D7" s="450"/>
      <c r="E7" s="450"/>
      <c r="F7" s="450"/>
      <c r="G7" s="446"/>
      <c r="H7" s="446"/>
      <c r="I7" s="446"/>
      <c r="J7" s="446"/>
      <c r="K7" s="446"/>
      <c r="L7" s="446"/>
      <c r="M7" s="446"/>
      <c r="Q7" s="446"/>
      <c r="R7" s="983"/>
      <c r="S7" s="983"/>
      <c r="T7" s="983"/>
      <c r="U7" s="983"/>
      <c r="V7" s="983"/>
      <c r="W7" s="983"/>
    </row>
    <row r="8" spans="1:23">
      <c r="A8" s="446"/>
      <c r="B8" s="446"/>
      <c r="C8" s="446"/>
      <c r="D8" s="450" t="s">
        <v>334</v>
      </c>
      <c r="E8" s="450"/>
      <c r="F8" s="450"/>
      <c r="G8" s="446"/>
      <c r="H8" s="446"/>
      <c r="I8" s="446"/>
      <c r="J8" s="446"/>
      <c r="K8" s="446"/>
      <c r="L8" s="446"/>
      <c r="M8" s="446"/>
      <c r="Q8" s="446"/>
      <c r="R8" s="983"/>
      <c r="S8" s="983"/>
      <c r="T8" s="983"/>
      <c r="U8" s="983"/>
      <c r="V8" s="983"/>
      <c r="W8" s="983"/>
    </row>
    <row r="9" spans="1:23" ht="18.75">
      <c r="A9" s="451" t="s">
        <v>281</v>
      </c>
      <c r="B9" s="1217">
        <f>名簿!I1</f>
        <v>0</v>
      </c>
      <c r="C9" s="1216"/>
      <c r="D9" s="465">
        <f>P58*4000+H5*800</f>
        <v>0</v>
      </c>
      <c r="E9" s="450"/>
      <c r="F9" s="450"/>
      <c r="G9" s="446"/>
      <c r="H9" s="446"/>
      <c r="I9" s="446"/>
      <c r="J9" s="446"/>
      <c r="K9" s="446"/>
      <c r="L9" s="446"/>
      <c r="M9" s="446"/>
      <c r="Q9" s="446"/>
      <c r="R9" s="983"/>
      <c r="S9" s="983"/>
      <c r="T9" s="983"/>
      <c r="U9" s="983"/>
      <c r="V9" s="983"/>
      <c r="W9" s="983"/>
    </row>
    <row r="10" spans="1:23">
      <c r="A10" s="446"/>
      <c r="B10" s="446"/>
      <c r="C10" s="446"/>
      <c r="D10" s="446"/>
      <c r="E10" s="450"/>
      <c r="F10" s="450"/>
      <c r="G10" s="446"/>
      <c r="H10" s="446"/>
      <c r="I10" s="446"/>
      <c r="J10" s="446"/>
      <c r="K10" s="446"/>
      <c r="L10" s="446"/>
      <c r="M10" s="446"/>
      <c r="Q10" s="446"/>
      <c r="R10" s="983"/>
      <c r="S10" s="983"/>
      <c r="T10" s="983"/>
      <c r="U10" s="983"/>
      <c r="V10" s="983"/>
      <c r="W10" s="983"/>
    </row>
    <row r="11" spans="1:23">
      <c r="A11" s="446"/>
      <c r="B11" s="446"/>
      <c r="C11" s="446"/>
      <c r="D11" s="446"/>
      <c r="E11" s="450"/>
      <c r="F11" s="450"/>
      <c r="G11" s="446"/>
      <c r="H11" s="446"/>
      <c r="I11" s="446"/>
      <c r="J11" s="446"/>
      <c r="K11" s="446"/>
      <c r="L11" s="446"/>
      <c r="M11" s="446"/>
      <c r="Q11" s="446"/>
      <c r="R11" s="983"/>
      <c r="S11" s="983"/>
      <c r="T11" s="983"/>
      <c r="U11" s="983"/>
      <c r="V11" s="983"/>
      <c r="W11" s="983"/>
    </row>
    <row r="12" spans="1:23">
      <c r="A12" s="466" t="s">
        <v>426</v>
      </c>
      <c r="B12" s="612">
        <f>$B$7</f>
        <v>0</v>
      </c>
      <c r="C12" s="611"/>
      <c r="D12" s="446" t="s">
        <v>435</v>
      </c>
      <c r="E12" s="450"/>
      <c r="F12" s="450"/>
      <c r="G12" s="446"/>
      <c r="H12" s="466" t="s">
        <v>426</v>
      </c>
      <c r="I12" s="612">
        <f>$B$7</f>
        <v>0</v>
      </c>
      <c r="J12" s="611"/>
      <c r="K12" s="446" t="s">
        <v>435</v>
      </c>
      <c r="L12" s="446"/>
      <c r="M12" s="446"/>
      <c r="Q12" s="446"/>
      <c r="R12" s="983"/>
      <c r="S12" s="983"/>
      <c r="T12" s="983"/>
      <c r="U12" s="983"/>
      <c r="V12" s="983"/>
      <c r="W12" s="983"/>
    </row>
    <row r="13" spans="1:23" ht="14.25" thickBot="1">
      <c r="A13" s="466" t="s">
        <v>434</v>
      </c>
      <c r="B13" s="446"/>
      <c r="C13" s="446"/>
      <c r="D13" s="446"/>
      <c r="E13" s="450"/>
      <c r="F13" s="450"/>
      <c r="G13" s="446"/>
      <c r="H13" s="466" t="s">
        <v>433</v>
      </c>
      <c r="I13" s="446"/>
      <c r="J13" s="446"/>
      <c r="K13" s="446"/>
      <c r="L13" s="450"/>
      <c r="M13" s="450"/>
      <c r="Q13" s="446"/>
      <c r="R13" s="983"/>
      <c r="S13" s="983"/>
      <c r="T13" s="983"/>
      <c r="U13" s="983"/>
      <c r="V13" s="983"/>
      <c r="W13" s="983"/>
    </row>
    <row r="14" spans="1:23">
      <c r="A14" s="467"/>
      <c r="B14" s="468" t="s">
        <v>341</v>
      </c>
      <c r="C14" s="468" t="s">
        <v>283</v>
      </c>
      <c r="D14" s="468" t="s">
        <v>342</v>
      </c>
      <c r="E14" s="453" t="s">
        <v>37</v>
      </c>
      <c r="F14" s="483" t="s">
        <v>360</v>
      </c>
      <c r="G14" s="446"/>
      <c r="H14" s="467"/>
      <c r="I14" s="468" t="s">
        <v>345</v>
      </c>
      <c r="J14" s="468" t="s">
        <v>283</v>
      </c>
      <c r="K14" s="468" t="s">
        <v>342</v>
      </c>
      <c r="L14" s="453" t="s">
        <v>37</v>
      </c>
      <c r="M14" s="483" t="s">
        <v>360</v>
      </c>
      <c r="Q14" s="446"/>
      <c r="R14" s="983">
        <f>B12</f>
        <v>0</v>
      </c>
      <c r="S14" s="983">
        <f>I12</f>
        <v>0</v>
      </c>
      <c r="T14" s="983"/>
      <c r="U14" s="983"/>
      <c r="V14" s="983"/>
      <c r="W14" s="983"/>
    </row>
    <row r="15" spans="1:23">
      <c r="A15" s="469">
        <v>1</v>
      </c>
      <c r="B15" s="479"/>
      <c r="C15" s="454" t="str">
        <f>IF(B15="","",VLOOKUP(B15,名簿!$E$4:$CN$113,87,FALSE))</f>
        <v/>
      </c>
      <c r="D15" s="963" t="str">
        <f>IF(B15="","",VLOOKUP(B15,名簿!$E$4:$Z$113,22,FALSE))</f>
        <v/>
      </c>
      <c r="E15" s="470" t="str">
        <f>IF(B15="","",VLOOKUP(B15,名簿!$E$4:$J$113,5,FALSE))</f>
        <v/>
      </c>
      <c r="F15" s="484" t="str">
        <f>IF(B15="","",VLOOKUP(B15,名簿!$E$4:$J$113,4,FALSE))</f>
        <v/>
      </c>
      <c r="G15" s="446"/>
      <c r="H15" s="469">
        <v>1</v>
      </c>
      <c r="I15" s="479"/>
      <c r="J15" s="454" t="str">
        <f>IF(I15="","",VLOOKUP(I15,名簿!$E$4:$CN$113,87,FALSE))</f>
        <v/>
      </c>
      <c r="K15" s="963" t="str">
        <f>IF(I15="","",VLOOKUP(I15,名簿!$E$4:$Z$113,22,FALSE))</f>
        <v/>
      </c>
      <c r="L15" s="470" t="str">
        <f>IF(I15="","",VLOOKUP(I15,名簿!$E$4:$J$113,5,FALSE))</f>
        <v/>
      </c>
      <c r="M15" s="484" t="str">
        <f>IF(I15="","",VLOOKUP(I15,名簿!$E$4:$J$113,4,FALSE))</f>
        <v/>
      </c>
      <c r="N15" s="464" t="str">
        <f>IF(C15="","",1)</f>
        <v/>
      </c>
      <c r="O15" s="464" t="str">
        <f>IF(J15="","",1)</f>
        <v/>
      </c>
      <c r="Q15" s="446"/>
      <c r="R15" s="1042" t="str">
        <f>CONCATENATE(C15,$R$1,E15,$S$1)</f>
        <v>()</v>
      </c>
      <c r="S15" s="1042" t="str">
        <f>CONCATENATE(J15,$R$1,L15,$S$1)</f>
        <v>()</v>
      </c>
      <c r="T15" s="983"/>
      <c r="U15" s="983"/>
      <c r="V15" s="983"/>
      <c r="W15" s="983"/>
    </row>
    <row r="16" spans="1:23">
      <c r="A16" s="469">
        <v>2</v>
      </c>
      <c r="B16" s="479"/>
      <c r="C16" s="454" t="str">
        <f>IF(B16="","",VLOOKUP(B16,名簿!$E$4:$CN$113,87,FALSE))</f>
        <v/>
      </c>
      <c r="D16" s="963" t="str">
        <f>IF(B16="","",VLOOKUP(B16,名簿!$E$4:$Z$113,22,FALSE))</f>
        <v/>
      </c>
      <c r="E16" s="470" t="str">
        <f>IF(B16="","",VLOOKUP(B16,名簿!$E$4:$J$113,5,FALSE))</f>
        <v/>
      </c>
      <c r="F16" s="484" t="str">
        <f>IF(B16="","",VLOOKUP(B16,名簿!$E$4:$J$113,4,FALSE))</f>
        <v/>
      </c>
      <c r="G16" s="446"/>
      <c r="H16" s="469">
        <v>2</v>
      </c>
      <c r="I16" s="479"/>
      <c r="J16" s="454" t="str">
        <f>IF(I16="","",VLOOKUP(I16,名簿!$E$4:$CN$113,87,FALSE))</f>
        <v/>
      </c>
      <c r="K16" s="963" t="str">
        <f>IF(I16="","",VLOOKUP(I16,名簿!$E$4:$Z$113,22,FALSE))</f>
        <v/>
      </c>
      <c r="L16" s="470" t="str">
        <f>IF(I16="","",VLOOKUP(I16,名簿!$E$4:$J$113,5,FALSE))</f>
        <v/>
      </c>
      <c r="M16" s="484" t="str">
        <f>IF(I16="","",VLOOKUP(I16,名簿!$E$4:$J$113,4,FALSE))</f>
        <v/>
      </c>
      <c r="Q16" s="446"/>
      <c r="R16" s="1043" t="str">
        <f t="shared" ref="R16:R58" si="0">CONCATENATE(C16,$R$1,E16,$S$1)</f>
        <v>()</v>
      </c>
      <c r="S16" s="1043" t="str">
        <f t="shared" ref="S16:S58" si="1">CONCATENATE(J16,$R$1,L16,$S$1)</f>
        <v>()</v>
      </c>
      <c r="T16" s="983"/>
      <c r="U16" s="983"/>
      <c r="V16" s="983"/>
      <c r="W16" s="983"/>
    </row>
    <row r="17" spans="1:23">
      <c r="A17" s="469">
        <v>3</v>
      </c>
      <c r="B17" s="479"/>
      <c r="C17" s="454" t="str">
        <f>IF(B17="","",VLOOKUP(B17,名簿!$E$4:$CN$113,87,FALSE))</f>
        <v/>
      </c>
      <c r="D17" s="963" t="str">
        <f>IF(B17="","",VLOOKUP(B17,名簿!$E$4:$Z$113,22,FALSE))</f>
        <v/>
      </c>
      <c r="E17" s="470" t="str">
        <f>IF(B17="","",VLOOKUP(B17,名簿!$E$4:$J$113,5,FALSE))</f>
        <v/>
      </c>
      <c r="F17" s="484" t="str">
        <f>IF(B17="","",VLOOKUP(B17,名簿!$E$4:$J$113,4,FALSE))</f>
        <v/>
      </c>
      <c r="G17" s="446"/>
      <c r="H17" s="469">
        <v>3</v>
      </c>
      <c r="I17" s="479"/>
      <c r="J17" s="454" t="str">
        <f>IF(I17="","",VLOOKUP(I17,名簿!$E$4:$CN$113,87,FALSE))</f>
        <v/>
      </c>
      <c r="K17" s="963" t="str">
        <f>IF(I17="","",VLOOKUP(I17,名簿!$E$4:$Z$113,22,FALSE))</f>
        <v/>
      </c>
      <c r="L17" s="470" t="str">
        <f>IF(I17="","",VLOOKUP(I17,名簿!$E$4:$J$113,5,FALSE))</f>
        <v/>
      </c>
      <c r="M17" s="484" t="str">
        <f>IF(I17="","",VLOOKUP(I17,名簿!$E$4:$J$113,4,FALSE))</f>
        <v/>
      </c>
      <c r="Q17" s="446"/>
      <c r="R17" s="1043" t="str">
        <f t="shared" si="0"/>
        <v>()</v>
      </c>
      <c r="S17" s="1043" t="str">
        <f t="shared" si="1"/>
        <v>()</v>
      </c>
      <c r="T17" s="983"/>
      <c r="U17" s="983"/>
      <c r="V17" s="983"/>
      <c r="W17" s="983"/>
    </row>
    <row r="18" spans="1:23">
      <c r="A18" s="469">
        <v>4</v>
      </c>
      <c r="B18" s="479"/>
      <c r="C18" s="454" t="str">
        <f>IF(B18="","",VLOOKUP(B18,名簿!$E$4:$CN$113,87,FALSE))</f>
        <v/>
      </c>
      <c r="D18" s="963" t="str">
        <f>IF(B18="","",VLOOKUP(B18,名簿!$E$4:$Z$113,22,FALSE))</f>
        <v/>
      </c>
      <c r="E18" s="470" t="str">
        <f>IF(B18="","",VLOOKUP(B18,名簿!$E$4:$J$113,5,FALSE))</f>
        <v/>
      </c>
      <c r="F18" s="484" t="str">
        <f>IF(B18="","",VLOOKUP(B18,名簿!$E$4:$J$113,4,FALSE))</f>
        <v/>
      </c>
      <c r="G18" s="446"/>
      <c r="H18" s="469">
        <v>4</v>
      </c>
      <c r="I18" s="479"/>
      <c r="J18" s="454" t="str">
        <f>IF(I18="","",VLOOKUP(I18,名簿!$E$4:$CN$113,87,FALSE))</f>
        <v/>
      </c>
      <c r="K18" s="963" t="str">
        <f>IF(I18="","",VLOOKUP(I18,名簿!$E$4:$Z$113,22,FALSE))</f>
        <v/>
      </c>
      <c r="L18" s="470" t="str">
        <f>IF(I18="","",VLOOKUP(I18,名簿!$E$4:$J$113,5,FALSE))</f>
        <v/>
      </c>
      <c r="M18" s="484" t="str">
        <f>IF(I18="","",VLOOKUP(I18,名簿!$E$4:$J$113,4,FALSE))</f>
        <v/>
      </c>
      <c r="Q18" s="446"/>
      <c r="R18" s="1043" t="str">
        <f t="shared" si="0"/>
        <v>()</v>
      </c>
      <c r="S18" s="1043" t="str">
        <f t="shared" si="1"/>
        <v>()</v>
      </c>
      <c r="T18" s="983"/>
      <c r="U18" s="983"/>
      <c r="V18" s="983"/>
      <c r="W18" s="983"/>
    </row>
    <row r="19" spans="1:23">
      <c r="A19" s="469">
        <v>5</v>
      </c>
      <c r="B19" s="479"/>
      <c r="C19" s="454" t="str">
        <f>IF(B19="","",VLOOKUP(B19,名簿!$E$4:$CN$113,87,FALSE))</f>
        <v/>
      </c>
      <c r="D19" s="963" t="str">
        <f>IF(B19="","",VLOOKUP(B19,名簿!$E$4:$Z$113,22,FALSE))</f>
        <v/>
      </c>
      <c r="E19" s="470" t="str">
        <f>IF(B19="","",VLOOKUP(B19,名簿!$E$4:$J$113,5,FALSE))</f>
        <v/>
      </c>
      <c r="F19" s="484" t="str">
        <f>IF(B19="","",VLOOKUP(B19,名簿!$E$4:$J$113,4,FALSE))</f>
        <v/>
      </c>
      <c r="G19" s="446"/>
      <c r="H19" s="469">
        <v>5</v>
      </c>
      <c r="I19" s="479"/>
      <c r="J19" s="454" t="str">
        <f>IF(I19="","",VLOOKUP(I19,名簿!$E$4:$CN$113,87,FALSE))</f>
        <v/>
      </c>
      <c r="K19" s="963" t="str">
        <f>IF(I19="","",VLOOKUP(I19,名簿!$E$4:$Z$113,22,FALSE))</f>
        <v/>
      </c>
      <c r="L19" s="470" t="str">
        <f>IF(I19="","",VLOOKUP(I19,名簿!$E$4:$J$113,5,FALSE))</f>
        <v/>
      </c>
      <c r="M19" s="484" t="str">
        <f>IF(I19="","",VLOOKUP(I19,名簿!$E$4:$J$113,4,FALSE))</f>
        <v/>
      </c>
      <c r="Q19" s="446"/>
      <c r="R19" s="1043" t="str">
        <f t="shared" si="0"/>
        <v>()</v>
      </c>
      <c r="S19" s="1043" t="str">
        <f t="shared" si="1"/>
        <v>()</v>
      </c>
      <c r="T19" s="983"/>
      <c r="U19" s="983"/>
      <c r="V19" s="983"/>
      <c r="W19" s="983"/>
    </row>
    <row r="20" spans="1:23">
      <c r="A20" s="469">
        <v>6</v>
      </c>
      <c r="B20" s="479"/>
      <c r="C20" s="454" t="str">
        <f>IF(B20="","",VLOOKUP(B20,名簿!$E$4:$CN$113,87,FALSE))</f>
        <v/>
      </c>
      <c r="D20" s="963" t="str">
        <f>IF(B20="","",VLOOKUP(B20,名簿!$E$4:$Z$113,22,FALSE))</f>
        <v/>
      </c>
      <c r="E20" s="470" t="str">
        <f>IF(B20="","",VLOOKUP(B20,名簿!$E$4:$J$113,5,FALSE))</f>
        <v/>
      </c>
      <c r="F20" s="484" t="str">
        <f>IF(B20="","",VLOOKUP(B20,名簿!$E$4:$J$113,4,FALSE))</f>
        <v/>
      </c>
      <c r="G20" s="446"/>
      <c r="H20" s="469">
        <v>6</v>
      </c>
      <c r="I20" s="479"/>
      <c r="J20" s="454" t="str">
        <f>IF(I20="","",VLOOKUP(I20,名簿!$E$4:$CN$113,87,FALSE))</f>
        <v/>
      </c>
      <c r="K20" s="963" t="str">
        <f>IF(I20="","",VLOOKUP(I20,名簿!$E$4:$Z$113,22,FALSE))</f>
        <v/>
      </c>
      <c r="L20" s="470" t="str">
        <f>IF(I20="","",VLOOKUP(I20,名簿!$E$4:$J$113,5,FALSE))</f>
        <v/>
      </c>
      <c r="M20" s="484" t="str">
        <f>IF(I20="","",VLOOKUP(I20,名簿!$E$4:$J$113,4,FALSE))</f>
        <v/>
      </c>
      <c r="Q20" s="446"/>
      <c r="R20" s="1043" t="str">
        <f t="shared" si="0"/>
        <v>()</v>
      </c>
      <c r="S20" s="1043" t="str">
        <f t="shared" si="1"/>
        <v>()</v>
      </c>
      <c r="T20" s="983"/>
      <c r="U20" s="983"/>
      <c r="V20" s="983"/>
      <c r="W20" s="983"/>
    </row>
    <row r="21" spans="1:23">
      <c r="A21" s="469">
        <v>7</v>
      </c>
      <c r="B21" s="479"/>
      <c r="C21" s="454" t="str">
        <f>IF(B21="","",VLOOKUP(B21,名簿!$E$4:$CN$113,87,FALSE))</f>
        <v/>
      </c>
      <c r="D21" s="963" t="str">
        <f>IF(B21="","",VLOOKUP(B21,名簿!$E$4:$Z$113,22,FALSE))</f>
        <v/>
      </c>
      <c r="E21" s="470" t="str">
        <f>IF(B21="","",VLOOKUP(B21,名簿!$E$4:$J$113,5,FALSE))</f>
        <v/>
      </c>
      <c r="F21" s="484" t="str">
        <f>IF(B21="","",VLOOKUP(B21,名簿!$E$4:$J$113,4,FALSE))</f>
        <v/>
      </c>
      <c r="G21" s="446"/>
      <c r="H21" s="469">
        <v>7</v>
      </c>
      <c r="I21" s="479"/>
      <c r="J21" s="454" t="str">
        <f>IF(I21="","",VLOOKUP(I21,名簿!$E$4:$CN$113,87,FALSE))</f>
        <v/>
      </c>
      <c r="K21" s="963" t="str">
        <f>IF(I21="","",VLOOKUP(I21,名簿!$E$4:$Z$113,22,FALSE))</f>
        <v/>
      </c>
      <c r="L21" s="470" t="str">
        <f>IF(I21="","",VLOOKUP(I21,名簿!$E$4:$J$113,5,FALSE))</f>
        <v/>
      </c>
      <c r="M21" s="484" t="str">
        <f>IF(I21="","",VLOOKUP(I21,名簿!$E$4:$J$113,4,FALSE))</f>
        <v/>
      </c>
      <c r="Q21" s="446"/>
      <c r="R21" s="1043" t="str">
        <f t="shared" si="0"/>
        <v>()</v>
      </c>
      <c r="S21" s="1043" t="str">
        <f t="shared" si="1"/>
        <v>()</v>
      </c>
      <c r="T21" s="983"/>
      <c r="U21" s="983"/>
      <c r="V21" s="983"/>
      <c r="W21" s="983"/>
    </row>
    <row r="22" spans="1:23" ht="14.25" thickBot="1">
      <c r="A22" s="471">
        <v>8</v>
      </c>
      <c r="B22" s="480"/>
      <c r="C22" s="579" t="str">
        <f>IF(B22="","",VLOOKUP(B22,名簿!$E$4:$CN$113,87,FALSE))</f>
        <v/>
      </c>
      <c r="D22" s="964" t="str">
        <f>IF(B22="","",VLOOKUP(B22,名簿!$E$4:$Z$113,22,FALSE))</f>
        <v/>
      </c>
      <c r="E22" s="965" t="str">
        <f>IF(B22="","",VLOOKUP(B22,名簿!$E$4:$J$113,5,FALSE))</f>
        <v/>
      </c>
      <c r="F22" s="485" t="str">
        <f>IF(B22="","",VLOOKUP(B22,名簿!$E$4:$J$113,4,FALSE))</f>
        <v/>
      </c>
      <c r="G22" s="446"/>
      <c r="H22" s="471">
        <v>8</v>
      </c>
      <c r="I22" s="480"/>
      <c r="J22" s="579" t="str">
        <f>IF(I22="","",VLOOKUP(I22,名簿!$E$4:$CN$113,87,FALSE))</f>
        <v/>
      </c>
      <c r="K22" s="964" t="str">
        <f>IF(I22="","",VLOOKUP(I22,名簿!$E$4:$Z$113,22,FALSE))</f>
        <v/>
      </c>
      <c r="L22" s="965" t="str">
        <f>IF(I22="","",VLOOKUP(I22,名簿!$E$4:$J$113,5,FALSE))</f>
        <v/>
      </c>
      <c r="M22" s="485" t="str">
        <f>IF(I22="","",VLOOKUP(I22,名簿!$E$4:$J$113,4,FALSE))</f>
        <v/>
      </c>
      <c r="Q22" s="446"/>
      <c r="R22" s="1044" t="str">
        <f t="shared" si="0"/>
        <v>()</v>
      </c>
      <c r="S22" s="1044" t="str">
        <f t="shared" si="1"/>
        <v>()</v>
      </c>
      <c r="T22" s="983"/>
      <c r="U22" s="983"/>
      <c r="V22" s="983"/>
      <c r="W22" s="983"/>
    </row>
    <row r="23" spans="1:23">
      <c r="A23" s="466"/>
      <c r="B23" s="446"/>
      <c r="C23" s="446"/>
      <c r="D23" s="446"/>
      <c r="E23" s="450"/>
      <c r="F23" s="450"/>
      <c r="G23" s="446"/>
      <c r="H23" s="466"/>
      <c r="I23" s="446"/>
      <c r="J23" s="446"/>
      <c r="K23" s="446"/>
      <c r="L23" s="450"/>
      <c r="M23" s="450"/>
      <c r="Q23" s="446"/>
      <c r="R23" s="1045"/>
      <c r="S23" s="1045"/>
      <c r="T23" s="983"/>
      <c r="U23" s="983"/>
      <c r="V23" s="983"/>
      <c r="W23" s="983"/>
    </row>
    <row r="24" spans="1:23">
      <c r="A24" s="466" t="s">
        <v>426</v>
      </c>
      <c r="B24" s="612">
        <f>$B$7</f>
        <v>0</v>
      </c>
      <c r="C24" s="611"/>
      <c r="D24" s="446" t="s">
        <v>435</v>
      </c>
      <c r="E24" s="450"/>
      <c r="F24" s="450"/>
      <c r="G24" s="446"/>
      <c r="H24" s="466" t="s">
        <v>426</v>
      </c>
      <c r="I24" s="612">
        <f>$B$7</f>
        <v>0</v>
      </c>
      <c r="J24" s="611"/>
      <c r="K24" s="446" t="s">
        <v>435</v>
      </c>
      <c r="L24" s="446"/>
      <c r="M24" s="446"/>
      <c r="Q24" s="446"/>
      <c r="R24" s="1045"/>
      <c r="S24" s="1045"/>
      <c r="T24" s="983"/>
      <c r="U24" s="983"/>
      <c r="V24" s="983"/>
      <c r="W24" s="983"/>
    </row>
    <row r="25" spans="1:23" ht="14.25" thickBot="1">
      <c r="A25" s="466" t="s">
        <v>427</v>
      </c>
      <c r="B25" s="446"/>
      <c r="C25" s="446"/>
      <c r="D25" s="446"/>
      <c r="E25" s="450"/>
      <c r="F25" s="450"/>
      <c r="G25" s="446"/>
      <c r="H25" s="466" t="s">
        <v>428</v>
      </c>
      <c r="I25" s="446"/>
      <c r="J25" s="446"/>
      <c r="K25" s="446"/>
      <c r="L25" s="450"/>
      <c r="M25" s="450"/>
      <c r="Q25" s="446"/>
      <c r="R25" s="1045"/>
      <c r="S25" s="1045"/>
      <c r="T25" s="983"/>
      <c r="U25" s="983"/>
      <c r="V25" s="983"/>
      <c r="W25" s="983"/>
    </row>
    <row r="26" spans="1:23">
      <c r="A26" s="467"/>
      <c r="B26" s="468" t="s">
        <v>341</v>
      </c>
      <c r="C26" s="468" t="s">
        <v>283</v>
      </c>
      <c r="D26" s="468" t="s">
        <v>342</v>
      </c>
      <c r="E26" s="453" t="s">
        <v>37</v>
      </c>
      <c r="F26" s="483" t="s">
        <v>360</v>
      </c>
      <c r="G26" s="446"/>
      <c r="H26" s="467"/>
      <c r="I26" s="468" t="s">
        <v>345</v>
      </c>
      <c r="J26" s="468" t="s">
        <v>283</v>
      </c>
      <c r="K26" s="468" t="s">
        <v>342</v>
      </c>
      <c r="L26" s="453" t="s">
        <v>37</v>
      </c>
      <c r="M26" s="483" t="s">
        <v>360</v>
      </c>
      <c r="Q26" s="446"/>
      <c r="R26" s="1045">
        <f>B24</f>
        <v>0</v>
      </c>
      <c r="S26" s="1045">
        <f>I24</f>
        <v>0</v>
      </c>
      <c r="T26" s="983"/>
      <c r="U26" s="983"/>
      <c r="V26" s="983"/>
      <c r="W26" s="983"/>
    </row>
    <row r="27" spans="1:23">
      <c r="A27" s="469">
        <v>1</v>
      </c>
      <c r="B27" s="479"/>
      <c r="C27" s="454" t="str">
        <f>IF(B27="","",VLOOKUP(B27,名簿!$E$4:$CN$113,87,FALSE))</f>
        <v/>
      </c>
      <c r="D27" s="963" t="str">
        <f>IF(B27="","",VLOOKUP(B27,名簿!$E$4:$Z$113,22,FALSE))</f>
        <v/>
      </c>
      <c r="E27" s="470" t="str">
        <f>IF(B27="","",VLOOKUP(B27,名簿!$E$4:$J$113,5,FALSE))</f>
        <v/>
      </c>
      <c r="F27" s="484" t="str">
        <f>IF(B27="","",VLOOKUP(B27,名簿!$E$4:$J$113,4,FALSE))</f>
        <v/>
      </c>
      <c r="G27" s="446"/>
      <c r="H27" s="469">
        <v>1</v>
      </c>
      <c r="I27" s="479"/>
      <c r="J27" s="454" t="str">
        <f>IF(I27="","",VLOOKUP(I27,名簿!$E$4:$CN$113,87,FALSE))</f>
        <v/>
      </c>
      <c r="K27" s="963" t="str">
        <f>IF(I27="","",VLOOKUP(I27,名簿!$E$4:$Z$113,22,FALSE))</f>
        <v/>
      </c>
      <c r="L27" s="470" t="str">
        <f>IF(I27="","",VLOOKUP(I27,名簿!$E$4:$J$113,5,FALSE))</f>
        <v/>
      </c>
      <c r="M27" s="484" t="str">
        <f>IF(I27="","",VLOOKUP(I27,名簿!$E$4:$J$113,4,FALSE))</f>
        <v/>
      </c>
      <c r="N27" s="464" t="str">
        <f>IF(C27="","",1)</f>
        <v/>
      </c>
      <c r="O27" s="464" t="str">
        <f>IF(J27="","",1)</f>
        <v/>
      </c>
      <c r="Q27" s="446"/>
      <c r="R27" s="1042" t="str">
        <f t="shared" si="0"/>
        <v>()</v>
      </c>
      <c r="S27" s="1042" t="str">
        <f t="shared" si="1"/>
        <v>()</v>
      </c>
      <c r="T27" s="983"/>
      <c r="U27" s="983"/>
      <c r="V27" s="983"/>
      <c r="W27" s="983"/>
    </row>
    <row r="28" spans="1:23">
      <c r="A28" s="469">
        <v>2</v>
      </c>
      <c r="B28" s="479"/>
      <c r="C28" s="454" t="str">
        <f>IF(B28="","",VLOOKUP(B28,名簿!$E$4:$CN$113,87,FALSE))</f>
        <v/>
      </c>
      <c r="D28" s="963" t="str">
        <f>IF(B28="","",VLOOKUP(B28,名簿!$E$4:$Z$113,22,FALSE))</f>
        <v/>
      </c>
      <c r="E28" s="470" t="str">
        <f>IF(B28="","",VLOOKUP(B28,名簿!$E$4:$J$113,5,FALSE))</f>
        <v/>
      </c>
      <c r="F28" s="484" t="str">
        <f>IF(B28="","",VLOOKUP(B28,名簿!$E$4:$J$113,4,FALSE))</f>
        <v/>
      </c>
      <c r="G28" s="446"/>
      <c r="H28" s="469">
        <v>2</v>
      </c>
      <c r="I28" s="479"/>
      <c r="J28" s="454" t="str">
        <f>IF(I28="","",VLOOKUP(I28,名簿!$E$4:$CN$113,87,FALSE))</f>
        <v/>
      </c>
      <c r="K28" s="963" t="str">
        <f>IF(I28="","",VLOOKUP(I28,名簿!$E$4:$Z$113,22,FALSE))</f>
        <v/>
      </c>
      <c r="L28" s="470" t="str">
        <f>IF(I28="","",VLOOKUP(I28,名簿!$E$4:$J$113,5,FALSE))</f>
        <v/>
      </c>
      <c r="M28" s="484" t="str">
        <f>IF(I28="","",VLOOKUP(I28,名簿!$E$4:$J$113,4,FALSE))</f>
        <v/>
      </c>
      <c r="Q28" s="446"/>
      <c r="R28" s="1043" t="str">
        <f t="shared" si="0"/>
        <v>()</v>
      </c>
      <c r="S28" s="1043" t="str">
        <f t="shared" si="1"/>
        <v>()</v>
      </c>
      <c r="T28" s="983"/>
      <c r="U28" s="983"/>
      <c r="V28" s="983"/>
      <c r="W28" s="983"/>
    </row>
    <row r="29" spans="1:23">
      <c r="A29" s="469">
        <v>3</v>
      </c>
      <c r="B29" s="479"/>
      <c r="C29" s="454" t="str">
        <f>IF(B29="","",VLOOKUP(B29,名簿!$E$4:$CN$113,87,FALSE))</f>
        <v/>
      </c>
      <c r="D29" s="963" t="str">
        <f>IF(B29="","",VLOOKUP(B29,名簿!$E$4:$Z$113,22,FALSE))</f>
        <v/>
      </c>
      <c r="E29" s="470" t="str">
        <f>IF(B29="","",VLOOKUP(B29,名簿!$E$4:$J$113,5,FALSE))</f>
        <v/>
      </c>
      <c r="F29" s="484" t="str">
        <f>IF(B29="","",VLOOKUP(B29,名簿!$E$4:$J$113,4,FALSE))</f>
        <v/>
      </c>
      <c r="G29" s="446"/>
      <c r="H29" s="469">
        <v>3</v>
      </c>
      <c r="I29" s="479"/>
      <c r="J29" s="454" t="str">
        <f>IF(I29="","",VLOOKUP(I29,名簿!$E$4:$CN$113,87,FALSE))</f>
        <v/>
      </c>
      <c r="K29" s="963" t="str">
        <f>IF(I29="","",VLOOKUP(I29,名簿!$E$4:$Z$113,22,FALSE))</f>
        <v/>
      </c>
      <c r="L29" s="470" t="str">
        <f>IF(I29="","",VLOOKUP(I29,名簿!$E$4:$J$113,5,FALSE))</f>
        <v/>
      </c>
      <c r="M29" s="484" t="str">
        <f>IF(I29="","",VLOOKUP(I29,名簿!$E$4:$J$113,4,FALSE))</f>
        <v/>
      </c>
      <c r="Q29" s="446"/>
      <c r="R29" s="1043" t="str">
        <f t="shared" si="0"/>
        <v>()</v>
      </c>
      <c r="S29" s="1043" t="str">
        <f t="shared" si="1"/>
        <v>()</v>
      </c>
      <c r="T29" s="983"/>
      <c r="U29" s="983"/>
      <c r="V29" s="983"/>
      <c r="W29" s="983"/>
    </row>
    <row r="30" spans="1:23">
      <c r="A30" s="469">
        <v>4</v>
      </c>
      <c r="B30" s="479"/>
      <c r="C30" s="454" t="str">
        <f>IF(B30="","",VLOOKUP(B30,名簿!$E$4:$CN$113,87,FALSE))</f>
        <v/>
      </c>
      <c r="D30" s="963" t="str">
        <f>IF(B30="","",VLOOKUP(B30,名簿!$E$4:$Z$113,22,FALSE))</f>
        <v/>
      </c>
      <c r="E30" s="470" t="str">
        <f>IF(B30="","",VLOOKUP(B30,名簿!$E$4:$J$113,5,FALSE))</f>
        <v/>
      </c>
      <c r="F30" s="484" t="str">
        <f>IF(B30="","",VLOOKUP(B30,名簿!$E$4:$J$113,4,FALSE))</f>
        <v/>
      </c>
      <c r="G30" s="446"/>
      <c r="H30" s="469">
        <v>4</v>
      </c>
      <c r="I30" s="479"/>
      <c r="J30" s="454" t="str">
        <f>IF(I30="","",VLOOKUP(I30,名簿!$E$4:$CN$113,87,FALSE))</f>
        <v/>
      </c>
      <c r="K30" s="963" t="str">
        <f>IF(I30="","",VLOOKUP(I30,名簿!$E$4:$Z$113,22,FALSE))</f>
        <v/>
      </c>
      <c r="L30" s="470" t="str">
        <f>IF(I30="","",VLOOKUP(I30,名簿!$E$4:$J$113,5,FALSE))</f>
        <v/>
      </c>
      <c r="M30" s="484" t="str">
        <f>IF(I30="","",VLOOKUP(I30,名簿!$E$4:$J$113,4,FALSE))</f>
        <v/>
      </c>
      <c r="Q30" s="446"/>
      <c r="R30" s="1043" t="str">
        <f t="shared" si="0"/>
        <v>()</v>
      </c>
      <c r="S30" s="1043" t="str">
        <f t="shared" si="1"/>
        <v>()</v>
      </c>
      <c r="T30" s="983"/>
      <c r="U30" s="983"/>
      <c r="V30" s="983"/>
      <c r="W30" s="983"/>
    </row>
    <row r="31" spans="1:23">
      <c r="A31" s="469">
        <v>5</v>
      </c>
      <c r="B31" s="479"/>
      <c r="C31" s="454" t="str">
        <f>IF(B31="","",VLOOKUP(B31,名簿!$E$4:$CN$113,87,FALSE))</f>
        <v/>
      </c>
      <c r="D31" s="963" t="str">
        <f>IF(B31="","",VLOOKUP(B31,名簿!$E$4:$Z$113,22,FALSE))</f>
        <v/>
      </c>
      <c r="E31" s="470" t="str">
        <f>IF(B31="","",VLOOKUP(B31,名簿!$E$4:$J$113,5,FALSE))</f>
        <v/>
      </c>
      <c r="F31" s="484" t="str">
        <f>IF(B31="","",VLOOKUP(B31,名簿!$E$4:$J$113,4,FALSE))</f>
        <v/>
      </c>
      <c r="G31" s="446"/>
      <c r="H31" s="469">
        <v>5</v>
      </c>
      <c r="I31" s="479"/>
      <c r="J31" s="454" t="str">
        <f>IF(I31="","",VLOOKUP(I31,名簿!$E$4:$CN$113,87,FALSE))</f>
        <v/>
      </c>
      <c r="K31" s="963" t="str">
        <f>IF(I31="","",VLOOKUP(I31,名簿!$E$4:$Z$113,22,FALSE))</f>
        <v/>
      </c>
      <c r="L31" s="470" t="str">
        <f>IF(I31="","",VLOOKUP(I31,名簿!$E$4:$J$113,5,FALSE))</f>
        <v/>
      </c>
      <c r="M31" s="484" t="str">
        <f>IF(I31="","",VLOOKUP(I31,名簿!$E$4:$J$113,4,FALSE))</f>
        <v/>
      </c>
      <c r="Q31" s="446"/>
      <c r="R31" s="1043" t="str">
        <f t="shared" si="0"/>
        <v>()</v>
      </c>
      <c r="S31" s="1043" t="str">
        <f t="shared" si="1"/>
        <v>()</v>
      </c>
      <c r="T31" s="983"/>
      <c r="U31" s="983"/>
      <c r="V31" s="983"/>
      <c r="W31" s="983"/>
    </row>
    <row r="32" spans="1:23">
      <c r="A32" s="469">
        <v>6</v>
      </c>
      <c r="B32" s="479"/>
      <c r="C32" s="454" t="str">
        <f>IF(B32="","",VLOOKUP(B32,名簿!$E$4:$CN$113,87,FALSE))</f>
        <v/>
      </c>
      <c r="D32" s="963" t="str">
        <f>IF(B32="","",VLOOKUP(B32,名簿!$E$4:$Z$113,22,FALSE))</f>
        <v/>
      </c>
      <c r="E32" s="470" t="str">
        <f>IF(B32="","",VLOOKUP(B32,名簿!$E$4:$J$113,5,FALSE))</f>
        <v/>
      </c>
      <c r="F32" s="484" t="str">
        <f>IF(B32="","",VLOOKUP(B32,名簿!$E$4:$J$113,4,FALSE))</f>
        <v/>
      </c>
      <c r="G32" s="446"/>
      <c r="H32" s="469">
        <v>6</v>
      </c>
      <c r="I32" s="479"/>
      <c r="J32" s="454" t="str">
        <f>IF(I32="","",VLOOKUP(I32,名簿!$E$4:$CN$113,87,FALSE))</f>
        <v/>
      </c>
      <c r="K32" s="963" t="str">
        <f>IF(I32="","",VLOOKUP(I32,名簿!$E$4:$Z$113,22,FALSE))</f>
        <v/>
      </c>
      <c r="L32" s="470" t="str">
        <f>IF(I32="","",VLOOKUP(I32,名簿!$E$4:$J$113,5,FALSE))</f>
        <v/>
      </c>
      <c r="M32" s="484" t="str">
        <f>IF(I32="","",VLOOKUP(I32,名簿!$E$4:$J$113,4,FALSE))</f>
        <v/>
      </c>
      <c r="Q32" s="446"/>
      <c r="R32" s="1043" t="str">
        <f t="shared" si="0"/>
        <v>()</v>
      </c>
      <c r="S32" s="1043" t="str">
        <f t="shared" si="1"/>
        <v>()</v>
      </c>
      <c r="T32" s="983"/>
      <c r="U32" s="983"/>
      <c r="V32" s="983"/>
      <c r="W32" s="983"/>
    </row>
    <row r="33" spans="1:23">
      <c r="A33" s="469">
        <v>7</v>
      </c>
      <c r="B33" s="479"/>
      <c r="C33" s="454" t="str">
        <f>IF(B33="","",VLOOKUP(B33,名簿!$E$4:$CN$113,87,FALSE))</f>
        <v/>
      </c>
      <c r="D33" s="963" t="str">
        <f>IF(B33="","",VLOOKUP(B33,名簿!$E$4:$Z$113,22,FALSE))</f>
        <v/>
      </c>
      <c r="E33" s="470" t="str">
        <f>IF(B33="","",VLOOKUP(B33,名簿!$E$4:$J$113,5,FALSE))</f>
        <v/>
      </c>
      <c r="F33" s="484" t="str">
        <f>IF(B33="","",VLOOKUP(B33,名簿!$E$4:$J$113,4,FALSE))</f>
        <v/>
      </c>
      <c r="G33" s="446"/>
      <c r="H33" s="469">
        <v>7</v>
      </c>
      <c r="I33" s="479"/>
      <c r="J33" s="454" t="str">
        <f>IF(I33="","",VLOOKUP(I33,名簿!$E$4:$CN$113,87,FALSE))</f>
        <v/>
      </c>
      <c r="K33" s="963" t="str">
        <f>IF(I33="","",VLOOKUP(I33,名簿!$E$4:$Z$113,22,FALSE))</f>
        <v/>
      </c>
      <c r="L33" s="470" t="str">
        <f>IF(I33="","",VLOOKUP(I33,名簿!$E$4:$J$113,5,FALSE))</f>
        <v/>
      </c>
      <c r="M33" s="484" t="str">
        <f>IF(I33="","",VLOOKUP(I33,名簿!$E$4:$J$113,4,FALSE))</f>
        <v/>
      </c>
      <c r="Q33" s="446"/>
      <c r="R33" s="1043" t="str">
        <f t="shared" si="0"/>
        <v>()</v>
      </c>
      <c r="S33" s="1043" t="str">
        <f t="shared" si="1"/>
        <v>()</v>
      </c>
      <c r="T33" s="983"/>
      <c r="U33" s="983"/>
      <c r="V33" s="983"/>
      <c r="W33" s="983"/>
    </row>
    <row r="34" spans="1:23" ht="14.25" thickBot="1">
      <c r="A34" s="471">
        <v>8</v>
      </c>
      <c r="B34" s="480"/>
      <c r="C34" s="579" t="str">
        <f>IF(B34="","",VLOOKUP(B34,名簿!$E$4:$CN$113,87,FALSE))</f>
        <v/>
      </c>
      <c r="D34" s="964" t="str">
        <f>IF(B34="","",VLOOKUP(B34,名簿!$E$4:$Z$113,22,FALSE))</f>
        <v/>
      </c>
      <c r="E34" s="965" t="str">
        <f>IF(B34="","",VLOOKUP(B34,名簿!$E$4:$J$113,5,FALSE))</f>
        <v/>
      </c>
      <c r="F34" s="485" t="str">
        <f>IF(B34="","",VLOOKUP(B34,名簿!$E$4:$J$113,4,FALSE))</f>
        <v/>
      </c>
      <c r="G34" s="446"/>
      <c r="H34" s="471">
        <v>8</v>
      </c>
      <c r="I34" s="480"/>
      <c r="J34" s="579" t="str">
        <f>IF(I34="","",VLOOKUP(I34,名簿!$E$4:$CN$113,87,FALSE))</f>
        <v/>
      </c>
      <c r="K34" s="964" t="str">
        <f>IF(I34="","",VLOOKUP(I34,名簿!$E$4:$Z$113,22,FALSE))</f>
        <v/>
      </c>
      <c r="L34" s="965" t="str">
        <f>IF(I34="","",VLOOKUP(I34,名簿!$E$4:$J$113,5,FALSE))</f>
        <v/>
      </c>
      <c r="M34" s="485" t="str">
        <f>IF(I34="","",VLOOKUP(I34,名簿!$E$4:$J$113,4,FALSE))</f>
        <v/>
      </c>
      <c r="Q34" s="446"/>
      <c r="R34" s="1044" t="str">
        <f t="shared" si="0"/>
        <v>()</v>
      </c>
      <c r="S34" s="1044" t="str">
        <f t="shared" si="1"/>
        <v>()</v>
      </c>
      <c r="T34" s="983"/>
      <c r="U34" s="983"/>
      <c r="V34" s="983"/>
      <c r="W34" s="983"/>
    </row>
    <row r="35" spans="1:23">
      <c r="A35" s="472"/>
      <c r="B35" s="473"/>
      <c r="C35" s="455"/>
      <c r="D35" s="455"/>
      <c r="E35" s="456"/>
      <c r="F35" s="456"/>
      <c r="G35" s="446"/>
      <c r="H35" s="472"/>
      <c r="I35" s="473"/>
      <c r="J35" s="455"/>
      <c r="K35" s="455"/>
      <c r="L35" s="456"/>
      <c r="M35" s="456"/>
      <c r="Q35" s="446"/>
      <c r="R35" s="1045"/>
      <c r="S35" s="1045"/>
      <c r="T35" s="983"/>
      <c r="U35" s="983"/>
      <c r="V35" s="983"/>
      <c r="W35" s="983"/>
    </row>
    <row r="36" spans="1:23">
      <c r="A36" s="466" t="s">
        <v>426</v>
      </c>
      <c r="B36" s="612">
        <f>$B$7</f>
        <v>0</v>
      </c>
      <c r="C36" s="611"/>
      <c r="D36" s="446" t="s">
        <v>435</v>
      </c>
      <c r="E36" s="450"/>
      <c r="F36" s="450"/>
      <c r="G36" s="446"/>
      <c r="H36" s="466" t="s">
        <v>426</v>
      </c>
      <c r="I36" s="612">
        <f>$B$7</f>
        <v>0</v>
      </c>
      <c r="J36" s="611"/>
      <c r="K36" s="446" t="s">
        <v>435</v>
      </c>
      <c r="L36" s="446"/>
      <c r="M36" s="446"/>
      <c r="Q36" s="446"/>
      <c r="R36" s="1045"/>
      <c r="S36" s="1045"/>
      <c r="T36" s="983"/>
      <c r="U36" s="983"/>
      <c r="V36" s="983"/>
      <c r="W36" s="983"/>
    </row>
    <row r="37" spans="1:23" ht="14.25" thickBot="1">
      <c r="A37" s="474" t="s">
        <v>431</v>
      </c>
      <c r="B37" s="446"/>
      <c r="C37" s="446"/>
      <c r="D37" s="446"/>
      <c r="E37" s="450"/>
      <c r="F37" s="450"/>
      <c r="G37" s="446"/>
      <c r="H37" s="474" t="s">
        <v>432</v>
      </c>
      <c r="I37" s="446"/>
      <c r="J37" s="446"/>
      <c r="K37" s="446"/>
      <c r="L37" s="450"/>
      <c r="M37" s="450"/>
      <c r="Q37" s="446"/>
      <c r="R37" s="1045"/>
      <c r="S37" s="1045"/>
      <c r="T37" s="983"/>
      <c r="U37" s="983"/>
      <c r="V37" s="983"/>
      <c r="W37" s="983"/>
    </row>
    <row r="38" spans="1:23">
      <c r="A38" s="467"/>
      <c r="B38" s="468" t="s">
        <v>343</v>
      </c>
      <c r="C38" s="468" t="s">
        <v>283</v>
      </c>
      <c r="D38" s="468" t="s">
        <v>342</v>
      </c>
      <c r="E38" s="453" t="s">
        <v>37</v>
      </c>
      <c r="F38" s="483" t="s">
        <v>360</v>
      </c>
      <c r="G38" s="446"/>
      <c r="H38" s="467"/>
      <c r="I38" s="468" t="s">
        <v>345</v>
      </c>
      <c r="J38" s="468" t="s">
        <v>283</v>
      </c>
      <c r="K38" s="468" t="s">
        <v>342</v>
      </c>
      <c r="L38" s="453" t="s">
        <v>37</v>
      </c>
      <c r="M38" s="483" t="s">
        <v>360</v>
      </c>
      <c r="Q38" s="446"/>
      <c r="R38" s="1045">
        <f>B36</f>
        <v>0</v>
      </c>
      <c r="S38" s="1045">
        <f>I36</f>
        <v>0</v>
      </c>
      <c r="T38" s="983"/>
      <c r="U38" s="983"/>
      <c r="V38" s="983"/>
      <c r="W38" s="983"/>
    </row>
    <row r="39" spans="1:23">
      <c r="A39" s="469">
        <v>1</v>
      </c>
      <c r="B39" s="479"/>
      <c r="C39" s="454" t="str">
        <f>IF(B39="","",VLOOKUP(B39,名簿!$E$4:$CN$113,87,FALSE))</f>
        <v/>
      </c>
      <c r="D39" s="963" t="str">
        <f>IF(B39="","",VLOOKUP(B39,名簿!$E$4:$Z$113,22,FALSE))</f>
        <v/>
      </c>
      <c r="E39" s="470" t="str">
        <f>IF(B39="","",VLOOKUP(B39,名簿!$E$4:$J$113,5,FALSE))</f>
        <v/>
      </c>
      <c r="F39" s="484" t="str">
        <f>IF(B39="","",VLOOKUP(B39,名簿!$E$4:$J$113,4,FALSE))</f>
        <v/>
      </c>
      <c r="G39" s="446"/>
      <c r="H39" s="469">
        <v>1</v>
      </c>
      <c r="I39" s="479"/>
      <c r="J39" s="454" t="str">
        <f>IF(I39="","",VLOOKUP(I39,名簿!$E$4:$CN$113,87,FALSE))</f>
        <v/>
      </c>
      <c r="K39" s="963" t="str">
        <f>IF(I39="","",VLOOKUP(I39,名簿!$E$4:$Z$113,22,FALSE))</f>
        <v/>
      </c>
      <c r="L39" s="470" t="str">
        <f>IF(I39="","",VLOOKUP(I39,名簿!$E$4:$J$113,5,FALSE))</f>
        <v/>
      </c>
      <c r="M39" s="484" t="str">
        <f>IF(I39="","",VLOOKUP(I39,名簿!$E$4:$J$113,4,FALSE))</f>
        <v/>
      </c>
      <c r="N39" s="464" t="str">
        <f>IF(C39="","",1)</f>
        <v/>
      </c>
      <c r="O39" s="464" t="str">
        <f>IF(J39="","",1)</f>
        <v/>
      </c>
      <c r="Q39" s="446"/>
      <c r="R39" s="1042" t="str">
        <f t="shared" si="0"/>
        <v>()</v>
      </c>
      <c r="S39" s="1042" t="str">
        <f t="shared" si="1"/>
        <v>()</v>
      </c>
      <c r="T39" s="983"/>
      <c r="U39" s="983"/>
      <c r="V39" s="983"/>
      <c r="W39" s="983"/>
    </row>
    <row r="40" spans="1:23">
      <c r="A40" s="469">
        <v>2</v>
      </c>
      <c r="B40" s="479"/>
      <c r="C40" s="454" t="str">
        <f>IF(B40="","",VLOOKUP(B40,名簿!$E$4:$CN$113,87,FALSE))</f>
        <v/>
      </c>
      <c r="D40" s="963" t="str">
        <f>IF(B40="","",VLOOKUP(B40,名簿!$E$4:$Z$113,22,FALSE))</f>
        <v/>
      </c>
      <c r="E40" s="470" t="str">
        <f>IF(B40="","",VLOOKUP(B40,名簿!$E$4:$J$113,5,FALSE))</f>
        <v/>
      </c>
      <c r="F40" s="484" t="str">
        <f>IF(B40="","",VLOOKUP(B40,名簿!$E$4:$J$113,4,FALSE))</f>
        <v/>
      </c>
      <c r="G40" s="446"/>
      <c r="H40" s="469">
        <v>2</v>
      </c>
      <c r="I40" s="479"/>
      <c r="J40" s="454" t="str">
        <f>IF(I40="","",VLOOKUP(I40,名簿!$E$4:$CN$113,87,FALSE))</f>
        <v/>
      </c>
      <c r="K40" s="963" t="str">
        <f>IF(I40="","",VLOOKUP(I40,名簿!$E$4:$Z$113,22,FALSE))</f>
        <v/>
      </c>
      <c r="L40" s="470" t="str">
        <f>IF(I40="","",VLOOKUP(I40,名簿!$E$4:$J$113,5,FALSE))</f>
        <v/>
      </c>
      <c r="M40" s="484" t="str">
        <f>IF(I40="","",VLOOKUP(I40,名簿!$E$4:$J$113,4,FALSE))</f>
        <v/>
      </c>
      <c r="Q40" s="446"/>
      <c r="R40" s="1043" t="str">
        <f t="shared" si="0"/>
        <v>()</v>
      </c>
      <c r="S40" s="1043" t="str">
        <f t="shared" si="1"/>
        <v>()</v>
      </c>
      <c r="T40" s="983"/>
      <c r="U40" s="983"/>
      <c r="V40" s="983"/>
      <c r="W40" s="983"/>
    </row>
    <row r="41" spans="1:23">
      <c r="A41" s="469">
        <v>3</v>
      </c>
      <c r="B41" s="479"/>
      <c r="C41" s="454" t="str">
        <f>IF(B41="","",VLOOKUP(B41,名簿!$E$4:$CN$113,87,FALSE))</f>
        <v/>
      </c>
      <c r="D41" s="963" t="str">
        <f>IF(B41="","",VLOOKUP(B41,名簿!$E$4:$Z$113,22,FALSE))</f>
        <v/>
      </c>
      <c r="E41" s="470" t="str">
        <f>IF(B41="","",VLOOKUP(B41,名簿!$E$4:$J$113,5,FALSE))</f>
        <v/>
      </c>
      <c r="F41" s="484" t="str">
        <f>IF(B41="","",VLOOKUP(B41,名簿!$E$4:$J$113,4,FALSE))</f>
        <v/>
      </c>
      <c r="G41" s="446"/>
      <c r="H41" s="469">
        <v>3</v>
      </c>
      <c r="I41" s="479"/>
      <c r="J41" s="454" t="str">
        <f>IF(I41="","",VLOOKUP(I41,名簿!$E$4:$CN$113,87,FALSE))</f>
        <v/>
      </c>
      <c r="K41" s="963" t="str">
        <f>IF(I41="","",VLOOKUP(I41,名簿!$E$4:$Z$113,22,FALSE))</f>
        <v/>
      </c>
      <c r="L41" s="470" t="str">
        <f>IF(I41="","",VLOOKUP(I41,名簿!$E$4:$J$113,5,FALSE))</f>
        <v/>
      </c>
      <c r="M41" s="484" t="str">
        <f>IF(I41="","",VLOOKUP(I41,名簿!$E$4:$J$113,4,FALSE))</f>
        <v/>
      </c>
      <c r="Q41" s="446"/>
      <c r="R41" s="1043" t="str">
        <f t="shared" si="0"/>
        <v>()</v>
      </c>
      <c r="S41" s="1043" t="str">
        <f t="shared" si="1"/>
        <v>()</v>
      </c>
      <c r="T41" s="983"/>
      <c r="U41" s="983"/>
      <c r="V41" s="983"/>
      <c r="W41" s="983"/>
    </row>
    <row r="42" spans="1:23">
      <c r="A42" s="469">
        <v>4</v>
      </c>
      <c r="B42" s="479"/>
      <c r="C42" s="454" t="str">
        <f>IF(B42="","",VLOOKUP(B42,名簿!$E$4:$CN$113,87,FALSE))</f>
        <v/>
      </c>
      <c r="D42" s="963" t="str">
        <f>IF(B42="","",VLOOKUP(B42,名簿!$E$4:$Z$113,22,FALSE))</f>
        <v/>
      </c>
      <c r="E42" s="470" t="str">
        <f>IF(B42="","",VLOOKUP(B42,名簿!$E$4:$J$113,5,FALSE))</f>
        <v/>
      </c>
      <c r="F42" s="484" t="str">
        <f>IF(B42="","",VLOOKUP(B42,名簿!$E$4:$J$113,4,FALSE))</f>
        <v/>
      </c>
      <c r="G42" s="446"/>
      <c r="H42" s="469">
        <v>4</v>
      </c>
      <c r="I42" s="479"/>
      <c r="J42" s="454" t="str">
        <f>IF(I42="","",VLOOKUP(I42,名簿!$E$4:$CN$113,87,FALSE))</f>
        <v/>
      </c>
      <c r="K42" s="963" t="str">
        <f>IF(I42="","",VLOOKUP(I42,名簿!$E$4:$Z$113,22,FALSE))</f>
        <v/>
      </c>
      <c r="L42" s="470" t="str">
        <f>IF(I42="","",VLOOKUP(I42,名簿!$E$4:$J$113,5,FALSE))</f>
        <v/>
      </c>
      <c r="M42" s="484" t="str">
        <f>IF(I42="","",VLOOKUP(I42,名簿!$E$4:$J$113,4,FALSE))</f>
        <v/>
      </c>
      <c r="Q42" s="446"/>
      <c r="R42" s="1043" t="str">
        <f t="shared" si="0"/>
        <v>()</v>
      </c>
      <c r="S42" s="1043" t="str">
        <f t="shared" si="1"/>
        <v>()</v>
      </c>
      <c r="T42" s="983"/>
      <c r="U42" s="983"/>
      <c r="V42" s="983"/>
      <c r="W42" s="983"/>
    </row>
    <row r="43" spans="1:23">
      <c r="A43" s="469">
        <v>5</v>
      </c>
      <c r="B43" s="479"/>
      <c r="C43" s="454" t="str">
        <f>IF(B43="","",VLOOKUP(B43,名簿!$E$4:$CN$113,87,FALSE))</f>
        <v/>
      </c>
      <c r="D43" s="963" t="str">
        <f>IF(B43="","",VLOOKUP(B43,名簿!$E$4:$Z$113,22,FALSE))</f>
        <v/>
      </c>
      <c r="E43" s="470" t="str">
        <f>IF(B43="","",VLOOKUP(B43,名簿!$E$4:$J$113,5,FALSE))</f>
        <v/>
      </c>
      <c r="F43" s="484" t="str">
        <f>IF(B43="","",VLOOKUP(B43,名簿!$E$4:$J$113,4,FALSE))</f>
        <v/>
      </c>
      <c r="G43" s="446"/>
      <c r="H43" s="469">
        <v>5</v>
      </c>
      <c r="I43" s="479"/>
      <c r="J43" s="454" t="str">
        <f>IF(I43="","",VLOOKUP(I43,名簿!$E$4:$CN$113,87,FALSE))</f>
        <v/>
      </c>
      <c r="K43" s="963" t="str">
        <f>IF(I43="","",VLOOKUP(I43,名簿!$E$4:$Z$113,22,FALSE))</f>
        <v/>
      </c>
      <c r="L43" s="470" t="str">
        <f>IF(I43="","",VLOOKUP(I43,名簿!$E$4:$J$113,5,FALSE))</f>
        <v/>
      </c>
      <c r="M43" s="484" t="str">
        <f>IF(I43="","",VLOOKUP(I43,名簿!$E$4:$J$113,4,FALSE))</f>
        <v/>
      </c>
      <c r="Q43" s="446"/>
      <c r="R43" s="1043" t="str">
        <f t="shared" si="0"/>
        <v>()</v>
      </c>
      <c r="S43" s="1043" t="str">
        <f t="shared" si="1"/>
        <v>()</v>
      </c>
      <c r="T43" s="983"/>
      <c r="U43" s="983"/>
      <c r="V43" s="983"/>
      <c r="W43" s="983"/>
    </row>
    <row r="44" spans="1:23">
      <c r="A44" s="469">
        <v>6</v>
      </c>
      <c r="B44" s="479"/>
      <c r="C44" s="454" t="str">
        <f>IF(B44="","",VLOOKUP(B44,名簿!$E$4:$CN$113,87,FALSE))</f>
        <v/>
      </c>
      <c r="D44" s="963" t="str">
        <f>IF(B44="","",VLOOKUP(B44,名簿!$E$4:$Z$113,22,FALSE))</f>
        <v/>
      </c>
      <c r="E44" s="470" t="str">
        <f>IF(B44="","",VLOOKUP(B44,名簿!$E$4:$J$113,5,FALSE))</f>
        <v/>
      </c>
      <c r="F44" s="484" t="str">
        <f>IF(B44="","",VLOOKUP(B44,名簿!$E$4:$J$113,4,FALSE))</f>
        <v/>
      </c>
      <c r="G44" s="446"/>
      <c r="H44" s="469">
        <v>6</v>
      </c>
      <c r="I44" s="479"/>
      <c r="J44" s="454" t="str">
        <f>IF(I44="","",VLOOKUP(I44,名簿!$E$4:$CN$113,87,FALSE))</f>
        <v/>
      </c>
      <c r="K44" s="963" t="str">
        <f>IF(I44="","",VLOOKUP(I44,名簿!$E$4:$Z$113,22,FALSE))</f>
        <v/>
      </c>
      <c r="L44" s="470" t="str">
        <f>IF(I44="","",VLOOKUP(I44,名簿!$E$4:$J$113,5,FALSE))</f>
        <v/>
      </c>
      <c r="M44" s="484" t="str">
        <f>IF(I44="","",VLOOKUP(I44,名簿!$E$4:$J$113,4,FALSE))</f>
        <v/>
      </c>
      <c r="Q44" s="446"/>
      <c r="R44" s="1043" t="str">
        <f t="shared" si="0"/>
        <v>()</v>
      </c>
      <c r="S44" s="1043" t="str">
        <f t="shared" si="1"/>
        <v>()</v>
      </c>
      <c r="T44" s="983"/>
      <c r="U44" s="983"/>
      <c r="V44" s="983"/>
      <c r="W44" s="983"/>
    </row>
    <row r="45" spans="1:23">
      <c r="A45" s="469">
        <v>7</v>
      </c>
      <c r="B45" s="479"/>
      <c r="C45" s="454" t="str">
        <f>IF(B45="","",VLOOKUP(B45,名簿!$E$4:$CN$113,87,FALSE))</f>
        <v/>
      </c>
      <c r="D45" s="963" t="str">
        <f>IF(B45="","",VLOOKUP(B45,名簿!$E$4:$Z$113,22,FALSE))</f>
        <v/>
      </c>
      <c r="E45" s="470" t="str">
        <f>IF(B45="","",VLOOKUP(B45,名簿!$E$4:$J$113,5,FALSE))</f>
        <v/>
      </c>
      <c r="F45" s="484" t="str">
        <f>IF(B45="","",VLOOKUP(B45,名簿!$E$4:$J$113,4,FALSE))</f>
        <v/>
      </c>
      <c r="G45" s="446"/>
      <c r="H45" s="469">
        <v>7</v>
      </c>
      <c r="I45" s="479"/>
      <c r="J45" s="454" t="str">
        <f>IF(I45="","",VLOOKUP(I45,名簿!$E$4:$CN$113,87,FALSE))</f>
        <v/>
      </c>
      <c r="K45" s="963" t="str">
        <f>IF(I45="","",VLOOKUP(I45,名簿!$E$4:$Z$113,22,FALSE))</f>
        <v/>
      </c>
      <c r="L45" s="470" t="str">
        <f>IF(I45="","",VLOOKUP(I45,名簿!$E$4:$J$113,5,FALSE))</f>
        <v/>
      </c>
      <c r="M45" s="484" t="str">
        <f>IF(I45="","",VLOOKUP(I45,名簿!$E$4:$J$113,4,FALSE))</f>
        <v/>
      </c>
      <c r="Q45" s="446"/>
      <c r="R45" s="1043" t="str">
        <f t="shared" si="0"/>
        <v>()</v>
      </c>
      <c r="S45" s="1043" t="str">
        <f t="shared" si="1"/>
        <v>()</v>
      </c>
      <c r="T45" s="983"/>
      <c r="U45" s="983"/>
      <c r="V45" s="983"/>
      <c r="W45" s="983"/>
    </row>
    <row r="46" spans="1:23" ht="14.25" thickBot="1">
      <c r="A46" s="471">
        <v>8</v>
      </c>
      <c r="B46" s="480"/>
      <c r="C46" s="579" t="str">
        <f>IF(B46="","",VLOOKUP(B46,名簿!$E$4:$CN$113,87,FALSE))</f>
        <v/>
      </c>
      <c r="D46" s="964" t="str">
        <f>IF(B46="","",VLOOKUP(B46,名簿!$E$4:$Z$113,22,FALSE))</f>
        <v/>
      </c>
      <c r="E46" s="965" t="str">
        <f>IF(B46="","",VLOOKUP(B46,名簿!$E$4:$J$113,5,FALSE))</f>
        <v/>
      </c>
      <c r="F46" s="485" t="str">
        <f>IF(B46="","",VLOOKUP(B46,名簿!$E$4:$J$113,4,FALSE))</f>
        <v/>
      </c>
      <c r="G46" s="446"/>
      <c r="H46" s="471">
        <v>8</v>
      </c>
      <c r="I46" s="480"/>
      <c r="J46" s="579" t="str">
        <f>IF(I46="","",VLOOKUP(I46,名簿!$E$4:$CN$113,87,FALSE))</f>
        <v/>
      </c>
      <c r="K46" s="964" t="str">
        <f>IF(I46="","",VLOOKUP(I46,名簿!$E$4:$Z$113,22,FALSE))</f>
        <v/>
      </c>
      <c r="L46" s="965" t="str">
        <f>IF(I46="","",VLOOKUP(I46,名簿!$E$4:$J$113,5,FALSE))</f>
        <v/>
      </c>
      <c r="M46" s="485" t="str">
        <f>IF(I46="","",VLOOKUP(I46,名簿!$E$4:$J$113,4,FALSE))</f>
        <v/>
      </c>
      <c r="Q46" s="446"/>
      <c r="R46" s="1044" t="str">
        <f t="shared" si="0"/>
        <v>()</v>
      </c>
      <c r="S46" s="1044" t="str">
        <f t="shared" si="1"/>
        <v>()</v>
      </c>
      <c r="T46" s="983"/>
      <c r="U46" s="983"/>
      <c r="V46" s="983"/>
      <c r="W46" s="983"/>
    </row>
    <row r="47" spans="1:23">
      <c r="A47" s="474"/>
      <c r="B47" s="446"/>
      <c r="C47" s="446"/>
      <c r="D47" s="446"/>
      <c r="E47" s="450"/>
      <c r="F47" s="450"/>
      <c r="G47" s="446"/>
      <c r="H47" s="474"/>
      <c r="I47" s="446"/>
      <c r="J47" s="446"/>
      <c r="K47" s="446"/>
      <c r="L47" s="450"/>
      <c r="M47" s="450"/>
      <c r="Q47" s="446"/>
      <c r="R47" s="1045"/>
      <c r="S47" s="1045"/>
      <c r="T47" s="983"/>
      <c r="U47" s="983"/>
      <c r="V47" s="983"/>
      <c r="W47" s="983"/>
    </row>
    <row r="48" spans="1:23">
      <c r="A48" s="466" t="s">
        <v>426</v>
      </c>
      <c r="B48" s="612">
        <f>$B$7</f>
        <v>0</v>
      </c>
      <c r="C48" s="611"/>
      <c r="D48" s="446" t="s">
        <v>435</v>
      </c>
      <c r="E48" s="450"/>
      <c r="F48" s="450"/>
      <c r="G48" s="446"/>
      <c r="H48" s="466" t="s">
        <v>426</v>
      </c>
      <c r="I48" s="612">
        <f>$B$7</f>
        <v>0</v>
      </c>
      <c r="J48" s="611"/>
      <c r="K48" s="446" t="s">
        <v>435</v>
      </c>
      <c r="L48" s="446"/>
      <c r="M48" s="446"/>
      <c r="Q48" s="446"/>
      <c r="R48" s="1045"/>
      <c r="S48" s="1045"/>
      <c r="T48" s="983"/>
      <c r="U48" s="983"/>
      <c r="V48" s="983"/>
      <c r="W48" s="983"/>
    </row>
    <row r="49" spans="1:23" ht="14.25" thickBot="1">
      <c r="A49" s="474" t="s">
        <v>429</v>
      </c>
      <c r="B49" s="446"/>
      <c r="C49" s="446"/>
      <c r="D49" s="446"/>
      <c r="E49" s="450"/>
      <c r="F49" s="450"/>
      <c r="G49" s="446"/>
      <c r="H49" s="474" t="s">
        <v>430</v>
      </c>
      <c r="I49" s="446"/>
      <c r="J49" s="446"/>
      <c r="K49" s="446"/>
      <c r="L49" s="450"/>
      <c r="M49" s="450"/>
      <c r="Q49" s="446"/>
      <c r="R49" s="1045"/>
      <c r="S49" s="1045"/>
      <c r="T49" s="983"/>
      <c r="U49" s="983"/>
      <c r="V49" s="983"/>
      <c r="W49" s="983"/>
    </row>
    <row r="50" spans="1:23">
      <c r="A50" s="467"/>
      <c r="B50" s="468" t="s">
        <v>343</v>
      </c>
      <c r="C50" s="468" t="s">
        <v>283</v>
      </c>
      <c r="D50" s="468" t="s">
        <v>342</v>
      </c>
      <c r="E50" s="453" t="s">
        <v>37</v>
      </c>
      <c r="F50" s="483" t="s">
        <v>360</v>
      </c>
      <c r="G50" s="446"/>
      <c r="H50" s="467"/>
      <c r="I50" s="468" t="s">
        <v>345</v>
      </c>
      <c r="J50" s="468" t="s">
        <v>283</v>
      </c>
      <c r="K50" s="468" t="s">
        <v>342</v>
      </c>
      <c r="L50" s="453" t="s">
        <v>37</v>
      </c>
      <c r="M50" s="483" t="s">
        <v>360</v>
      </c>
      <c r="Q50" s="446"/>
      <c r="R50" s="1045">
        <f>B48</f>
        <v>0</v>
      </c>
      <c r="S50" s="1045">
        <f>I48</f>
        <v>0</v>
      </c>
      <c r="T50" s="983"/>
      <c r="U50" s="983"/>
      <c r="V50" s="983"/>
      <c r="W50" s="983"/>
    </row>
    <row r="51" spans="1:23">
      <c r="A51" s="469">
        <v>1</v>
      </c>
      <c r="B51" s="479"/>
      <c r="C51" s="454" t="str">
        <f>IF(B51="","",VLOOKUP(B51,名簿!$E$4:$CN$113,87,FALSE))</f>
        <v/>
      </c>
      <c r="D51" s="963" t="str">
        <f>IF(B51="","",VLOOKUP(B51,名簿!$E$4:$Z$113,22,FALSE))</f>
        <v/>
      </c>
      <c r="E51" s="470" t="str">
        <f>IF(B51="","",VLOOKUP(B51,名簿!$E$4:$J$113,5,FALSE))</f>
        <v/>
      </c>
      <c r="F51" s="484" t="str">
        <f>IF(B51="","",VLOOKUP(B51,名簿!$E$4:$J$113,4,FALSE))</f>
        <v/>
      </c>
      <c r="G51" s="446"/>
      <c r="H51" s="469">
        <v>1</v>
      </c>
      <c r="I51" s="479"/>
      <c r="J51" s="454" t="str">
        <f>IF(I51="","",VLOOKUP(I51,名簿!$E$4:$CN$113,87,FALSE))</f>
        <v/>
      </c>
      <c r="K51" s="963" t="str">
        <f>IF(I51="","",VLOOKUP(I51,名簿!$E$4:$Z$113,22,FALSE))</f>
        <v/>
      </c>
      <c r="L51" s="470" t="str">
        <f>IF(I51="","",VLOOKUP(I51,名簿!$E$4:$J$113,5,FALSE))</f>
        <v/>
      </c>
      <c r="M51" s="484" t="str">
        <f>IF(I51="","",VLOOKUP(I51,名簿!$E$4:$J$113,4,FALSE))</f>
        <v/>
      </c>
      <c r="N51" s="464" t="str">
        <f>IF(C51="","",1)</f>
        <v/>
      </c>
      <c r="O51" s="464" t="str">
        <f>IF(J51="","",1)</f>
        <v/>
      </c>
      <c r="Q51" s="446"/>
      <c r="R51" s="1042" t="str">
        <f t="shared" si="0"/>
        <v>()</v>
      </c>
      <c r="S51" s="1042" t="str">
        <f t="shared" si="1"/>
        <v>()</v>
      </c>
      <c r="T51" s="983"/>
      <c r="U51" s="983"/>
      <c r="V51" s="983"/>
      <c r="W51" s="983"/>
    </row>
    <row r="52" spans="1:23">
      <c r="A52" s="469">
        <v>2</v>
      </c>
      <c r="B52" s="479"/>
      <c r="C52" s="454" t="str">
        <f>IF(B52="","",VLOOKUP(B52,名簿!$E$4:$CN$113,87,FALSE))</f>
        <v/>
      </c>
      <c r="D52" s="963" t="str">
        <f>IF(B52="","",VLOOKUP(B52,名簿!$E$4:$Z$113,22,FALSE))</f>
        <v/>
      </c>
      <c r="E52" s="470" t="str">
        <f>IF(B52="","",VLOOKUP(B52,名簿!$E$4:$J$113,5,FALSE))</f>
        <v/>
      </c>
      <c r="F52" s="484" t="str">
        <f>IF(B52="","",VLOOKUP(B52,名簿!$E$4:$J$113,4,FALSE))</f>
        <v/>
      </c>
      <c r="G52" s="446"/>
      <c r="H52" s="469">
        <v>2</v>
      </c>
      <c r="I52" s="479"/>
      <c r="J52" s="454" t="str">
        <f>IF(I52="","",VLOOKUP(I52,名簿!$E$4:$CN$113,87,FALSE))</f>
        <v/>
      </c>
      <c r="K52" s="963" t="str">
        <f>IF(I52="","",VLOOKUP(I52,名簿!$E$4:$Z$113,22,FALSE))</f>
        <v/>
      </c>
      <c r="L52" s="470" t="str">
        <f>IF(I52="","",VLOOKUP(I52,名簿!$E$4:$J$113,5,FALSE))</f>
        <v/>
      </c>
      <c r="M52" s="484" t="str">
        <f>IF(I52="","",VLOOKUP(I52,名簿!$E$4:$J$113,4,FALSE))</f>
        <v/>
      </c>
      <c r="Q52" s="446"/>
      <c r="R52" s="1043" t="str">
        <f t="shared" si="0"/>
        <v>()</v>
      </c>
      <c r="S52" s="1043" t="str">
        <f t="shared" si="1"/>
        <v>()</v>
      </c>
      <c r="T52" s="983"/>
      <c r="U52" s="983"/>
      <c r="V52" s="983"/>
      <c r="W52" s="983"/>
    </row>
    <row r="53" spans="1:23">
      <c r="A53" s="469">
        <v>3</v>
      </c>
      <c r="B53" s="479"/>
      <c r="C53" s="454" t="str">
        <f>IF(B53="","",VLOOKUP(B53,名簿!$E$4:$CN$113,87,FALSE))</f>
        <v/>
      </c>
      <c r="D53" s="963" t="str">
        <f>IF(B53="","",VLOOKUP(B53,名簿!$E$4:$Z$113,22,FALSE))</f>
        <v/>
      </c>
      <c r="E53" s="470" t="str">
        <f>IF(B53="","",VLOOKUP(B53,名簿!$E$4:$J$113,5,FALSE))</f>
        <v/>
      </c>
      <c r="F53" s="484" t="str">
        <f>IF(B53="","",VLOOKUP(B53,名簿!$E$4:$J$113,4,FALSE))</f>
        <v/>
      </c>
      <c r="G53" s="446"/>
      <c r="H53" s="469">
        <v>3</v>
      </c>
      <c r="I53" s="479"/>
      <c r="J53" s="454" t="str">
        <f>IF(I53="","",VLOOKUP(I53,名簿!$E$4:$CN$113,87,FALSE))</f>
        <v/>
      </c>
      <c r="K53" s="963" t="str">
        <f>IF(I53="","",VLOOKUP(I53,名簿!$E$4:$Z$113,22,FALSE))</f>
        <v/>
      </c>
      <c r="L53" s="470" t="str">
        <f>IF(I53="","",VLOOKUP(I53,名簿!$E$4:$J$113,5,FALSE))</f>
        <v/>
      </c>
      <c r="M53" s="484" t="str">
        <f>IF(I53="","",VLOOKUP(I53,名簿!$E$4:$J$113,4,FALSE))</f>
        <v/>
      </c>
      <c r="Q53" s="446"/>
      <c r="R53" s="1043" t="str">
        <f t="shared" si="0"/>
        <v>()</v>
      </c>
      <c r="S53" s="1043" t="str">
        <f t="shared" si="1"/>
        <v>()</v>
      </c>
      <c r="T53" s="983"/>
      <c r="U53" s="983"/>
      <c r="V53" s="983"/>
      <c r="W53" s="983"/>
    </row>
    <row r="54" spans="1:23">
      <c r="A54" s="469">
        <v>4</v>
      </c>
      <c r="B54" s="479"/>
      <c r="C54" s="454" t="str">
        <f>IF(B54="","",VLOOKUP(B54,名簿!$E$4:$CN$113,87,FALSE))</f>
        <v/>
      </c>
      <c r="D54" s="963" t="str">
        <f>IF(B54="","",VLOOKUP(B54,名簿!$E$4:$Z$113,22,FALSE))</f>
        <v/>
      </c>
      <c r="E54" s="470" t="str">
        <f>IF(B54="","",VLOOKUP(B54,名簿!$E$4:$J$113,5,FALSE))</f>
        <v/>
      </c>
      <c r="F54" s="484" t="str">
        <f>IF(B54="","",VLOOKUP(B54,名簿!$E$4:$J$113,4,FALSE))</f>
        <v/>
      </c>
      <c r="G54" s="446"/>
      <c r="H54" s="469">
        <v>4</v>
      </c>
      <c r="I54" s="479"/>
      <c r="J54" s="454" t="str">
        <f>IF(I54="","",VLOOKUP(I54,名簿!$E$4:$CN$113,87,FALSE))</f>
        <v/>
      </c>
      <c r="K54" s="963" t="str">
        <f>IF(I54="","",VLOOKUP(I54,名簿!$E$4:$Z$113,22,FALSE))</f>
        <v/>
      </c>
      <c r="L54" s="470" t="str">
        <f>IF(I54="","",VLOOKUP(I54,名簿!$E$4:$J$113,5,FALSE))</f>
        <v/>
      </c>
      <c r="M54" s="484" t="str">
        <f>IF(I54="","",VLOOKUP(I54,名簿!$E$4:$J$113,4,FALSE))</f>
        <v/>
      </c>
      <c r="Q54" s="446"/>
      <c r="R54" s="1043" t="str">
        <f t="shared" si="0"/>
        <v>()</v>
      </c>
      <c r="S54" s="1043" t="str">
        <f t="shared" si="1"/>
        <v>()</v>
      </c>
      <c r="T54" s="983"/>
      <c r="U54" s="983"/>
      <c r="V54" s="983"/>
      <c r="W54" s="983"/>
    </row>
    <row r="55" spans="1:23">
      <c r="A55" s="469">
        <v>5</v>
      </c>
      <c r="B55" s="479"/>
      <c r="C55" s="454" t="str">
        <f>IF(B55="","",VLOOKUP(B55,名簿!$E$4:$CN$113,87,FALSE))</f>
        <v/>
      </c>
      <c r="D55" s="963" t="str">
        <f>IF(B55="","",VLOOKUP(B55,名簿!$E$4:$Z$113,22,FALSE))</f>
        <v/>
      </c>
      <c r="E55" s="470" t="str">
        <f>IF(B55="","",VLOOKUP(B55,名簿!$E$4:$J$113,5,FALSE))</f>
        <v/>
      </c>
      <c r="F55" s="484" t="str">
        <f>IF(B55="","",VLOOKUP(B55,名簿!$E$4:$J$113,4,FALSE))</f>
        <v/>
      </c>
      <c r="G55" s="446"/>
      <c r="H55" s="469">
        <v>5</v>
      </c>
      <c r="I55" s="479"/>
      <c r="J55" s="454" t="str">
        <f>IF(I55="","",VLOOKUP(I55,名簿!$E$4:$CN$113,87,FALSE))</f>
        <v/>
      </c>
      <c r="K55" s="963" t="str">
        <f>IF(I55="","",VLOOKUP(I55,名簿!$E$4:$Z$113,22,FALSE))</f>
        <v/>
      </c>
      <c r="L55" s="470" t="str">
        <f>IF(I55="","",VLOOKUP(I55,名簿!$E$4:$J$113,5,FALSE))</f>
        <v/>
      </c>
      <c r="M55" s="484" t="str">
        <f>IF(I55="","",VLOOKUP(I55,名簿!$E$4:$J$113,4,FALSE))</f>
        <v/>
      </c>
      <c r="Q55" s="446"/>
      <c r="R55" s="1043" t="str">
        <f t="shared" si="0"/>
        <v>()</v>
      </c>
      <c r="S55" s="1043" t="str">
        <f t="shared" si="1"/>
        <v>()</v>
      </c>
      <c r="T55" s="983"/>
      <c r="U55" s="983"/>
      <c r="V55" s="983"/>
      <c r="W55" s="983"/>
    </row>
    <row r="56" spans="1:23">
      <c r="A56" s="469">
        <v>6</v>
      </c>
      <c r="B56" s="479"/>
      <c r="C56" s="454" t="str">
        <f>IF(B56="","",VLOOKUP(B56,名簿!$E$4:$CN$113,87,FALSE))</f>
        <v/>
      </c>
      <c r="D56" s="963" t="str">
        <f>IF(B56="","",VLOOKUP(B56,名簿!$E$4:$Z$113,22,FALSE))</f>
        <v/>
      </c>
      <c r="E56" s="470" t="str">
        <f>IF(B56="","",VLOOKUP(B56,名簿!$E$4:$J$113,5,FALSE))</f>
        <v/>
      </c>
      <c r="F56" s="484" t="str">
        <f>IF(B56="","",VLOOKUP(B56,名簿!$E$4:$J$113,4,FALSE))</f>
        <v/>
      </c>
      <c r="G56" s="446"/>
      <c r="H56" s="469">
        <v>6</v>
      </c>
      <c r="I56" s="479"/>
      <c r="J56" s="454" t="str">
        <f>IF(I56="","",VLOOKUP(I56,名簿!$E$4:$CN$113,87,FALSE))</f>
        <v/>
      </c>
      <c r="K56" s="963" t="str">
        <f>IF(I56="","",VLOOKUP(I56,名簿!$E$4:$Z$113,22,FALSE))</f>
        <v/>
      </c>
      <c r="L56" s="470" t="str">
        <f>IF(I56="","",VLOOKUP(I56,名簿!$E$4:$J$113,5,FALSE))</f>
        <v/>
      </c>
      <c r="M56" s="484" t="str">
        <f>IF(I56="","",VLOOKUP(I56,名簿!$E$4:$J$113,4,FALSE))</f>
        <v/>
      </c>
      <c r="Q56" s="446"/>
      <c r="R56" s="1043" t="str">
        <f t="shared" si="0"/>
        <v>()</v>
      </c>
      <c r="S56" s="1043" t="str">
        <f t="shared" si="1"/>
        <v>()</v>
      </c>
      <c r="T56" s="983"/>
      <c r="U56" s="983"/>
      <c r="V56" s="983"/>
      <c r="W56" s="983"/>
    </row>
    <row r="57" spans="1:23">
      <c r="A57" s="469">
        <v>7</v>
      </c>
      <c r="B57" s="479"/>
      <c r="C57" s="454" t="str">
        <f>IF(B57="","",VLOOKUP(B57,名簿!$E$4:$CN$113,87,FALSE))</f>
        <v/>
      </c>
      <c r="D57" s="963" t="str">
        <f>IF(B57="","",VLOOKUP(B57,名簿!$E$4:$Z$113,22,FALSE))</f>
        <v/>
      </c>
      <c r="E57" s="470" t="str">
        <f>IF(B57="","",VLOOKUP(B57,名簿!$E$4:$J$113,5,FALSE))</f>
        <v/>
      </c>
      <c r="F57" s="484" t="str">
        <f>IF(B57="","",VLOOKUP(B57,名簿!$E$4:$J$113,4,FALSE))</f>
        <v/>
      </c>
      <c r="G57" s="446"/>
      <c r="H57" s="469">
        <v>7</v>
      </c>
      <c r="I57" s="479"/>
      <c r="J57" s="454" t="str">
        <f>IF(I57="","",VLOOKUP(I57,名簿!$E$4:$CN$113,87,FALSE))</f>
        <v/>
      </c>
      <c r="K57" s="963" t="str">
        <f>IF(I57="","",VLOOKUP(I57,名簿!$E$4:$Z$113,22,FALSE))</f>
        <v/>
      </c>
      <c r="L57" s="470" t="str">
        <f>IF(I57="","",VLOOKUP(I57,名簿!$E$4:$J$113,5,FALSE))</f>
        <v/>
      </c>
      <c r="M57" s="484" t="str">
        <f>IF(I57="","",VLOOKUP(I57,名簿!$E$4:$J$113,4,FALSE))</f>
        <v/>
      </c>
      <c r="Q57" s="446"/>
      <c r="R57" s="1043" t="str">
        <f t="shared" si="0"/>
        <v>()</v>
      </c>
      <c r="S57" s="1043" t="str">
        <f t="shared" si="1"/>
        <v>()</v>
      </c>
      <c r="T57" s="983"/>
      <c r="U57" s="983"/>
      <c r="V57" s="983"/>
      <c r="W57" s="983"/>
    </row>
    <row r="58" spans="1:23" ht="14.25" thickBot="1">
      <c r="A58" s="471">
        <v>8</v>
      </c>
      <c r="B58" s="480"/>
      <c r="C58" s="579" t="str">
        <f>IF(B58="","",VLOOKUP(B58,名簿!$E$4:$CN$113,87,FALSE))</f>
        <v/>
      </c>
      <c r="D58" s="964" t="str">
        <f>IF(B58="","",VLOOKUP(B58,名簿!$E$4:$Z$113,22,FALSE))</f>
        <v/>
      </c>
      <c r="E58" s="965" t="str">
        <f>IF(B58="","",VLOOKUP(B58,名簿!$E$4:$J$113,5,FALSE))</f>
        <v/>
      </c>
      <c r="F58" s="485" t="str">
        <f>IF(B58="","",VLOOKUP(B58,名簿!$E$4:$J$113,4,FALSE))</f>
        <v/>
      </c>
      <c r="G58" s="446"/>
      <c r="H58" s="471">
        <v>8</v>
      </c>
      <c r="I58" s="480"/>
      <c r="J58" s="579" t="str">
        <f>IF(I58="","",VLOOKUP(I58,名簿!$E$4:$CN$113,87,FALSE))</f>
        <v/>
      </c>
      <c r="K58" s="964" t="str">
        <f>IF(I58="","",VLOOKUP(I58,名簿!$E$4:$Z$113,22,FALSE))</f>
        <v/>
      </c>
      <c r="L58" s="965" t="str">
        <f>IF(I58="","",VLOOKUP(I58,名簿!$E$4:$J$113,5,FALSE))</f>
        <v/>
      </c>
      <c r="M58" s="485" t="str">
        <f>IF(I58="","",VLOOKUP(I58,名簿!$E$4:$J$113,4,FALSE))</f>
        <v/>
      </c>
      <c r="N58" s="464">
        <f>SUM(N15:N57)</f>
        <v>0</v>
      </c>
      <c r="O58" s="464">
        <f>SUM(O15:O57)</f>
        <v>0</v>
      </c>
      <c r="P58" s="464">
        <f>SUM(N58:O58)</f>
        <v>0</v>
      </c>
      <c r="Q58" s="446"/>
      <c r="R58" s="1044" t="str">
        <f t="shared" si="0"/>
        <v>()</v>
      </c>
      <c r="S58" s="1044" t="str">
        <f t="shared" si="1"/>
        <v>()</v>
      </c>
      <c r="T58" s="983"/>
      <c r="U58" s="983"/>
      <c r="V58" s="983"/>
      <c r="W58" s="983"/>
    </row>
    <row r="59" spans="1:23">
      <c r="A59" s="472"/>
      <c r="B59" s="472"/>
      <c r="C59" s="455"/>
      <c r="D59" s="455"/>
      <c r="E59" s="456"/>
      <c r="F59" s="456"/>
      <c r="G59" s="446"/>
      <c r="H59" s="446"/>
      <c r="I59" s="446"/>
      <c r="J59" s="446"/>
      <c r="K59" s="446"/>
      <c r="L59" s="446"/>
      <c r="M59" s="446"/>
      <c r="Q59" s="446"/>
      <c r="R59" s="983"/>
      <c r="S59" s="983"/>
      <c r="T59" s="983"/>
      <c r="U59" s="983"/>
      <c r="V59" s="983"/>
      <c r="W59" s="983"/>
    </row>
    <row r="60" spans="1:23">
      <c r="A60" s="446" t="s">
        <v>287</v>
      </c>
      <c r="B60" s="446"/>
      <c r="C60" s="446"/>
      <c r="D60" s="446"/>
      <c r="E60" s="450"/>
      <c r="F60" s="450"/>
      <c r="G60" s="446"/>
      <c r="H60" s="446"/>
      <c r="I60" s="446"/>
      <c r="J60" s="446"/>
      <c r="K60" s="446"/>
      <c r="L60" s="446"/>
      <c r="M60" s="446"/>
      <c r="Q60" s="446"/>
      <c r="R60" s="983"/>
      <c r="S60" s="983"/>
      <c r="T60" s="983"/>
      <c r="U60" s="983"/>
      <c r="V60" s="983"/>
      <c r="W60" s="983"/>
    </row>
    <row r="61" spans="1:23">
      <c r="A61" s="448" t="s">
        <v>288</v>
      </c>
      <c r="B61" s="446"/>
      <c r="C61" s="446"/>
      <c r="D61" s="446"/>
      <c r="E61" s="450"/>
      <c r="F61" s="450"/>
      <c r="G61" s="446"/>
      <c r="H61" s="446"/>
      <c r="I61" s="446"/>
      <c r="J61" s="446"/>
      <c r="K61" s="446"/>
      <c r="L61" s="446"/>
      <c r="M61" s="446"/>
      <c r="Q61" s="446"/>
      <c r="R61" s="983"/>
      <c r="S61" s="983"/>
      <c r="T61" s="983"/>
      <c r="U61" s="983"/>
      <c r="V61" s="983"/>
      <c r="W61" s="983"/>
    </row>
    <row r="62" spans="1:23">
      <c r="A62" s="446"/>
      <c r="B62" s="446"/>
      <c r="C62" s="446"/>
      <c r="D62" s="446"/>
      <c r="E62" s="450"/>
      <c r="F62" s="450"/>
      <c r="G62" s="446"/>
      <c r="H62" s="446"/>
      <c r="I62" s="446"/>
      <c r="J62" s="446"/>
      <c r="K62" s="446"/>
      <c r="L62" s="446"/>
      <c r="M62" s="446"/>
      <c r="Q62" s="446"/>
      <c r="R62" s="983"/>
      <c r="S62" s="983"/>
      <c r="T62" s="983"/>
      <c r="U62" s="983"/>
      <c r="V62" s="983"/>
      <c r="W62" s="983"/>
    </row>
    <row r="63" spans="1:23">
      <c r="A63" s="446"/>
      <c r="B63" s="446"/>
      <c r="C63" s="446"/>
      <c r="D63" s="446"/>
      <c r="E63" s="450"/>
      <c r="F63" s="450"/>
      <c r="G63" s="446"/>
      <c r="H63" s="446"/>
      <c r="I63" s="446"/>
      <c r="J63" s="446"/>
      <c r="K63" s="446"/>
      <c r="L63" s="446"/>
      <c r="M63" s="446"/>
      <c r="Q63" s="446"/>
      <c r="R63" s="983"/>
      <c r="S63" s="983"/>
      <c r="T63" s="983"/>
      <c r="U63" s="983"/>
      <c r="V63" s="983"/>
      <c r="W63" s="983"/>
    </row>
    <row r="64" spans="1:23">
      <c r="A64" s="446"/>
      <c r="B64" s="446"/>
      <c r="C64" s="446"/>
      <c r="D64" s="446"/>
      <c r="E64" s="450"/>
      <c r="F64" s="450"/>
      <c r="G64" s="446"/>
      <c r="H64" s="446"/>
      <c r="I64" s="446"/>
      <c r="J64" s="446"/>
      <c r="K64" s="446"/>
      <c r="L64" s="446"/>
      <c r="M64" s="446"/>
      <c r="Q64" s="446"/>
      <c r="R64" s="983"/>
      <c r="S64" s="983"/>
      <c r="T64" s="983"/>
      <c r="U64" s="983"/>
      <c r="V64" s="983"/>
      <c r="W64" s="983"/>
    </row>
    <row r="65" spans="1:23" ht="18.75">
      <c r="A65" s="457" t="s">
        <v>289</v>
      </c>
      <c r="B65" s="446"/>
      <c r="C65" s="446"/>
      <c r="D65" s="446"/>
      <c r="E65" s="450"/>
      <c r="F65" s="450"/>
      <c r="G65" s="446"/>
      <c r="H65" s="446"/>
      <c r="I65" s="446"/>
      <c r="J65" s="446"/>
      <c r="K65" s="446"/>
      <c r="L65" s="446"/>
      <c r="M65" s="446"/>
      <c r="Q65" s="446"/>
      <c r="R65" s="983"/>
      <c r="S65" s="983"/>
      <c r="T65" s="983"/>
      <c r="U65" s="983"/>
      <c r="V65" s="983"/>
      <c r="W65" s="983"/>
    </row>
    <row r="66" spans="1:23">
      <c r="A66" s="446"/>
      <c r="B66" s="446"/>
      <c r="C66" s="446"/>
      <c r="D66" s="446"/>
      <c r="E66" s="450"/>
      <c r="F66" s="450"/>
      <c r="G66" s="446"/>
      <c r="H66" s="446"/>
      <c r="I66" s="446"/>
      <c r="J66" s="446"/>
      <c r="K66" s="446"/>
      <c r="L66" s="446"/>
      <c r="M66" s="446"/>
      <c r="Q66" s="446"/>
      <c r="R66" s="983"/>
      <c r="S66" s="983"/>
      <c r="T66" s="983"/>
      <c r="U66" s="983"/>
      <c r="V66" s="983"/>
      <c r="W66" s="983"/>
    </row>
    <row r="67" spans="1:23" ht="18.75">
      <c r="A67" s="446"/>
      <c r="B67" s="1218">
        <f ca="1">TODAY()</f>
        <v>42797</v>
      </c>
      <c r="C67" s="1218"/>
      <c r="D67" s="475"/>
      <c r="E67" s="450"/>
      <c r="F67" s="450"/>
      <c r="G67" s="446"/>
      <c r="H67" s="446"/>
      <c r="I67" s="446"/>
      <c r="J67" s="446"/>
      <c r="K67" s="446"/>
      <c r="L67" s="446"/>
      <c r="M67" s="446"/>
      <c r="Q67" s="446"/>
      <c r="R67" s="983"/>
      <c r="S67" s="983"/>
      <c r="T67" s="983"/>
      <c r="U67" s="983"/>
      <c r="V67" s="983"/>
      <c r="W67" s="983"/>
    </row>
    <row r="68" spans="1:23">
      <c r="A68" s="446"/>
      <c r="B68" s="446"/>
      <c r="C68" s="446"/>
      <c r="D68" s="446"/>
      <c r="E68" s="450"/>
      <c r="F68" s="450"/>
      <c r="G68" s="446"/>
      <c r="H68" s="446"/>
      <c r="I68" s="446"/>
      <c r="J68" s="446"/>
      <c r="K68" s="446"/>
      <c r="L68" s="446"/>
      <c r="M68" s="446"/>
      <c r="Q68" s="446"/>
      <c r="R68" s="983"/>
      <c r="S68" s="983"/>
      <c r="T68" s="983"/>
      <c r="U68" s="983"/>
      <c r="V68" s="983"/>
      <c r="W68" s="983"/>
    </row>
    <row r="69" spans="1:23" ht="18.75">
      <c r="A69" s="458"/>
      <c r="B69" s="458"/>
      <c r="C69" s="459">
        <f>名簿!O4</f>
        <v>0</v>
      </c>
      <c r="D69" s="460" t="s">
        <v>290</v>
      </c>
      <c r="E69" s="450"/>
      <c r="F69" s="450"/>
      <c r="G69" s="446"/>
      <c r="H69" s="446"/>
      <c r="I69" s="446"/>
      <c r="J69" s="446"/>
      <c r="K69" s="446"/>
      <c r="L69" s="446"/>
      <c r="M69" s="446"/>
      <c r="Q69" s="446"/>
      <c r="R69" s="983"/>
      <c r="S69" s="983"/>
      <c r="T69" s="983"/>
      <c r="U69" s="983"/>
      <c r="V69" s="983"/>
      <c r="W69" s="983"/>
    </row>
    <row r="70" spans="1:23">
      <c r="A70" s="446"/>
      <c r="B70" s="446"/>
      <c r="C70" s="446"/>
      <c r="D70" s="446"/>
      <c r="E70" s="450"/>
      <c r="F70" s="450"/>
      <c r="G70" s="446"/>
      <c r="H70" s="446"/>
      <c r="I70" s="446"/>
      <c r="J70" s="446"/>
      <c r="K70" s="446"/>
      <c r="L70" s="446"/>
      <c r="M70" s="446"/>
      <c r="Q70" s="446"/>
      <c r="R70" s="983"/>
      <c r="S70" s="983"/>
      <c r="T70" s="983"/>
      <c r="U70" s="983"/>
      <c r="V70" s="983"/>
      <c r="W70" s="983"/>
    </row>
    <row r="71" spans="1:23" ht="42" customHeight="1">
      <c r="A71" s="446"/>
      <c r="B71" s="461"/>
      <c r="C71" s="461" t="s">
        <v>136</v>
      </c>
      <c r="D71" s="1214"/>
      <c r="E71" s="1214"/>
      <c r="F71" s="1214"/>
      <c r="G71" s="1214"/>
      <c r="H71" s="458" t="s">
        <v>198</v>
      </c>
      <c r="I71" s="446"/>
      <c r="J71" s="446"/>
      <c r="K71" s="446"/>
      <c r="L71" s="446"/>
      <c r="M71" s="446"/>
      <c r="Q71" s="446"/>
      <c r="R71" s="983"/>
      <c r="S71" s="983"/>
      <c r="T71" s="983"/>
      <c r="U71" s="983"/>
      <c r="V71" s="983"/>
      <c r="W71" s="983"/>
    </row>
    <row r="72" spans="1:23">
      <c r="A72" s="446"/>
      <c r="B72" s="446"/>
      <c r="C72" s="446"/>
      <c r="D72" s="446"/>
      <c r="E72" s="450"/>
      <c r="F72" s="450"/>
      <c r="G72" s="446"/>
      <c r="H72" s="446"/>
      <c r="I72" s="446"/>
      <c r="J72" s="446"/>
      <c r="K72" s="446"/>
      <c r="L72" s="446"/>
      <c r="M72" s="446"/>
      <c r="Q72" s="446"/>
      <c r="R72" s="983"/>
      <c r="S72" s="983"/>
      <c r="T72" s="983"/>
      <c r="U72" s="983"/>
      <c r="V72" s="983"/>
      <c r="W72" s="983"/>
    </row>
    <row r="73" spans="1:23">
      <c r="A73" s="446"/>
      <c r="B73" s="446"/>
      <c r="C73" s="446"/>
      <c r="D73" s="446"/>
      <c r="E73" s="450"/>
      <c r="F73" s="450"/>
      <c r="G73" s="446"/>
      <c r="H73" s="446"/>
      <c r="I73" s="446"/>
      <c r="J73" s="446"/>
      <c r="K73" s="446"/>
      <c r="L73" s="446"/>
      <c r="M73" s="446"/>
      <c r="Q73" s="446"/>
      <c r="R73" s="983"/>
      <c r="S73" s="983"/>
      <c r="T73" s="983"/>
      <c r="U73" s="983"/>
      <c r="V73" s="983"/>
      <c r="W73" s="983"/>
    </row>
    <row r="74" spans="1:23">
      <c r="A74" s="446" t="s">
        <v>294</v>
      </c>
      <c r="B74" s="446"/>
      <c r="C74" s="446"/>
      <c r="D74" s="446"/>
      <c r="E74" s="450"/>
      <c r="F74" s="450"/>
      <c r="G74" s="446"/>
      <c r="H74" s="446"/>
      <c r="I74" s="446"/>
      <c r="J74" s="446"/>
      <c r="K74" s="446"/>
      <c r="L74" s="446"/>
      <c r="M74" s="446"/>
      <c r="Q74" s="446"/>
      <c r="R74" s="983"/>
      <c r="S74" s="983"/>
      <c r="T74" s="983"/>
      <c r="U74" s="983"/>
      <c r="V74" s="983"/>
      <c r="W74" s="983"/>
    </row>
    <row r="75" spans="1:23">
      <c r="A75" s="446"/>
      <c r="B75" s="446"/>
      <c r="C75" s="446"/>
      <c r="D75" s="446"/>
      <c r="E75" s="450"/>
      <c r="F75" s="450"/>
      <c r="G75" s="446" t="s">
        <v>344</v>
      </c>
      <c r="H75" s="476"/>
      <c r="I75" s="476"/>
      <c r="J75" s="446"/>
      <c r="K75" s="446"/>
      <c r="L75" s="446"/>
      <c r="M75" s="446"/>
      <c r="Q75" s="446"/>
      <c r="R75" s="983"/>
      <c r="S75" s="983"/>
      <c r="T75" s="983"/>
      <c r="U75" s="983"/>
      <c r="V75" s="983"/>
      <c r="W75" s="983"/>
    </row>
    <row r="76" spans="1:23">
      <c r="A76" s="446"/>
      <c r="B76" s="446"/>
      <c r="C76" s="446"/>
      <c r="D76" s="446"/>
      <c r="E76" s="450"/>
      <c r="F76" s="450"/>
      <c r="G76" s="446"/>
      <c r="H76" s="446"/>
      <c r="I76" s="446"/>
      <c r="J76" s="446"/>
      <c r="K76" s="446"/>
      <c r="L76" s="446"/>
      <c r="M76" s="446"/>
      <c r="Q76" s="446"/>
      <c r="R76" s="983"/>
      <c r="S76" s="983"/>
      <c r="T76" s="983"/>
      <c r="U76" s="983"/>
      <c r="V76" s="983"/>
      <c r="W76" s="983"/>
    </row>
    <row r="77" spans="1:23">
      <c r="A77" s="446"/>
      <c r="B77" s="446"/>
      <c r="C77" s="446"/>
      <c r="D77" s="446"/>
      <c r="E77" s="450"/>
      <c r="F77" s="450"/>
      <c r="G77" s="446"/>
      <c r="H77" s="446"/>
      <c r="I77" s="446"/>
      <c r="J77" s="446"/>
      <c r="K77" s="446"/>
      <c r="L77" s="446"/>
      <c r="M77" s="446"/>
      <c r="Q77" s="446"/>
      <c r="R77" s="983"/>
      <c r="S77" s="983"/>
      <c r="T77" s="983"/>
      <c r="U77" s="983"/>
      <c r="V77" s="983"/>
      <c r="W77" s="983"/>
    </row>
  </sheetData>
  <sheetProtection password="83D4" sheet="1" objects="1" scenarios="1"/>
  <mergeCells count="5">
    <mergeCell ref="D71:G71"/>
    <mergeCell ref="B5:C5"/>
    <mergeCell ref="B7:C7"/>
    <mergeCell ref="B9:C9"/>
    <mergeCell ref="B67:C67"/>
  </mergeCells>
  <phoneticPr fontId="5"/>
  <dataValidations count="5">
    <dataValidation errorStyle="information" allowBlank="1" showInputMessage="1" showErrorMessage="1" sqref="A69:C69"/>
    <dataValidation allowBlank="1" showInputMessage="1" showErrorMessage="1" prompt="ここはフリガナを入力して下さい" sqref="D59:F59"/>
    <dataValidation imeMode="disabled" allowBlank="1" showInputMessage="1" showErrorMessage="1" sqref="E51:F58 L39:M46 L15:M22 B15:B22 B39:B46 L27:M35 L51:M58 E15:F22 B27:B35 I27:I35 I15:I22 B51:B58 I39:I46 E27:F35 E39:F46 I51:I58"/>
    <dataValidation imeMode="hiragana" allowBlank="1" showInputMessage="1" showErrorMessage="1" sqref="J39:J46 C27:C35 C39:C46 C51:C58 J15:J22 C15:C22 J27:J35 J51:J58"/>
    <dataValidation imeMode="halfKatakana" allowBlank="1" showInputMessage="1" showErrorMessage="1" sqref="D51:D58 K27:K35 D15:D22 K39:K46 K15:K22 D27:D35 D39:D46 K51:K58"/>
  </dataValidations>
  <pageMargins left="0.78700000000000003" right="0.78700000000000003" top="0.98399999999999999" bottom="0.98399999999999999" header="0.51200000000000001" footer="0.51200000000000001"/>
  <pageSetup paperSize="9" scale="67" orientation="portrait" verticalDpi="120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23">
    <pageSetUpPr fitToPage="1"/>
  </sheetPr>
  <dimension ref="A1:S65"/>
  <sheetViews>
    <sheetView showGridLines="0" showZeros="0" topLeftCell="A4" zoomScaleNormal="100" workbookViewId="0">
      <selection activeCell="F15" sqref="F15"/>
    </sheetView>
  </sheetViews>
  <sheetFormatPr defaultRowHeight="13.5"/>
  <cols>
    <col min="2" max="2" width="6.5" customWidth="1"/>
    <col min="3" max="3" width="11.75" customWidth="1"/>
    <col min="4" max="4" width="10.875" customWidth="1"/>
    <col min="5" max="5" width="5.875" style="6" customWidth="1"/>
    <col min="6" max="6" width="9.875" customWidth="1"/>
    <col min="7" max="7" width="3.375" customWidth="1"/>
    <col min="9" max="9" width="6.625" customWidth="1"/>
    <col min="10" max="10" width="11.75" customWidth="1"/>
    <col min="11" max="11" width="10.875" customWidth="1"/>
    <col min="12" max="12" width="5.875" customWidth="1"/>
    <col min="13" max="13" width="9.875" customWidth="1"/>
  </cols>
  <sheetData>
    <row r="1" spans="1:19" ht="24">
      <c r="A1" s="343" t="s">
        <v>489</v>
      </c>
      <c r="B1" s="87"/>
      <c r="C1" s="87"/>
      <c r="D1" s="87"/>
      <c r="E1" s="88"/>
      <c r="F1" s="435" t="s">
        <v>333</v>
      </c>
      <c r="G1" s="87"/>
      <c r="H1" s="87"/>
      <c r="I1" s="87"/>
      <c r="J1" s="87"/>
      <c r="K1" s="87"/>
      <c r="L1" s="87"/>
      <c r="M1" s="87"/>
      <c r="N1" s="998"/>
      <c r="O1" s="998"/>
      <c r="P1" s="998"/>
      <c r="Q1" s="998"/>
      <c r="R1" s="998"/>
      <c r="S1" s="998"/>
    </row>
    <row r="2" spans="1:19">
      <c r="A2" s="344"/>
      <c r="B2" s="87"/>
      <c r="C2" s="87"/>
      <c r="D2" s="87"/>
      <c r="E2" s="88"/>
      <c r="F2" s="87"/>
      <c r="G2" s="87"/>
      <c r="H2" s="87"/>
      <c r="I2" s="87"/>
      <c r="J2" s="87"/>
      <c r="K2" s="87"/>
      <c r="L2" s="87"/>
      <c r="M2" s="87"/>
      <c r="N2" s="998"/>
      <c r="O2" s="998"/>
      <c r="P2" s="998"/>
      <c r="Q2" s="998"/>
      <c r="R2" s="998"/>
      <c r="S2" s="998"/>
    </row>
    <row r="3" spans="1:19">
      <c r="A3" s="87"/>
      <c r="B3" s="87"/>
      <c r="C3" s="87"/>
      <c r="D3" s="87"/>
      <c r="E3" s="88"/>
      <c r="F3" s="87"/>
      <c r="G3" s="87"/>
      <c r="H3" s="87"/>
      <c r="I3" s="87"/>
      <c r="J3" s="87"/>
      <c r="K3" s="87"/>
      <c r="L3" s="87"/>
      <c r="M3" s="87"/>
      <c r="N3" s="998"/>
      <c r="O3" s="998"/>
      <c r="P3" s="998"/>
      <c r="Q3" s="998"/>
      <c r="R3" s="998"/>
      <c r="S3" s="998"/>
    </row>
    <row r="4" spans="1:19">
      <c r="A4" s="87"/>
      <c r="B4" s="87"/>
      <c r="C4" s="87"/>
      <c r="D4" s="87"/>
      <c r="E4" s="88"/>
      <c r="F4" s="87"/>
      <c r="G4" s="87"/>
      <c r="H4" s="87"/>
      <c r="I4" s="87"/>
      <c r="J4" s="87"/>
      <c r="K4" s="87"/>
      <c r="L4" s="87"/>
      <c r="M4" s="87"/>
      <c r="N4" s="998"/>
      <c r="O4" s="998"/>
      <c r="P4" s="998"/>
      <c r="Q4" s="998"/>
      <c r="R4" s="998"/>
      <c r="S4" s="998"/>
    </row>
    <row r="5" spans="1:19" ht="16.5" customHeight="1">
      <c r="A5" s="345" t="s">
        <v>280</v>
      </c>
      <c r="B5" s="1219">
        <f>名簿!O4</f>
        <v>0</v>
      </c>
      <c r="C5" s="1219"/>
      <c r="D5" s="87"/>
      <c r="E5" s="88"/>
      <c r="F5" s="87"/>
      <c r="G5" s="87"/>
      <c r="H5" s="87"/>
      <c r="I5" s="87"/>
      <c r="J5" s="87"/>
      <c r="K5" s="87"/>
      <c r="L5" s="87"/>
      <c r="M5" s="87"/>
      <c r="N5" s="998"/>
      <c r="O5" s="998"/>
      <c r="P5" s="998"/>
      <c r="Q5" s="998"/>
      <c r="R5" s="998"/>
      <c r="S5" s="998"/>
    </row>
    <row r="6" spans="1:19" ht="18.75">
      <c r="A6" s="345"/>
      <c r="B6" s="346"/>
      <c r="C6" s="87"/>
      <c r="D6" s="87"/>
      <c r="E6" s="88"/>
      <c r="F6" s="87"/>
      <c r="G6" s="87"/>
      <c r="H6" s="87"/>
      <c r="I6" s="87"/>
      <c r="J6" s="87"/>
      <c r="K6" s="87"/>
      <c r="L6" s="87"/>
      <c r="M6" s="87"/>
      <c r="N6" s="998"/>
      <c r="O6" s="998"/>
      <c r="P6" s="998"/>
      <c r="Q6" s="998"/>
      <c r="R6" s="998"/>
      <c r="S6" s="998"/>
    </row>
    <row r="7" spans="1:19" ht="18.75">
      <c r="A7" s="345" t="s">
        <v>107</v>
      </c>
      <c r="B7" s="1220">
        <f>名簿!D1</f>
        <v>0</v>
      </c>
      <c r="C7" s="1220"/>
      <c r="D7" s="87"/>
      <c r="E7" s="88"/>
      <c r="F7" s="87"/>
      <c r="G7" s="87"/>
      <c r="H7" s="87"/>
      <c r="I7" s="87"/>
      <c r="J7" s="87"/>
      <c r="K7" s="87"/>
      <c r="L7" s="87"/>
      <c r="M7" s="87"/>
      <c r="N7" s="998"/>
      <c r="O7" s="998"/>
      <c r="P7" s="998"/>
      <c r="Q7" s="998"/>
      <c r="R7" s="998"/>
      <c r="S7" s="998"/>
    </row>
    <row r="8" spans="1:19">
      <c r="A8" s="87"/>
      <c r="B8" s="87"/>
      <c r="C8" s="87"/>
      <c r="D8" s="87"/>
      <c r="E8" s="88"/>
      <c r="F8" s="87"/>
      <c r="G8" s="87"/>
      <c r="H8" s="87"/>
      <c r="I8" s="87"/>
      <c r="J8" s="87"/>
      <c r="K8" s="87"/>
      <c r="L8" s="87"/>
      <c r="M8" s="87"/>
      <c r="N8" s="998"/>
      <c r="O8" s="998"/>
      <c r="P8" s="998"/>
      <c r="Q8" s="998"/>
      <c r="R8" s="998"/>
      <c r="S8" s="998"/>
    </row>
    <row r="9" spans="1:19" ht="18.75">
      <c r="A9" s="345" t="s">
        <v>281</v>
      </c>
      <c r="B9" s="1221">
        <f>名簿!I1</f>
        <v>0</v>
      </c>
      <c r="C9" s="1220"/>
      <c r="D9" s="87"/>
      <c r="E9" s="88"/>
      <c r="F9" s="87"/>
      <c r="G9" s="87"/>
      <c r="H9" s="87"/>
      <c r="I9" s="87"/>
      <c r="J9" s="87"/>
      <c r="K9" s="87"/>
      <c r="L9" s="87"/>
      <c r="M9" s="87"/>
      <c r="N9" s="998"/>
      <c r="O9" s="998"/>
      <c r="P9" s="998"/>
      <c r="Q9" s="998"/>
      <c r="R9" s="998"/>
      <c r="S9" s="998"/>
    </row>
    <row r="10" spans="1:19">
      <c r="A10" s="87"/>
      <c r="B10" s="87"/>
      <c r="C10" s="87"/>
      <c r="D10" s="87"/>
      <c r="E10" s="88"/>
      <c r="F10" s="87"/>
      <c r="G10" s="87"/>
      <c r="H10" s="87"/>
      <c r="I10" s="87"/>
      <c r="J10" s="87"/>
      <c r="K10" s="87"/>
      <c r="L10" s="87"/>
      <c r="M10" s="87"/>
      <c r="N10" s="998"/>
      <c r="O10" s="998"/>
      <c r="P10" s="998"/>
      <c r="Q10" s="998"/>
      <c r="R10" s="998"/>
      <c r="S10" s="998"/>
    </row>
    <row r="11" spans="1:19">
      <c r="A11" s="87"/>
      <c r="B11" s="87"/>
      <c r="C11" s="87"/>
      <c r="D11" s="87"/>
      <c r="E11" s="88"/>
      <c r="F11" s="87"/>
      <c r="G11" s="87"/>
      <c r="H11" s="87"/>
      <c r="I11" s="87"/>
      <c r="J11" s="87"/>
      <c r="K11" s="87"/>
      <c r="L11" s="87"/>
      <c r="M11" s="87"/>
      <c r="N11" s="998"/>
      <c r="O11" s="998"/>
      <c r="P11" s="998"/>
      <c r="Q11" s="998"/>
      <c r="R11" s="998"/>
      <c r="S11" s="998"/>
    </row>
    <row r="12" spans="1:19" ht="14.25" thickBot="1">
      <c r="A12" s="87"/>
      <c r="B12" s="87"/>
      <c r="C12" s="87"/>
      <c r="D12" s="87"/>
      <c r="E12" s="88"/>
      <c r="F12" s="87"/>
      <c r="G12" s="87"/>
      <c r="H12" s="87"/>
      <c r="I12" s="87"/>
      <c r="J12" s="87"/>
      <c r="K12" s="87"/>
      <c r="L12" s="87"/>
      <c r="M12" s="87"/>
      <c r="N12" s="998"/>
      <c r="O12" s="998"/>
      <c r="P12" s="998"/>
      <c r="Q12" s="998"/>
      <c r="R12" s="998"/>
      <c r="S12" s="998"/>
    </row>
    <row r="13" spans="1:19" ht="14.25" thickBot="1">
      <c r="A13" s="347" t="s">
        <v>201</v>
      </c>
      <c r="B13" s="342"/>
      <c r="C13" s="987" t="s">
        <v>484</v>
      </c>
      <c r="D13" s="988"/>
      <c r="E13" s="348"/>
      <c r="F13" s="87"/>
      <c r="G13" s="87"/>
      <c r="H13" s="347" t="s">
        <v>202</v>
      </c>
      <c r="I13" s="342"/>
      <c r="J13" s="987" t="s">
        <v>484</v>
      </c>
      <c r="K13" s="988"/>
      <c r="L13" s="348"/>
      <c r="M13" s="87"/>
      <c r="N13" s="998"/>
      <c r="O13" s="998"/>
      <c r="P13" s="998"/>
      <c r="Q13" s="998"/>
      <c r="R13" s="998"/>
      <c r="S13" s="998"/>
    </row>
    <row r="14" spans="1:19" ht="27" customHeight="1">
      <c r="A14" s="349"/>
      <c r="B14" s="350" t="s">
        <v>282</v>
      </c>
      <c r="C14" s="350" t="s">
        <v>283</v>
      </c>
      <c r="D14" s="350" t="s">
        <v>284</v>
      </c>
      <c r="E14" s="351" t="s">
        <v>37</v>
      </c>
      <c r="F14" s="356" t="s">
        <v>285</v>
      </c>
      <c r="G14" s="87"/>
      <c r="H14" s="349"/>
      <c r="I14" s="350" t="s">
        <v>282</v>
      </c>
      <c r="J14" s="350" t="s">
        <v>283</v>
      </c>
      <c r="K14" s="350" t="s">
        <v>284</v>
      </c>
      <c r="L14" s="351" t="s">
        <v>37</v>
      </c>
      <c r="M14" s="356" t="s">
        <v>285</v>
      </c>
      <c r="N14" s="998"/>
      <c r="O14" s="998"/>
      <c r="P14" s="998"/>
      <c r="Q14" s="998"/>
      <c r="R14" s="998"/>
      <c r="S14" s="998"/>
    </row>
    <row r="15" spans="1:19">
      <c r="A15" s="352">
        <v>1</v>
      </c>
      <c r="B15" s="357">
        <f>タスキリレー!B15</f>
        <v>0</v>
      </c>
      <c r="C15" s="481" t="str">
        <f>タスキリレー!C15</f>
        <v/>
      </c>
      <c r="D15" s="477" t="str">
        <f>タスキリレー!D15</f>
        <v/>
      </c>
      <c r="E15" s="358" t="str">
        <f>タスキリレー!E15</f>
        <v/>
      </c>
      <c r="F15" s="361"/>
      <c r="G15" s="87"/>
      <c r="H15" s="352">
        <v>1</v>
      </c>
      <c r="I15" s="357">
        <f>タスキリレー!I15</f>
        <v>0</v>
      </c>
      <c r="J15" s="481" t="str">
        <f>タスキリレー!J15</f>
        <v/>
      </c>
      <c r="K15" s="477" t="str">
        <f>タスキリレー!K15</f>
        <v/>
      </c>
      <c r="L15" s="358" t="str">
        <f>タスキリレー!L15</f>
        <v/>
      </c>
      <c r="M15" s="361"/>
      <c r="N15" s="998"/>
      <c r="O15" s="998"/>
      <c r="P15" s="998"/>
      <c r="Q15" s="998"/>
      <c r="R15" s="998"/>
      <c r="S15" s="998"/>
    </row>
    <row r="16" spans="1:19">
      <c r="A16" s="352">
        <v>2</v>
      </c>
      <c r="B16" s="357">
        <f>タスキリレー!B16</f>
        <v>0</v>
      </c>
      <c r="C16" s="481" t="str">
        <f>タスキリレー!C16</f>
        <v/>
      </c>
      <c r="D16" s="477" t="str">
        <f>タスキリレー!D16</f>
        <v/>
      </c>
      <c r="E16" s="358" t="str">
        <f>タスキリレー!E16</f>
        <v/>
      </c>
      <c r="F16" s="361"/>
      <c r="G16" s="87"/>
      <c r="H16" s="352">
        <v>2</v>
      </c>
      <c r="I16" s="357">
        <f>タスキリレー!I16</f>
        <v>0</v>
      </c>
      <c r="J16" s="481" t="str">
        <f>タスキリレー!J16</f>
        <v/>
      </c>
      <c r="K16" s="477" t="str">
        <f>タスキリレー!K16</f>
        <v/>
      </c>
      <c r="L16" s="358" t="str">
        <f>タスキリレー!L16</f>
        <v/>
      </c>
      <c r="M16" s="361"/>
      <c r="N16" s="998"/>
      <c r="O16" s="998"/>
      <c r="P16" s="998"/>
      <c r="Q16" s="998"/>
      <c r="R16" s="998"/>
      <c r="S16" s="998"/>
    </row>
    <row r="17" spans="1:19">
      <c r="A17" s="352">
        <v>3</v>
      </c>
      <c r="B17" s="357">
        <f>タスキリレー!B17</f>
        <v>0</v>
      </c>
      <c r="C17" s="481" t="str">
        <f>タスキリレー!C17</f>
        <v/>
      </c>
      <c r="D17" s="477" t="str">
        <f>タスキリレー!D17</f>
        <v/>
      </c>
      <c r="E17" s="358" t="str">
        <f>タスキリレー!E17</f>
        <v/>
      </c>
      <c r="F17" s="361"/>
      <c r="G17" s="87"/>
      <c r="H17" s="352">
        <v>3</v>
      </c>
      <c r="I17" s="357">
        <f>タスキリレー!I17</f>
        <v>0</v>
      </c>
      <c r="J17" s="481" t="str">
        <f>タスキリレー!J17</f>
        <v/>
      </c>
      <c r="K17" s="477" t="str">
        <f>タスキリレー!K17</f>
        <v/>
      </c>
      <c r="L17" s="358" t="str">
        <f>タスキリレー!L17</f>
        <v/>
      </c>
      <c r="M17" s="361"/>
      <c r="N17" s="998"/>
      <c r="O17" s="998"/>
      <c r="P17" s="998"/>
      <c r="Q17" s="998"/>
      <c r="R17" s="998"/>
      <c r="S17" s="998"/>
    </row>
    <row r="18" spans="1:19">
      <c r="A18" s="352">
        <v>4</v>
      </c>
      <c r="B18" s="357">
        <f>タスキリレー!B18</f>
        <v>0</v>
      </c>
      <c r="C18" s="481" t="str">
        <f>タスキリレー!C18</f>
        <v/>
      </c>
      <c r="D18" s="477" t="str">
        <f>タスキリレー!D18</f>
        <v/>
      </c>
      <c r="E18" s="358" t="str">
        <f>タスキリレー!E18</f>
        <v/>
      </c>
      <c r="F18" s="361"/>
      <c r="G18" s="87"/>
      <c r="H18" s="352">
        <v>4</v>
      </c>
      <c r="I18" s="357">
        <f>タスキリレー!I18</f>
        <v>0</v>
      </c>
      <c r="J18" s="481" t="str">
        <f>タスキリレー!J18</f>
        <v/>
      </c>
      <c r="K18" s="477" t="str">
        <f>タスキリレー!K18</f>
        <v/>
      </c>
      <c r="L18" s="358" t="str">
        <f>タスキリレー!L18</f>
        <v/>
      </c>
      <c r="M18" s="361"/>
      <c r="N18" s="998"/>
      <c r="O18" s="998"/>
      <c r="P18" s="998"/>
      <c r="Q18" s="998"/>
      <c r="R18" s="998"/>
      <c r="S18" s="998"/>
    </row>
    <row r="19" spans="1:19">
      <c r="A19" s="352">
        <v>5</v>
      </c>
      <c r="B19" s="357">
        <f>タスキリレー!B19</f>
        <v>0</v>
      </c>
      <c r="C19" s="481" t="str">
        <f>タスキリレー!C19</f>
        <v/>
      </c>
      <c r="D19" s="477" t="str">
        <f>タスキリレー!D19</f>
        <v/>
      </c>
      <c r="E19" s="358" t="str">
        <f>タスキリレー!E19</f>
        <v/>
      </c>
      <c r="F19" s="361"/>
      <c r="G19" s="87"/>
      <c r="H19" s="352">
        <v>5</v>
      </c>
      <c r="I19" s="357">
        <f>タスキリレー!I19</f>
        <v>0</v>
      </c>
      <c r="J19" s="481" t="str">
        <f>タスキリレー!J19</f>
        <v/>
      </c>
      <c r="K19" s="477" t="str">
        <f>タスキリレー!K19</f>
        <v/>
      </c>
      <c r="L19" s="358" t="str">
        <f>タスキリレー!L19</f>
        <v/>
      </c>
      <c r="M19" s="361"/>
      <c r="N19" s="998"/>
      <c r="O19" s="998"/>
      <c r="P19" s="998"/>
      <c r="Q19" s="998"/>
      <c r="R19" s="998"/>
      <c r="S19" s="998"/>
    </row>
    <row r="20" spans="1:19">
      <c r="A20" s="352">
        <v>6</v>
      </c>
      <c r="B20" s="357">
        <f>タスキリレー!B20</f>
        <v>0</v>
      </c>
      <c r="C20" s="481" t="str">
        <f>タスキリレー!C20</f>
        <v/>
      </c>
      <c r="D20" s="477" t="str">
        <f>タスキリレー!D20</f>
        <v/>
      </c>
      <c r="E20" s="358" t="str">
        <f>タスキリレー!E20</f>
        <v/>
      </c>
      <c r="F20" s="361"/>
      <c r="G20" s="87"/>
      <c r="H20" s="352">
        <v>6</v>
      </c>
      <c r="I20" s="357">
        <f>タスキリレー!I20</f>
        <v>0</v>
      </c>
      <c r="J20" s="481" t="str">
        <f>タスキリレー!J20</f>
        <v/>
      </c>
      <c r="K20" s="477" t="str">
        <f>タスキリレー!K20</f>
        <v/>
      </c>
      <c r="L20" s="358" t="str">
        <f>タスキリレー!L20</f>
        <v/>
      </c>
      <c r="M20" s="361"/>
      <c r="N20" s="998"/>
      <c r="O20" s="998"/>
      <c r="P20" s="998"/>
      <c r="Q20" s="998"/>
      <c r="R20" s="998"/>
      <c r="S20" s="998"/>
    </row>
    <row r="21" spans="1:19">
      <c r="A21" s="352">
        <v>7</v>
      </c>
      <c r="B21" s="357">
        <f>タスキリレー!B21</f>
        <v>0</v>
      </c>
      <c r="C21" s="481" t="str">
        <f>タスキリレー!C21</f>
        <v/>
      </c>
      <c r="D21" s="477" t="str">
        <f>タスキリレー!D21</f>
        <v/>
      </c>
      <c r="E21" s="358" t="str">
        <f>タスキリレー!E21</f>
        <v/>
      </c>
      <c r="F21" s="361"/>
      <c r="G21" s="87"/>
      <c r="H21" s="352">
        <v>7</v>
      </c>
      <c r="I21" s="357">
        <f>タスキリレー!I21</f>
        <v>0</v>
      </c>
      <c r="J21" s="481" t="str">
        <f>タスキリレー!J21</f>
        <v/>
      </c>
      <c r="K21" s="477" t="str">
        <f>タスキリレー!K21</f>
        <v/>
      </c>
      <c r="L21" s="358" t="str">
        <f>タスキリレー!L21</f>
        <v/>
      </c>
      <c r="M21" s="361"/>
      <c r="N21" s="998"/>
      <c r="O21" s="998"/>
      <c r="P21" s="998"/>
      <c r="Q21" s="998"/>
      <c r="R21" s="998"/>
      <c r="S21" s="998"/>
    </row>
    <row r="22" spans="1:19" ht="14.25" thickBot="1">
      <c r="A22" s="353">
        <v>8</v>
      </c>
      <c r="B22" s="359">
        <f>タスキリレー!B22</f>
        <v>0</v>
      </c>
      <c r="C22" s="482" t="str">
        <f>タスキリレー!C22</f>
        <v/>
      </c>
      <c r="D22" s="478" t="str">
        <f>タスキリレー!D22</f>
        <v/>
      </c>
      <c r="E22" s="360" t="str">
        <f>タスキリレー!E22</f>
        <v/>
      </c>
      <c r="F22" s="362"/>
      <c r="G22" s="87"/>
      <c r="H22" s="353">
        <v>8</v>
      </c>
      <c r="I22" s="359">
        <f>タスキリレー!I22</f>
        <v>0</v>
      </c>
      <c r="J22" s="482" t="str">
        <f>タスキリレー!J22</f>
        <v/>
      </c>
      <c r="K22" s="478" t="str">
        <f>タスキリレー!K22</f>
        <v/>
      </c>
      <c r="L22" s="360" t="str">
        <f>タスキリレー!L22</f>
        <v/>
      </c>
      <c r="M22" s="362"/>
      <c r="N22" s="998"/>
      <c r="O22" s="998"/>
      <c r="P22" s="998"/>
      <c r="Q22" s="998"/>
      <c r="R22" s="998"/>
      <c r="S22" s="998"/>
    </row>
    <row r="23" spans="1:19" ht="14.25" thickBot="1">
      <c r="A23" s="853"/>
      <c r="B23" s="853"/>
      <c r="C23" s="984"/>
      <c r="D23" s="984"/>
      <c r="E23" s="1046"/>
      <c r="F23" s="1047"/>
      <c r="G23" s="1048"/>
      <c r="H23" s="1049"/>
      <c r="I23" s="1049"/>
      <c r="J23" s="1050"/>
      <c r="K23" s="1050"/>
      <c r="L23" s="1046"/>
      <c r="M23" s="1047"/>
      <c r="N23" s="998"/>
      <c r="O23" s="998"/>
      <c r="P23" s="998"/>
      <c r="Q23" s="998"/>
      <c r="R23" s="998"/>
      <c r="S23" s="998"/>
    </row>
    <row r="24" spans="1:19" ht="14.25" thickBot="1">
      <c r="A24" s="347" t="s">
        <v>203</v>
      </c>
      <c r="B24" s="342"/>
      <c r="C24" s="987" t="s">
        <v>484</v>
      </c>
      <c r="D24" s="988"/>
      <c r="E24" s="348"/>
      <c r="F24" s="87"/>
      <c r="G24" s="87"/>
      <c r="H24" s="347" t="s">
        <v>295</v>
      </c>
      <c r="I24" s="342"/>
      <c r="J24" s="987" t="s">
        <v>484</v>
      </c>
      <c r="K24" s="988"/>
      <c r="L24" s="348"/>
      <c r="M24" s="87"/>
      <c r="N24" s="998"/>
      <c r="O24" s="998"/>
      <c r="P24" s="998"/>
      <c r="Q24" s="998"/>
      <c r="R24" s="998"/>
      <c r="S24" s="998"/>
    </row>
    <row r="25" spans="1:19" ht="27" customHeight="1">
      <c r="A25" s="349"/>
      <c r="B25" s="350" t="s">
        <v>282</v>
      </c>
      <c r="C25" s="350" t="s">
        <v>283</v>
      </c>
      <c r="D25" s="350" t="s">
        <v>284</v>
      </c>
      <c r="E25" s="351" t="s">
        <v>37</v>
      </c>
      <c r="F25" s="356" t="s">
        <v>285</v>
      </c>
      <c r="G25" s="87"/>
      <c r="H25" s="349"/>
      <c r="I25" s="350" t="s">
        <v>282</v>
      </c>
      <c r="J25" s="350" t="s">
        <v>283</v>
      </c>
      <c r="K25" s="350" t="s">
        <v>284</v>
      </c>
      <c r="L25" s="351" t="s">
        <v>37</v>
      </c>
      <c r="M25" s="356" t="s">
        <v>285</v>
      </c>
      <c r="N25" s="998"/>
      <c r="O25" s="998"/>
      <c r="P25" s="998"/>
      <c r="Q25" s="998"/>
      <c r="R25" s="998"/>
      <c r="S25" s="998"/>
    </row>
    <row r="26" spans="1:19">
      <c r="A26" s="352">
        <v>1</v>
      </c>
      <c r="B26" s="357">
        <f>タスキリレー!B27</f>
        <v>0</v>
      </c>
      <c r="C26" s="481" t="str">
        <f>タスキリレー!C27</f>
        <v/>
      </c>
      <c r="D26" s="477" t="str">
        <f>タスキリレー!D27</f>
        <v/>
      </c>
      <c r="E26" s="358" t="str">
        <f>タスキリレー!E27</f>
        <v/>
      </c>
      <c r="F26" s="361"/>
      <c r="G26" s="87"/>
      <c r="H26" s="352">
        <v>1</v>
      </c>
      <c r="I26" s="357">
        <f>タスキリレー!I27</f>
        <v>0</v>
      </c>
      <c r="J26" s="481" t="str">
        <f>タスキリレー!J27</f>
        <v/>
      </c>
      <c r="K26" s="477" t="str">
        <f>タスキリレー!K27</f>
        <v/>
      </c>
      <c r="L26" s="358" t="str">
        <f>タスキリレー!L27</f>
        <v/>
      </c>
      <c r="M26" s="361"/>
      <c r="N26" s="998"/>
      <c r="O26" s="998"/>
      <c r="P26" s="998"/>
      <c r="Q26" s="998"/>
      <c r="R26" s="998"/>
      <c r="S26" s="998"/>
    </row>
    <row r="27" spans="1:19">
      <c r="A27" s="352">
        <v>2</v>
      </c>
      <c r="B27" s="357">
        <f>タスキリレー!B28</f>
        <v>0</v>
      </c>
      <c r="C27" s="481" t="str">
        <f>タスキリレー!C28</f>
        <v/>
      </c>
      <c r="D27" s="477" t="str">
        <f>タスキリレー!D28</f>
        <v/>
      </c>
      <c r="E27" s="358" t="str">
        <f>タスキリレー!E28</f>
        <v/>
      </c>
      <c r="F27" s="361"/>
      <c r="G27" s="87"/>
      <c r="H27" s="352">
        <v>2</v>
      </c>
      <c r="I27" s="357">
        <f>タスキリレー!I28</f>
        <v>0</v>
      </c>
      <c r="J27" s="481" t="str">
        <f>タスキリレー!J28</f>
        <v/>
      </c>
      <c r="K27" s="477" t="str">
        <f>タスキリレー!K28</f>
        <v/>
      </c>
      <c r="L27" s="358" t="str">
        <f>タスキリレー!L28</f>
        <v/>
      </c>
      <c r="M27" s="361"/>
      <c r="N27" s="998"/>
      <c r="O27" s="998"/>
      <c r="P27" s="998"/>
      <c r="Q27" s="998"/>
      <c r="R27" s="998"/>
      <c r="S27" s="998"/>
    </row>
    <row r="28" spans="1:19">
      <c r="A28" s="352">
        <v>3</v>
      </c>
      <c r="B28" s="357">
        <f>タスキリレー!B29</f>
        <v>0</v>
      </c>
      <c r="C28" s="481" t="str">
        <f>タスキリレー!C29</f>
        <v/>
      </c>
      <c r="D28" s="477" t="str">
        <f>タスキリレー!D29</f>
        <v/>
      </c>
      <c r="E28" s="358" t="str">
        <f>タスキリレー!E29</f>
        <v/>
      </c>
      <c r="F28" s="361"/>
      <c r="G28" s="87"/>
      <c r="H28" s="352">
        <v>3</v>
      </c>
      <c r="I28" s="357">
        <f>タスキリレー!I29</f>
        <v>0</v>
      </c>
      <c r="J28" s="481" t="str">
        <f>タスキリレー!J29</f>
        <v/>
      </c>
      <c r="K28" s="477" t="str">
        <f>タスキリレー!K29</f>
        <v/>
      </c>
      <c r="L28" s="358" t="str">
        <f>タスキリレー!L29</f>
        <v/>
      </c>
      <c r="M28" s="361"/>
      <c r="N28" s="998"/>
      <c r="O28" s="998"/>
      <c r="P28" s="998"/>
      <c r="Q28" s="998"/>
      <c r="R28" s="998"/>
      <c r="S28" s="998"/>
    </row>
    <row r="29" spans="1:19">
      <c r="A29" s="352">
        <v>4</v>
      </c>
      <c r="B29" s="357">
        <f>タスキリレー!B30</f>
        <v>0</v>
      </c>
      <c r="C29" s="481" t="str">
        <f>タスキリレー!C30</f>
        <v/>
      </c>
      <c r="D29" s="477" t="str">
        <f>タスキリレー!D30</f>
        <v/>
      </c>
      <c r="E29" s="358" t="str">
        <f>タスキリレー!E30</f>
        <v/>
      </c>
      <c r="F29" s="361"/>
      <c r="G29" s="87"/>
      <c r="H29" s="352">
        <v>4</v>
      </c>
      <c r="I29" s="357">
        <f>タスキリレー!I30</f>
        <v>0</v>
      </c>
      <c r="J29" s="481" t="str">
        <f>タスキリレー!J30</f>
        <v/>
      </c>
      <c r="K29" s="477" t="str">
        <f>タスキリレー!K30</f>
        <v/>
      </c>
      <c r="L29" s="358" t="str">
        <f>タスキリレー!L30</f>
        <v/>
      </c>
      <c r="M29" s="361"/>
      <c r="N29" s="998"/>
      <c r="O29" s="998"/>
      <c r="P29" s="998"/>
      <c r="Q29" s="998"/>
      <c r="R29" s="998"/>
      <c r="S29" s="998"/>
    </row>
    <row r="30" spans="1:19">
      <c r="A30" s="352">
        <v>5</v>
      </c>
      <c r="B30" s="357">
        <f>タスキリレー!B31</f>
        <v>0</v>
      </c>
      <c r="C30" s="481" t="str">
        <f>タスキリレー!C31</f>
        <v/>
      </c>
      <c r="D30" s="477" t="str">
        <f>タスキリレー!D31</f>
        <v/>
      </c>
      <c r="E30" s="358" t="str">
        <f>タスキリレー!E31</f>
        <v/>
      </c>
      <c r="F30" s="361"/>
      <c r="G30" s="87"/>
      <c r="H30" s="352">
        <v>5</v>
      </c>
      <c r="I30" s="357">
        <f>タスキリレー!I31</f>
        <v>0</v>
      </c>
      <c r="J30" s="481" t="str">
        <f>タスキリレー!J31</f>
        <v/>
      </c>
      <c r="K30" s="477" t="str">
        <f>タスキリレー!K31</f>
        <v/>
      </c>
      <c r="L30" s="358" t="str">
        <f>タスキリレー!L31</f>
        <v/>
      </c>
      <c r="M30" s="361"/>
      <c r="N30" s="998"/>
      <c r="O30" s="998"/>
      <c r="P30" s="998"/>
      <c r="Q30" s="998"/>
      <c r="R30" s="998"/>
      <c r="S30" s="998"/>
    </row>
    <row r="31" spans="1:19">
      <c r="A31" s="352">
        <v>6</v>
      </c>
      <c r="B31" s="357">
        <f>タスキリレー!B32</f>
        <v>0</v>
      </c>
      <c r="C31" s="481" t="str">
        <f>タスキリレー!C32</f>
        <v/>
      </c>
      <c r="D31" s="477" t="str">
        <f>タスキリレー!D32</f>
        <v/>
      </c>
      <c r="E31" s="358" t="str">
        <f>タスキリレー!E32</f>
        <v/>
      </c>
      <c r="F31" s="361"/>
      <c r="G31" s="87"/>
      <c r="H31" s="352">
        <v>6</v>
      </c>
      <c r="I31" s="357">
        <f>タスキリレー!I32</f>
        <v>0</v>
      </c>
      <c r="J31" s="481" t="str">
        <f>タスキリレー!J32</f>
        <v/>
      </c>
      <c r="K31" s="477" t="str">
        <f>タスキリレー!K32</f>
        <v/>
      </c>
      <c r="L31" s="358" t="str">
        <f>タスキリレー!L32</f>
        <v/>
      </c>
      <c r="M31" s="361"/>
      <c r="N31" s="998"/>
      <c r="O31" s="998"/>
      <c r="P31" s="998"/>
      <c r="Q31" s="998"/>
      <c r="R31" s="998"/>
      <c r="S31" s="998"/>
    </row>
    <row r="32" spans="1:19">
      <c r="A32" s="352">
        <v>7</v>
      </c>
      <c r="B32" s="357">
        <f>タスキリレー!B33</f>
        <v>0</v>
      </c>
      <c r="C32" s="481" t="str">
        <f>タスキリレー!C33</f>
        <v/>
      </c>
      <c r="D32" s="477" t="str">
        <f>タスキリレー!D33</f>
        <v/>
      </c>
      <c r="E32" s="358" t="str">
        <f>タスキリレー!E33</f>
        <v/>
      </c>
      <c r="F32" s="361"/>
      <c r="G32" s="87"/>
      <c r="H32" s="352">
        <v>7</v>
      </c>
      <c r="I32" s="357">
        <f>タスキリレー!I33</f>
        <v>0</v>
      </c>
      <c r="J32" s="481" t="str">
        <f>タスキリレー!J33</f>
        <v/>
      </c>
      <c r="K32" s="477" t="str">
        <f>タスキリレー!K33</f>
        <v/>
      </c>
      <c r="L32" s="358" t="str">
        <f>タスキリレー!L33</f>
        <v/>
      </c>
      <c r="M32" s="361"/>
      <c r="N32" s="998"/>
      <c r="O32" s="998"/>
      <c r="P32" s="998"/>
      <c r="Q32" s="998"/>
      <c r="R32" s="998"/>
      <c r="S32" s="998"/>
    </row>
    <row r="33" spans="1:19" ht="14.25" thickBot="1">
      <c r="A33" s="353">
        <v>8</v>
      </c>
      <c r="B33" s="359">
        <f>タスキリレー!B34</f>
        <v>0</v>
      </c>
      <c r="C33" s="482" t="str">
        <f>タスキリレー!C34</f>
        <v/>
      </c>
      <c r="D33" s="478" t="str">
        <f>タスキリレー!D34</f>
        <v/>
      </c>
      <c r="E33" s="360" t="str">
        <f>タスキリレー!E34</f>
        <v/>
      </c>
      <c r="F33" s="362"/>
      <c r="G33" s="87"/>
      <c r="H33" s="353">
        <v>8</v>
      </c>
      <c r="I33" s="359">
        <f>タスキリレー!I34</f>
        <v>0</v>
      </c>
      <c r="J33" s="482" t="str">
        <f>タスキリレー!J34</f>
        <v/>
      </c>
      <c r="K33" s="478" t="str">
        <f>タスキリレー!K34</f>
        <v/>
      </c>
      <c r="L33" s="360" t="str">
        <f>タスキリレー!L34</f>
        <v/>
      </c>
      <c r="M33" s="362"/>
      <c r="N33" s="998"/>
      <c r="O33" s="998"/>
      <c r="P33" s="998"/>
      <c r="Q33" s="998"/>
      <c r="R33" s="998"/>
      <c r="S33" s="998"/>
    </row>
    <row r="34" spans="1:19" ht="14.25" thickBot="1">
      <c r="A34" s="342"/>
      <c r="B34" s="342"/>
      <c r="C34" s="342"/>
      <c r="D34" s="342"/>
      <c r="E34" s="348"/>
      <c r="F34" s="87"/>
      <c r="G34" s="87"/>
      <c r="H34" s="87"/>
      <c r="I34" s="87"/>
      <c r="J34" s="87"/>
      <c r="K34" s="87"/>
      <c r="L34" s="87"/>
      <c r="M34" s="87"/>
      <c r="N34" s="998"/>
      <c r="O34" s="998"/>
      <c r="P34" s="998"/>
      <c r="Q34" s="998"/>
      <c r="R34" s="998"/>
      <c r="S34" s="998"/>
    </row>
    <row r="35" spans="1:19" ht="14.25" thickBot="1">
      <c r="A35" s="354" t="s">
        <v>204</v>
      </c>
      <c r="B35" s="342"/>
      <c r="C35" s="987" t="s">
        <v>484</v>
      </c>
      <c r="D35" s="988"/>
      <c r="E35" s="348"/>
      <c r="F35" s="87"/>
      <c r="G35" s="87"/>
      <c r="H35" s="354" t="s">
        <v>205</v>
      </c>
      <c r="I35" s="342"/>
      <c r="J35" s="987" t="s">
        <v>484</v>
      </c>
      <c r="K35" s="988"/>
      <c r="L35" s="348"/>
      <c r="M35" s="87"/>
      <c r="N35" s="998"/>
      <c r="O35" s="998"/>
      <c r="P35" s="998"/>
      <c r="Q35" s="998"/>
      <c r="R35" s="998"/>
      <c r="S35" s="998"/>
    </row>
    <row r="36" spans="1:19" ht="27" customHeight="1">
      <c r="A36" s="349"/>
      <c r="B36" s="350" t="s">
        <v>282</v>
      </c>
      <c r="C36" s="350" t="s">
        <v>283</v>
      </c>
      <c r="D36" s="350" t="s">
        <v>284</v>
      </c>
      <c r="E36" s="351" t="s">
        <v>37</v>
      </c>
      <c r="F36" s="356" t="s">
        <v>285</v>
      </c>
      <c r="G36" s="87"/>
      <c r="H36" s="349"/>
      <c r="I36" s="350" t="s">
        <v>282</v>
      </c>
      <c r="J36" s="350" t="s">
        <v>283</v>
      </c>
      <c r="K36" s="350" t="s">
        <v>284</v>
      </c>
      <c r="L36" s="351" t="s">
        <v>37</v>
      </c>
      <c r="M36" s="356" t="s">
        <v>285</v>
      </c>
      <c r="N36" s="998"/>
      <c r="O36" s="998"/>
      <c r="P36" s="998"/>
      <c r="Q36" s="998"/>
      <c r="R36" s="998"/>
      <c r="S36" s="998"/>
    </row>
    <row r="37" spans="1:19">
      <c r="A37" s="352">
        <v>1</v>
      </c>
      <c r="B37" s="357">
        <f>タスキリレー!B39</f>
        <v>0</v>
      </c>
      <c r="C37" s="481" t="str">
        <f>タスキリレー!C39</f>
        <v/>
      </c>
      <c r="D37" s="477" t="str">
        <f>タスキリレー!D39</f>
        <v/>
      </c>
      <c r="E37" s="358" t="str">
        <f>タスキリレー!E39</f>
        <v/>
      </c>
      <c r="F37" s="363"/>
      <c r="G37" s="87"/>
      <c r="H37" s="352">
        <v>1</v>
      </c>
      <c r="I37" s="357">
        <f>タスキリレー!I39</f>
        <v>0</v>
      </c>
      <c r="J37" s="481" t="str">
        <f>タスキリレー!J39</f>
        <v/>
      </c>
      <c r="K37" s="477" t="str">
        <f>タスキリレー!K39</f>
        <v/>
      </c>
      <c r="L37" s="358" t="str">
        <f>タスキリレー!L39</f>
        <v/>
      </c>
      <c r="M37" s="363"/>
      <c r="N37" s="998"/>
      <c r="O37" s="998"/>
      <c r="P37" s="998"/>
      <c r="Q37" s="998"/>
      <c r="R37" s="998"/>
      <c r="S37" s="998"/>
    </row>
    <row r="38" spans="1:19">
      <c r="A38" s="352">
        <v>2</v>
      </c>
      <c r="B38" s="357">
        <f>タスキリレー!B40</f>
        <v>0</v>
      </c>
      <c r="C38" s="481" t="str">
        <f>タスキリレー!C40</f>
        <v/>
      </c>
      <c r="D38" s="477" t="str">
        <f>タスキリレー!D40</f>
        <v/>
      </c>
      <c r="E38" s="358" t="str">
        <f>タスキリレー!E40</f>
        <v/>
      </c>
      <c r="F38" s="363"/>
      <c r="G38" s="87"/>
      <c r="H38" s="352">
        <v>2</v>
      </c>
      <c r="I38" s="357">
        <f>タスキリレー!I40</f>
        <v>0</v>
      </c>
      <c r="J38" s="481" t="str">
        <f>タスキリレー!J40</f>
        <v/>
      </c>
      <c r="K38" s="477" t="str">
        <f>タスキリレー!K40</f>
        <v/>
      </c>
      <c r="L38" s="358" t="str">
        <f>タスキリレー!L40</f>
        <v/>
      </c>
      <c r="M38" s="363"/>
      <c r="N38" s="998"/>
      <c r="O38" s="998"/>
      <c r="P38" s="998"/>
      <c r="Q38" s="998"/>
      <c r="R38" s="998"/>
      <c r="S38" s="998"/>
    </row>
    <row r="39" spans="1:19">
      <c r="A39" s="352">
        <v>3</v>
      </c>
      <c r="B39" s="357">
        <f>タスキリレー!B41</f>
        <v>0</v>
      </c>
      <c r="C39" s="481" t="str">
        <f>タスキリレー!C41</f>
        <v/>
      </c>
      <c r="D39" s="477" t="str">
        <f>タスキリレー!D41</f>
        <v/>
      </c>
      <c r="E39" s="358" t="str">
        <f>タスキリレー!E41</f>
        <v/>
      </c>
      <c r="F39" s="363"/>
      <c r="G39" s="87"/>
      <c r="H39" s="352">
        <v>3</v>
      </c>
      <c r="I39" s="357">
        <f>タスキリレー!I41</f>
        <v>0</v>
      </c>
      <c r="J39" s="481" t="str">
        <f>タスキリレー!J41</f>
        <v/>
      </c>
      <c r="K39" s="477" t="str">
        <f>タスキリレー!K41</f>
        <v/>
      </c>
      <c r="L39" s="358" t="str">
        <f>タスキリレー!L41</f>
        <v/>
      </c>
      <c r="M39" s="363"/>
      <c r="N39" s="998"/>
      <c r="O39" s="998"/>
      <c r="P39" s="998"/>
      <c r="Q39" s="998"/>
      <c r="R39" s="998"/>
      <c r="S39" s="998"/>
    </row>
    <row r="40" spans="1:19">
      <c r="A40" s="352">
        <v>4</v>
      </c>
      <c r="B40" s="357">
        <f>タスキリレー!B42</f>
        <v>0</v>
      </c>
      <c r="C40" s="481" t="str">
        <f>タスキリレー!C42</f>
        <v/>
      </c>
      <c r="D40" s="477" t="str">
        <f>タスキリレー!D42</f>
        <v/>
      </c>
      <c r="E40" s="358" t="str">
        <f>タスキリレー!E42</f>
        <v/>
      </c>
      <c r="F40" s="363"/>
      <c r="G40" s="87"/>
      <c r="H40" s="352">
        <v>4</v>
      </c>
      <c r="I40" s="357">
        <f>タスキリレー!I42</f>
        <v>0</v>
      </c>
      <c r="J40" s="481" t="str">
        <f>タスキリレー!J42</f>
        <v/>
      </c>
      <c r="K40" s="477" t="str">
        <f>タスキリレー!K42</f>
        <v/>
      </c>
      <c r="L40" s="358" t="str">
        <f>タスキリレー!L42</f>
        <v/>
      </c>
      <c r="M40" s="363"/>
      <c r="N40" s="998"/>
      <c r="O40" s="998"/>
      <c r="P40" s="998"/>
      <c r="Q40" s="998"/>
      <c r="R40" s="998"/>
      <c r="S40" s="998"/>
    </row>
    <row r="41" spans="1:19">
      <c r="A41" s="352">
        <v>5</v>
      </c>
      <c r="B41" s="357">
        <f>タスキリレー!B43</f>
        <v>0</v>
      </c>
      <c r="C41" s="481" t="str">
        <f>タスキリレー!C43</f>
        <v/>
      </c>
      <c r="D41" s="477" t="str">
        <f>タスキリレー!D43</f>
        <v/>
      </c>
      <c r="E41" s="358" t="str">
        <f>タスキリレー!E43</f>
        <v/>
      </c>
      <c r="F41" s="363"/>
      <c r="G41" s="87"/>
      <c r="H41" s="352">
        <v>5</v>
      </c>
      <c r="I41" s="357">
        <f>タスキリレー!I43</f>
        <v>0</v>
      </c>
      <c r="J41" s="481" t="str">
        <f>タスキリレー!J43</f>
        <v/>
      </c>
      <c r="K41" s="477" t="str">
        <f>タスキリレー!K43</f>
        <v/>
      </c>
      <c r="L41" s="358" t="str">
        <f>タスキリレー!L43</f>
        <v/>
      </c>
      <c r="M41" s="363"/>
      <c r="N41" s="998"/>
      <c r="O41" s="998"/>
      <c r="P41" s="998"/>
      <c r="Q41" s="998"/>
      <c r="R41" s="998"/>
      <c r="S41" s="998"/>
    </row>
    <row r="42" spans="1:19">
      <c r="A42" s="352">
        <v>6</v>
      </c>
      <c r="B42" s="357">
        <f>タスキリレー!B44</f>
        <v>0</v>
      </c>
      <c r="C42" s="481" t="str">
        <f>タスキリレー!C44</f>
        <v/>
      </c>
      <c r="D42" s="477" t="str">
        <f>タスキリレー!D44</f>
        <v/>
      </c>
      <c r="E42" s="358" t="str">
        <f>タスキリレー!E44</f>
        <v/>
      </c>
      <c r="F42" s="363"/>
      <c r="G42" s="87"/>
      <c r="H42" s="352">
        <v>6</v>
      </c>
      <c r="I42" s="357">
        <f>タスキリレー!I44</f>
        <v>0</v>
      </c>
      <c r="J42" s="481" t="str">
        <f>タスキリレー!J44</f>
        <v/>
      </c>
      <c r="K42" s="477" t="str">
        <f>タスキリレー!K44</f>
        <v/>
      </c>
      <c r="L42" s="358" t="str">
        <f>タスキリレー!L44</f>
        <v/>
      </c>
      <c r="M42" s="363"/>
      <c r="N42" s="998"/>
      <c r="O42" s="998"/>
      <c r="P42" s="998"/>
      <c r="Q42" s="998"/>
      <c r="R42" s="998"/>
      <c r="S42" s="998"/>
    </row>
    <row r="43" spans="1:19">
      <c r="A43" s="352">
        <v>7</v>
      </c>
      <c r="B43" s="357">
        <f>タスキリレー!B45</f>
        <v>0</v>
      </c>
      <c r="C43" s="481" t="str">
        <f>タスキリレー!C45</f>
        <v/>
      </c>
      <c r="D43" s="477" t="str">
        <f>タスキリレー!D45</f>
        <v/>
      </c>
      <c r="E43" s="358" t="str">
        <f>タスキリレー!E45</f>
        <v/>
      </c>
      <c r="F43" s="363"/>
      <c r="G43" s="87"/>
      <c r="H43" s="352">
        <v>7</v>
      </c>
      <c r="I43" s="357">
        <f>タスキリレー!I45</f>
        <v>0</v>
      </c>
      <c r="J43" s="481" t="str">
        <f>タスキリレー!J45</f>
        <v/>
      </c>
      <c r="K43" s="477" t="str">
        <f>タスキリレー!K45</f>
        <v/>
      </c>
      <c r="L43" s="358" t="str">
        <f>タスキリレー!L45</f>
        <v/>
      </c>
      <c r="M43" s="363"/>
      <c r="N43" s="998"/>
      <c r="O43" s="998"/>
      <c r="P43" s="998"/>
      <c r="Q43" s="998"/>
      <c r="R43" s="998"/>
      <c r="S43" s="998"/>
    </row>
    <row r="44" spans="1:19" ht="14.25" thickBot="1">
      <c r="A44" s="353">
        <v>8</v>
      </c>
      <c r="B44" s="359">
        <f>タスキリレー!B46</f>
        <v>0</v>
      </c>
      <c r="C44" s="482" t="str">
        <f>タスキリレー!C46</f>
        <v/>
      </c>
      <c r="D44" s="478" t="str">
        <f>タスキリレー!D46</f>
        <v/>
      </c>
      <c r="E44" s="360" t="str">
        <f>タスキリレー!E46</f>
        <v/>
      </c>
      <c r="F44" s="364"/>
      <c r="G44" s="87"/>
      <c r="H44" s="353">
        <v>8</v>
      </c>
      <c r="I44" s="359">
        <f>タスキリレー!I46</f>
        <v>0</v>
      </c>
      <c r="J44" s="482" t="str">
        <f>タスキリレー!J46</f>
        <v/>
      </c>
      <c r="K44" s="478" t="str">
        <f>タスキリレー!K46</f>
        <v/>
      </c>
      <c r="L44" s="360" t="str">
        <f>タスキリレー!L46</f>
        <v/>
      </c>
      <c r="M44" s="364"/>
      <c r="N44" s="998"/>
      <c r="O44" s="998"/>
      <c r="P44" s="998"/>
      <c r="Q44" s="998"/>
      <c r="R44" s="998"/>
      <c r="S44" s="998"/>
    </row>
    <row r="45" spans="1:19" ht="14.25" thickBot="1">
      <c r="A45" s="853"/>
      <c r="B45" s="853"/>
      <c r="C45" s="984"/>
      <c r="D45" s="984"/>
      <c r="E45" s="985"/>
      <c r="F45" s="986"/>
      <c r="G45" s="87"/>
      <c r="H45" s="853"/>
      <c r="I45" s="853"/>
      <c r="J45" s="984"/>
      <c r="K45" s="984"/>
      <c r="L45" s="985"/>
      <c r="M45" s="986"/>
      <c r="N45" s="998"/>
      <c r="O45" s="998"/>
      <c r="P45" s="998"/>
      <c r="Q45" s="998"/>
      <c r="R45" s="998"/>
      <c r="S45" s="998"/>
    </row>
    <row r="46" spans="1:19" ht="14.25" thickBot="1">
      <c r="A46" s="354" t="s">
        <v>206</v>
      </c>
      <c r="B46" s="342"/>
      <c r="C46" s="987" t="s">
        <v>484</v>
      </c>
      <c r="D46" s="988"/>
      <c r="E46" s="348"/>
      <c r="F46" s="87"/>
      <c r="G46" s="87"/>
      <c r="H46" s="354" t="s">
        <v>296</v>
      </c>
      <c r="I46" s="342"/>
      <c r="J46" s="987" t="s">
        <v>484</v>
      </c>
      <c r="K46" s="988"/>
      <c r="L46" s="348"/>
      <c r="M46" s="87"/>
      <c r="N46" s="998"/>
      <c r="O46" s="998"/>
      <c r="P46" s="998"/>
      <c r="Q46" s="998"/>
      <c r="R46" s="998"/>
      <c r="S46" s="998"/>
    </row>
    <row r="47" spans="1:19" ht="27" customHeight="1">
      <c r="A47" s="349"/>
      <c r="B47" s="350" t="s">
        <v>282</v>
      </c>
      <c r="C47" s="350" t="s">
        <v>283</v>
      </c>
      <c r="D47" s="350" t="s">
        <v>284</v>
      </c>
      <c r="E47" s="351" t="s">
        <v>37</v>
      </c>
      <c r="F47" s="356" t="s">
        <v>285</v>
      </c>
      <c r="G47" s="87"/>
      <c r="H47" s="349"/>
      <c r="I47" s="350" t="s">
        <v>282</v>
      </c>
      <c r="J47" s="350" t="s">
        <v>283</v>
      </c>
      <c r="K47" s="350" t="s">
        <v>284</v>
      </c>
      <c r="L47" s="351" t="s">
        <v>37</v>
      </c>
      <c r="M47" s="356" t="s">
        <v>285</v>
      </c>
      <c r="N47" s="998"/>
      <c r="O47" s="998"/>
      <c r="P47" s="998"/>
      <c r="Q47" s="998"/>
      <c r="R47" s="998"/>
      <c r="S47" s="998"/>
    </row>
    <row r="48" spans="1:19">
      <c r="A48" s="352">
        <v>1</v>
      </c>
      <c r="B48" s="357">
        <f>タスキリレー!B51</f>
        <v>0</v>
      </c>
      <c r="C48" s="481" t="str">
        <f>タスキリレー!C51</f>
        <v/>
      </c>
      <c r="D48" s="477" t="str">
        <f>タスキリレー!D51</f>
        <v/>
      </c>
      <c r="E48" s="358" t="str">
        <f>タスキリレー!E51</f>
        <v/>
      </c>
      <c r="F48" s="363"/>
      <c r="G48" s="87"/>
      <c r="H48" s="352">
        <v>1</v>
      </c>
      <c r="I48" s="357">
        <f>タスキリレー!I51</f>
        <v>0</v>
      </c>
      <c r="J48" s="481" t="str">
        <f>タスキリレー!J51</f>
        <v/>
      </c>
      <c r="K48" s="477" t="str">
        <f>タスキリレー!K51</f>
        <v/>
      </c>
      <c r="L48" s="358" t="str">
        <f>タスキリレー!L51</f>
        <v/>
      </c>
      <c r="M48" s="363"/>
      <c r="N48" s="998"/>
      <c r="O48" s="998"/>
      <c r="P48" s="998"/>
      <c r="Q48" s="998"/>
      <c r="R48" s="998"/>
      <c r="S48" s="998"/>
    </row>
    <row r="49" spans="1:19">
      <c r="A49" s="352">
        <v>2</v>
      </c>
      <c r="B49" s="357">
        <f>タスキリレー!B52</f>
        <v>0</v>
      </c>
      <c r="C49" s="481" t="str">
        <f>タスキリレー!C52</f>
        <v/>
      </c>
      <c r="D49" s="477" t="str">
        <f>タスキリレー!D52</f>
        <v/>
      </c>
      <c r="E49" s="358" t="str">
        <f>タスキリレー!E52</f>
        <v/>
      </c>
      <c r="F49" s="363"/>
      <c r="G49" s="87"/>
      <c r="H49" s="352">
        <v>2</v>
      </c>
      <c r="I49" s="357">
        <f>タスキリレー!I52</f>
        <v>0</v>
      </c>
      <c r="J49" s="481" t="str">
        <f>タスキリレー!J52</f>
        <v/>
      </c>
      <c r="K49" s="477" t="str">
        <f>タスキリレー!K52</f>
        <v/>
      </c>
      <c r="L49" s="358" t="str">
        <f>タスキリレー!L52</f>
        <v/>
      </c>
      <c r="M49" s="363"/>
      <c r="N49" s="998"/>
      <c r="O49" s="998"/>
      <c r="P49" s="998"/>
      <c r="Q49" s="998"/>
      <c r="R49" s="998"/>
      <c r="S49" s="998"/>
    </row>
    <row r="50" spans="1:19">
      <c r="A50" s="352">
        <v>3</v>
      </c>
      <c r="B50" s="357">
        <f>タスキリレー!B53</f>
        <v>0</v>
      </c>
      <c r="C50" s="481" t="str">
        <f>タスキリレー!C53</f>
        <v/>
      </c>
      <c r="D50" s="477" t="str">
        <f>タスキリレー!D53</f>
        <v/>
      </c>
      <c r="E50" s="358" t="str">
        <f>タスキリレー!E53</f>
        <v/>
      </c>
      <c r="F50" s="363"/>
      <c r="G50" s="87"/>
      <c r="H50" s="352">
        <v>3</v>
      </c>
      <c r="I50" s="357">
        <f>タスキリレー!I53</f>
        <v>0</v>
      </c>
      <c r="J50" s="481" t="str">
        <f>タスキリレー!J53</f>
        <v/>
      </c>
      <c r="K50" s="477" t="str">
        <f>タスキリレー!K53</f>
        <v/>
      </c>
      <c r="L50" s="358" t="str">
        <f>タスキリレー!L53</f>
        <v/>
      </c>
      <c r="M50" s="363"/>
      <c r="N50" s="998"/>
      <c r="O50" s="998"/>
      <c r="P50" s="998"/>
      <c r="Q50" s="998"/>
      <c r="R50" s="998"/>
      <c r="S50" s="998"/>
    </row>
    <row r="51" spans="1:19">
      <c r="A51" s="352">
        <v>4</v>
      </c>
      <c r="B51" s="357">
        <f>タスキリレー!B54</f>
        <v>0</v>
      </c>
      <c r="C51" s="481" t="str">
        <f>タスキリレー!C54</f>
        <v/>
      </c>
      <c r="D51" s="477" t="str">
        <f>タスキリレー!D54</f>
        <v/>
      </c>
      <c r="E51" s="358" t="str">
        <f>タスキリレー!E54</f>
        <v/>
      </c>
      <c r="F51" s="363"/>
      <c r="G51" s="87"/>
      <c r="H51" s="352">
        <v>4</v>
      </c>
      <c r="I51" s="357">
        <f>タスキリレー!I54</f>
        <v>0</v>
      </c>
      <c r="J51" s="481" t="str">
        <f>タスキリレー!J54</f>
        <v/>
      </c>
      <c r="K51" s="477" t="str">
        <f>タスキリレー!K54</f>
        <v/>
      </c>
      <c r="L51" s="358" t="str">
        <f>タスキリレー!L54</f>
        <v/>
      </c>
      <c r="M51" s="363"/>
      <c r="N51" s="998"/>
      <c r="O51" s="998"/>
      <c r="P51" s="998"/>
      <c r="Q51" s="998"/>
      <c r="R51" s="998"/>
      <c r="S51" s="998"/>
    </row>
    <row r="52" spans="1:19">
      <c r="A52" s="352">
        <v>5</v>
      </c>
      <c r="B52" s="357">
        <f>タスキリレー!B55</f>
        <v>0</v>
      </c>
      <c r="C52" s="481" t="str">
        <f>タスキリレー!C55</f>
        <v/>
      </c>
      <c r="D52" s="477" t="str">
        <f>タスキリレー!D55</f>
        <v/>
      </c>
      <c r="E52" s="358" t="str">
        <f>タスキリレー!E55</f>
        <v/>
      </c>
      <c r="F52" s="363"/>
      <c r="G52" s="87"/>
      <c r="H52" s="352">
        <v>5</v>
      </c>
      <c r="I52" s="357">
        <f>タスキリレー!I55</f>
        <v>0</v>
      </c>
      <c r="J52" s="481" t="str">
        <f>タスキリレー!J55</f>
        <v/>
      </c>
      <c r="K52" s="477" t="str">
        <f>タスキリレー!K55</f>
        <v/>
      </c>
      <c r="L52" s="358" t="str">
        <f>タスキリレー!L55</f>
        <v/>
      </c>
      <c r="M52" s="363"/>
      <c r="N52" s="998"/>
      <c r="O52" s="998"/>
      <c r="P52" s="998"/>
      <c r="Q52" s="998"/>
      <c r="R52" s="998"/>
      <c r="S52" s="998"/>
    </row>
    <row r="53" spans="1:19">
      <c r="A53" s="352">
        <v>6</v>
      </c>
      <c r="B53" s="357">
        <f>タスキリレー!B56</f>
        <v>0</v>
      </c>
      <c r="C53" s="481" t="str">
        <f>タスキリレー!C56</f>
        <v/>
      </c>
      <c r="D53" s="477" t="str">
        <f>タスキリレー!D56</f>
        <v/>
      </c>
      <c r="E53" s="358" t="str">
        <f>タスキリレー!E56</f>
        <v/>
      </c>
      <c r="F53" s="363"/>
      <c r="G53" s="87"/>
      <c r="H53" s="352">
        <v>6</v>
      </c>
      <c r="I53" s="357">
        <f>タスキリレー!I56</f>
        <v>0</v>
      </c>
      <c r="J53" s="481" t="str">
        <f>タスキリレー!J56</f>
        <v/>
      </c>
      <c r="K53" s="477" t="str">
        <f>タスキリレー!K56</f>
        <v/>
      </c>
      <c r="L53" s="358" t="str">
        <f>タスキリレー!L56</f>
        <v/>
      </c>
      <c r="M53" s="363"/>
      <c r="N53" s="998"/>
      <c r="O53" s="998"/>
      <c r="P53" s="998"/>
      <c r="Q53" s="998"/>
      <c r="R53" s="998"/>
      <c r="S53" s="998"/>
    </row>
    <row r="54" spans="1:19">
      <c r="A54" s="352">
        <v>7</v>
      </c>
      <c r="B54" s="357">
        <f>タスキリレー!B57</f>
        <v>0</v>
      </c>
      <c r="C54" s="481" t="str">
        <f>タスキリレー!C57</f>
        <v/>
      </c>
      <c r="D54" s="477" t="str">
        <f>タスキリレー!D57</f>
        <v/>
      </c>
      <c r="E54" s="358" t="str">
        <f>タスキリレー!E57</f>
        <v/>
      </c>
      <c r="F54" s="363"/>
      <c r="G54" s="87"/>
      <c r="H54" s="352">
        <v>7</v>
      </c>
      <c r="I54" s="357">
        <f>タスキリレー!I57</f>
        <v>0</v>
      </c>
      <c r="J54" s="481" t="str">
        <f>タスキリレー!J57</f>
        <v/>
      </c>
      <c r="K54" s="477" t="str">
        <f>タスキリレー!K57</f>
        <v/>
      </c>
      <c r="L54" s="358" t="str">
        <f>タスキリレー!L57</f>
        <v/>
      </c>
      <c r="M54" s="363"/>
      <c r="N54" s="998"/>
      <c r="O54" s="998"/>
      <c r="P54" s="998"/>
      <c r="Q54" s="998"/>
      <c r="R54" s="998"/>
      <c r="S54" s="998"/>
    </row>
    <row r="55" spans="1:19" ht="14.25" thickBot="1">
      <c r="A55" s="353">
        <v>8</v>
      </c>
      <c r="B55" s="359">
        <f>タスキリレー!B58</f>
        <v>0</v>
      </c>
      <c r="C55" s="482" t="str">
        <f>タスキリレー!C58</f>
        <v/>
      </c>
      <c r="D55" s="478" t="str">
        <f>タスキリレー!D58</f>
        <v/>
      </c>
      <c r="E55" s="360" t="str">
        <f>タスキリレー!E58</f>
        <v/>
      </c>
      <c r="F55" s="364"/>
      <c r="G55" s="87"/>
      <c r="H55" s="353">
        <v>8</v>
      </c>
      <c r="I55" s="359">
        <f>タスキリレー!I58</f>
        <v>0</v>
      </c>
      <c r="J55" s="482" t="str">
        <f>タスキリレー!J58</f>
        <v/>
      </c>
      <c r="K55" s="478" t="str">
        <f>タスキリレー!K58</f>
        <v/>
      </c>
      <c r="L55" s="360" t="str">
        <f>タスキリレー!L58</f>
        <v/>
      </c>
      <c r="M55" s="364"/>
      <c r="N55" s="998"/>
      <c r="O55" s="998"/>
      <c r="P55" s="998"/>
      <c r="Q55" s="998"/>
      <c r="R55" s="998"/>
      <c r="S55" s="998"/>
    </row>
    <row r="56" spans="1:19">
      <c r="A56" s="87"/>
      <c r="B56" s="87"/>
      <c r="C56" s="87"/>
      <c r="D56" s="87"/>
      <c r="E56" s="88"/>
      <c r="F56" s="87"/>
      <c r="G56" s="87"/>
      <c r="H56" s="87"/>
      <c r="I56" s="87"/>
      <c r="J56" s="87"/>
      <c r="K56" s="87"/>
      <c r="L56" s="87"/>
      <c r="M56" s="87"/>
      <c r="N56" s="998"/>
      <c r="O56" s="998"/>
      <c r="P56" s="998"/>
      <c r="Q56" s="998"/>
      <c r="R56" s="998"/>
      <c r="S56" s="998"/>
    </row>
    <row r="57" spans="1:19">
      <c r="A57" s="87" t="s">
        <v>292</v>
      </c>
      <c r="B57" s="87"/>
      <c r="C57" s="87"/>
      <c r="D57" s="87"/>
      <c r="E57" s="88"/>
      <c r="F57" s="87"/>
      <c r="G57" s="87"/>
      <c r="H57" s="87"/>
      <c r="I57" s="87"/>
      <c r="J57" s="87"/>
      <c r="K57" s="87"/>
      <c r="L57" s="87"/>
      <c r="M57" s="87"/>
      <c r="N57" s="998"/>
      <c r="O57" s="998"/>
      <c r="P57" s="998"/>
      <c r="Q57" s="998"/>
      <c r="R57" s="998"/>
      <c r="S57" s="998"/>
    </row>
    <row r="58" spans="1:19">
      <c r="A58" s="87" t="s">
        <v>286</v>
      </c>
      <c r="B58" s="87"/>
      <c r="C58" s="87"/>
      <c r="D58" s="87"/>
      <c r="E58" s="88"/>
      <c r="F58" s="87"/>
      <c r="G58" s="87"/>
      <c r="H58" s="87"/>
      <c r="I58" s="87"/>
      <c r="J58" s="87"/>
      <c r="K58" s="87"/>
      <c r="L58" s="87"/>
      <c r="M58" s="87"/>
      <c r="N58" s="998"/>
      <c r="O58" s="998"/>
      <c r="P58" s="998"/>
      <c r="Q58" s="998"/>
      <c r="R58" s="998"/>
      <c r="S58" s="998"/>
    </row>
    <row r="59" spans="1:19">
      <c r="A59" s="87"/>
      <c r="B59" s="87"/>
      <c r="C59" s="87"/>
      <c r="D59" s="87"/>
      <c r="E59" s="88"/>
      <c r="F59" s="87"/>
      <c r="G59" s="87"/>
      <c r="H59" s="87"/>
      <c r="I59" s="87"/>
      <c r="J59" s="87"/>
      <c r="K59" s="87"/>
      <c r="L59" s="87"/>
      <c r="M59" s="87"/>
      <c r="N59" s="998"/>
      <c r="O59" s="998"/>
      <c r="P59" s="998"/>
      <c r="Q59" s="998"/>
      <c r="R59" s="998"/>
      <c r="S59" s="998"/>
    </row>
    <row r="60" spans="1:19">
      <c r="A60" s="87"/>
      <c r="B60" s="87"/>
      <c r="C60" s="87"/>
      <c r="D60" s="87"/>
      <c r="E60" s="88"/>
      <c r="F60" s="87"/>
      <c r="G60" s="87"/>
      <c r="H60" s="87"/>
      <c r="I60" s="87"/>
      <c r="J60" s="87"/>
      <c r="K60" s="87"/>
      <c r="L60" s="87"/>
      <c r="M60" s="87"/>
      <c r="N60" s="998"/>
      <c r="O60" s="998"/>
      <c r="P60" s="998"/>
      <c r="Q60" s="998"/>
      <c r="R60" s="998"/>
      <c r="S60" s="998"/>
    </row>
    <row r="61" spans="1:19">
      <c r="A61" s="87"/>
      <c r="B61" s="87"/>
      <c r="C61" s="87"/>
      <c r="D61" s="87"/>
      <c r="E61" s="88"/>
      <c r="F61" s="87"/>
      <c r="G61" s="87"/>
      <c r="H61" s="87"/>
      <c r="I61" s="87"/>
      <c r="J61" s="87"/>
      <c r="K61" s="87"/>
      <c r="L61" s="355" t="s">
        <v>293</v>
      </c>
      <c r="M61" s="355"/>
      <c r="N61" s="998"/>
      <c r="O61" s="998"/>
      <c r="P61" s="998"/>
      <c r="Q61" s="998"/>
      <c r="R61" s="998"/>
      <c r="S61" s="998"/>
    </row>
    <row r="62" spans="1:19">
      <c r="A62" s="87"/>
      <c r="B62" s="87"/>
      <c r="C62" s="87"/>
      <c r="D62" s="87"/>
      <c r="E62" s="88"/>
      <c r="F62" s="87"/>
      <c r="G62" s="87"/>
      <c r="H62" s="87"/>
      <c r="I62" s="87"/>
      <c r="J62" s="87"/>
      <c r="K62" s="87"/>
      <c r="L62" s="87"/>
      <c r="M62" s="87"/>
      <c r="N62" s="998"/>
      <c r="O62" s="998"/>
      <c r="P62" s="998"/>
      <c r="Q62" s="998"/>
      <c r="R62" s="998"/>
      <c r="S62" s="998"/>
    </row>
    <row r="63" spans="1:19">
      <c r="A63" s="87"/>
      <c r="B63" s="87"/>
      <c r="C63" s="87"/>
      <c r="D63" s="87"/>
      <c r="E63" s="88"/>
      <c r="F63" s="87"/>
      <c r="G63" s="87"/>
      <c r="H63" s="87"/>
      <c r="I63" s="87"/>
      <c r="J63" s="87"/>
      <c r="K63" s="87"/>
      <c r="L63" s="87"/>
      <c r="M63" s="87"/>
      <c r="N63" s="998"/>
      <c r="O63" s="998"/>
      <c r="P63" s="998"/>
      <c r="Q63" s="998"/>
      <c r="R63" s="998"/>
      <c r="S63" s="998"/>
    </row>
    <row r="64" spans="1:19">
      <c r="A64" s="87"/>
      <c r="B64" s="87"/>
      <c r="C64" s="87"/>
      <c r="D64" s="87"/>
      <c r="E64" s="88"/>
      <c r="F64" s="87"/>
      <c r="G64" s="87"/>
      <c r="H64" s="87"/>
      <c r="I64" s="87"/>
      <c r="J64" s="87"/>
      <c r="K64" s="87"/>
      <c r="L64" s="87"/>
      <c r="M64" s="87"/>
      <c r="N64" s="998"/>
      <c r="O64" s="998"/>
      <c r="P64" s="998"/>
      <c r="Q64" s="998"/>
      <c r="R64" s="998"/>
      <c r="S64" s="998"/>
    </row>
    <row r="65" spans="1:19">
      <c r="A65" s="87"/>
      <c r="B65" s="87"/>
      <c r="C65" s="87"/>
      <c r="D65" s="87"/>
      <c r="E65" s="88"/>
      <c r="F65" s="87"/>
      <c r="G65" s="87"/>
      <c r="H65" s="87"/>
      <c r="I65" s="87"/>
      <c r="J65" s="87"/>
      <c r="K65" s="87"/>
      <c r="L65" s="87"/>
      <c r="M65" s="87"/>
      <c r="N65" s="998"/>
      <c r="O65" s="998"/>
      <c r="P65" s="998"/>
      <c r="Q65" s="998"/>
      <c r="R65" s="998"/>
      <c r="S65" s="998"/>
    </row>
  </sheetData>
  <sheetProtection password="83D4" sheet="1" objects="1" scenarios="1"/>
  <mergeCells count="3">
    <mergeCell ref="B5:C5"/>
    <mergeCell ref="B7:C7"/>
    <mergeCell ref="B9:C9"/>
  </mergeCells>
  <phoneticPr fontId="5"/>
  <conditionalFormatting sqref="F37:F45 F48:F55 M37:M45 M48:M55">
    <cfRule type="cellIs" dxfId="381" priority="1" stopIfTrue="1" operator="greaterThan">
      <formula>5</formula>
    </cfRule>
  </conditionalFormatting>
  <conditionalFormatting sqref="F15:F23 F26:F33 M15:M23 M26:M33">
    <cfRule type="cellIs" dxfId="380" priority="2" stopIfTrue="1" operator="greaterThan">
      <formula>7</formula>
    </cfRule>
  </conditionalFormatting>
  <dataValidations count="2">
    <dataValidation allowBlank="1" showInputMessage="1" showErrorMessage="1" prompt="ここはフリガナを入力して下さい" sqref="D26:E33 K48:L55 K26:L33 K15:L23 K37:L45 D48:E55 D37:E45 D15:E23"/>
    <dataValidation imeMode="disabled" allowBlank="1" showInputMessage="1" showErrorMessage="1" sqref="F26:F33 M48:M55 M37:M45 M26:M33 M15:M23 F48:F55 F37:F45 F15:F23 D13 K13 D24 K24 D35 K35 D46 K46"/>
  </dataValidations>
  <pageMargins left="0.78700000000000003" right="0.78700000000000003" top="0.98399999999999999" bottom="0.98399999999999999" header="0.51200000000000001" footer="0.51200000000000001"/>
  <pageSetup paperSize="9" scale="78" orientation="portrait" verticalDpi="12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7" enableFormatConditionsCalculation="0">
    <tabColor indexed="24"/>
    <pageSetUpPr fitToPage="1"/>
  </sheetPr>
  <dimension ref="A1:AT126"/>
  <sheetViews>
    <sheetView showGridLines="0" showZeros="0" topLeftCell="B1" zoomScaleNormal="100" workbookViewId="0">
      <selection activeCell="AJ16" sqref="AJ16"/>
    </sheetView>
  </sheetViews>
  <sheetFormatPr defaultColWidth="8.625" defaultRowHeight="13.5"/>
  <cols>
    <col min="1" max="1" width="8.625" style="40" hidden="1" customWidth="1"/>
    <col min="2" max="2" width="9.625" style="40" bestFit="1" customWidth="1"/>
    <col min="3" max="3" width="12.375" style="40" customWidth="1"/>
    <col min="4" max="4" width="10" style="40" hidden="1" customWidth="1"/>
    <col min="5" max="5" width="12.25" style="40" customWidth="1"/>
    <col min="6" max="7" width="8.625" style="40" hidden="1" customWidth="1"/>
    <col min="8" max="8" width="4.75" style="40" bestFit="1" customWidth="1"/>
    <col min="9" max="9" width="5.5" style="40" customWidth="1"/>
    <col min="10" max="10" width="5.5" style="98" hidden="1" customWidth="1"/>
    <col min="11" max="11" width="11.5" style="98" hidden="1" customWidth="1"/>
    <col min="12" max="12" width="12.25" style="98" hidden="1" customWidth="1"/>
    <col min="13" max="13" width="10.5" style="40" bestFit="1" customWidth="1"/>
    <col min="14" max="14" width="16.375" style="93" customWidth="1"/>
    <col min="15" max="15" width="7.625" style="133" hidden="1" customWidth="1"/>
    <col min="16" max="16" width="12.375" style="95" customWidth="1"/>
    <col min="17" max="17" width="6.75" style="93" hidden="1" customWidth="1"/>
    <col min="18" max="18" width="6.75" style="94" hidden="1" customWidth="1"/>
    <col min="19" max="19" width="8.375" style="95" hidden="1" customWidth="1"/>
    <col min="20" max="20" width="5.875" style="93" hidden="1" customWidth="1"/>
    <col min="21" max="21" width="6.75" style="94" hidden="1" customWidth="1"/>
    <col min="22" max="22" width="5.875" style="95" hidden="1" customWidth="1"/>
    <col min="23" max="23" width="5.875" style="96" hidden="1" customWidth="1"/>
    <col min="24" max="24" width="6.75" style="40" hidden="1" customWidth="1"/>
    <col min="25" max="25" width="9.375" style="97" hidden="1" customWidth="1"/>
    <col min="26" max="26" width="5.875" style="96" hidden="1" customWidth="1"/>
    <col min="27" max="27" width="6.75" style="40" hidden="1" customWidth="1"/>
    <col min="28" max="28" width="3.875" style="97" hidden="1" customWidth="1"/>
    <col min="29" max="29" width="6.25" style="98" hidden="1" customWidth="1"/>
    <col min="30" max="30" width="5.25" style="98" hidden="1" customWidth="1"/>
    <col min="31" max="31" width="5" style="40" hidden="1" customWidth="1"/>
    <col min="32" max="32" width="11.25" style="40" hidden="1" customWidth="1"/>
    <col min="33" max="33" width="6.375" style="40" hidden="1" customWidth="1"/>
    <col min="34" max="34" width="7.25" style="99" bestFit="1" customWidth="1"/>
    <col min="35" max="35" width="8.625" style="99" customWidth="1"/>
    <col min="36" max="16384" width="8.625" style="40"/>
  </cols>
  <sheetData>
    <row r="1" spans="1:46" ht="27.75" customHeight="1">
      <c r="B1" s="217" t="s">
        <v>301</v>
      </c>
      <c r="C1" s="1225">
        <f>IF(名簿!$O$4="","",名簿!$O$4)</f>
        <v>0</v>
      </c>
      <c r="D1" s="1225"/>
      <c r="E1" s="1225"/>
      <c r="F1" s="365"/>
      <c r="G1" s="365"/>
      <c r="H1" s="366"/>
      <c r="I1" s="366"/>
      <c r="J1" s="367"/>
      <c r="K1" s="367"/>
      <c r="L1" s="367"/>
      <c r="M1" s="366"/>
      <c r="N1" s="366"/>
      <c r="O1" s="368"/>
      <c r="P1" s="369"/>
      <c r="Q1" s="370"/>
      <c r="R1" s="371"/>
      <c r="S1" s="372"/>
      <c r="T1" s="370"/>
      <c r="U1" s="371"/>
      <c r="V1" s="372"/>
      <c r="W1" s="373"/>
      <c r="X1" s="365"/>
      <c r="Y1" s="374"/>
      <c r="Z1" s="373"/>
      <c r="AA1" s="365"/>
      <c r="AB1" s="374"/>
      <c r="AC1" s="375"/>
      <c r="AD1" s="375"/>
      <c r="AE1" s="365"/>
      <c r="AF1" s="365"/>
      <c r="AG1" s="365"/>
      <c r="AH1" s="376"/>
      <c r="AI1" s="376"/>
      <c r="AJ1" s="365"/>
      <c r="AK1" s="1008"/>
      <c r="AL1" s="1008"/>
      <c r="AM1" s="1008"/>
      <c r="AN1" s="1008"/>
      <c r="AO1" s="1008"/>
      <c r="AP1" s="1008"/>
      <c r="AQ1" s="1008"/>
      <c r="AR1" s="1008"/>
      <c r="AS1" s="1008"/>
      <c r="AT1" s="1008"/>
    </row>
    <row r="2" spans="1:46" ht="26.25" customHeight="1">
      <c r="B2" s="217" t="s">
        <v>302</v>
      </c>
      <c r="C2" s="377" t="e">
        <f>名簿!$P$4</f>
        <v>#N/A</v>
      </c>
      <c r="D2" s="365"/>
      <c r="E2" s="1224" t="s">
        <v>496</v>
      </c>
      <c r="F2" s="1224"/>
      <c r="G2" s="1224"/>
      <c r="H2" s="1224"/>
      <c r="I2" s="1224"/>
      <c r="J2" s="1224"/>
      <c r="K2" s="1224"/>
      <c r="L2" s="1224"/>
      <c r="M2" s="1224"/>
      <c r="N2" s="1224"/>
      <c r="O2" s="1224"/>
      <c r="P2" s="1224"/>
      <c r="Q2" s="1224"/>
      <c r="R2" s="371"/>
      <c r="S2" s="381"/>
      <c r="T2" s="370"/>
      <c r="U2" s="371"/>
      <c r="V2" s="372"/>
      <c r="W2" s="373"/>
      <c r="X2" s="365"/>
      <c r="Y2" s="374"/>
      <c r="Z2" s="373"/>
      <c r="AA2" s="365"/>
      <c r="AB2" s="374"/>
      <c r="AC2" s="375"/>
      <c r="AD2" s="375"/>
      <c r="AE2" s="365"/>
      <c r="AF2" s="365"/>
      <c r="AG2" s="365"/>
      <c r="AH2" s="382"/>
      <c r="AI2" s="382"/>
      <c r="AJ2" s="365"/>
      <c r="AK2" s="1008"/>
      <c r="AL2" s="1008"/>
      <c r="AM2" s="1008"/>
      <c r="AN2" s="1008"/>
      <c r="AO2" s="1008"/>
      <c r="AP2" s="1008"/>
      <c r="AQ2" s="1008"/>
      <c r="AR2" s="1008"/>
      <c r="AS2" s="1008"/>
      <c r="AT2" s="1008"/>
    </row>
    <row r="3" spans="1:46" ht="26.25" customHeight="1" thickBot="1">
      <c r="B3" s="218" t="s">
        <v>291</v>
      </c>
      <c r="C3" s="240">
        <f>IF(名簿!$D$1="","",名簿!$D$1)</f>
        <v>0</v>
      </c>
      <c r="D3" s="282"/>
      <c r="E3" s="365"/>
      <c r="F3" s="365"/>
      <c r="G3" s="365"/>
      <c r="H3" s="365"/>
      <c r="I3" s="383" t="s">
        <v>268</v>
      </c>
      <c r="J3" s="375"/>
      <c r="K3" s="375"/>
      <c r="L3" s="375"/>
      <c r="M3" s="365"/>
      <c r="N3" s="384">
        <f>AG117</f>
        <v>0</v>
      </c>
      <c r="O3" s="378"/>
      <c r="P3" s="379"/>
      <c r="Q3" s="380"/>
      <c r="R3" s="371"/>
      <c r="S3" s="381"/>
      <c r="T3" s="370"/>
      <c r="U3" s="371"/>
      <c r="V3" s="372"/>
      <c r="W3" s="373"/>
      <c r="X3" s="365"/>
      <c r="Y3" s="374"/>
      <c r="Z3" s="373"/>
      <c r="AA3" s="365"/>
      <c r="AB3" s="374"/>
      <c r="AC3" s="375"/>
      <c r="AD3" s="375"/>
      <c r="AE3" s="365"/>
      <c r="AF3" s="365"/>
      <c r="AG3" s="365"/>
      <c r="AH3" s="382"/>
      <c r="AI3" s="382"/>
      <c r="AJ3" s="365"/>
      <c r="AK3" s="1008"/>
      <c r="AL3" s="1008"/>
      <c r="AM3" s="1008"/>
      <c r="AN3" s="1008"/>
      <c r="AO3" s="1008"/>
      <c r="AP3" s="1008"/>
      <c r="AQ3" s="1008"/>
      <c r="AR3" s="1008"/>
      <c r="AS3" s="1008"/>
      <c r="AT3" s="1008"/>
    </row>
    <row r="4" spans="1:46" ht="26.25" customHeight="1" thickBot="1">
      <c r="B4" s="218" t="s">
        <v>209</v>
      </c>
      <c r="C4" s="240">
        <f>IF(名簿!$I$1="","",名簿!$I$1)</f>
        <v>0</v>
      </c>
      <c r="D4" s="292"/>
      <c r="E4" s="365"/>
      <c r="F4" s="365"/>
      <c r="G4" s="365"/>
      <c r="H4" s="365"/>
      <c r="I4" s="383" t="s">
        <v>231</v>
      </c>
      <c r="J4" s="375"/>
      <c r="K4" s="375"/>
      <c r="L4" s="375"/>
      <c r="M4" s="365"/>
      <c r="N4" s="385">
        <f>AG117*500</f>
        <v>0</v>
      </c>
      <c r="O4" s="378"/>
      <c r="P4" s="379"/>
      <c r="Q4" s="380"/>
      <c r="R4" s="371"/>
      <c r="S4" s="381"/>
      <c r="T4" s="370"/>
      <c r="U4" s="371"/>
      <c r="V4" s="372"/>
      <c r="W4" s="373"/>
      <c r="X4" s="365"/>
      <c r="Y4" s="374"/>
      <c r="Z4" s="373"/>
      <c r="AA4" s="365"/>
      <c r="AB4" s="374"/>
      <c r="AC4" s="375"/>
      <c r="AD4" s="375"/>
      <c r="AE4" s="365"/>
      <c r="AF4" s="365"/>
      <c r="AG4" s="365"/>
      <c r="AH4" s="382"/>
      <c r="AI4" s="382"/>
      <c r="AJ4" s="365"/>
      <c r="AK4" s="1008"/>
      <c r="AL4" s="1008"/>
      <c r="AM4" s="1008"/>
      <c r="AN4" s="1008"/>
      <c r="AO4" s="1008"/>
      <c r="AP4" s="1008"/>
      <c r="AQ4" s="1008"/>
      <c r="AR4" s="1008"/>
      <c r="AS4" s="1008"/>
      <c r="AT4" s="1008"/>
    </row>
    <row r="5" spans="1:46" ht="26.25" customHeight="1" thickBot="1">
      <c r="B5" s="386"/>
      <c r="C5" s="365"/>
      <c r="D5" s="365"/>
      <c r="E5" s="365"/>
      <c r="F5" s="365"/>
      <c r="G5" s="365"/>
      <c r="H5" s="365"/>
      <c r="I5" s="365"/>
      <c r="J5" s="375"/>
      <c r="K5" s="375"/>
      <c r="L5" s="375"/>
      <c r="M5" s="365"/>
      <c r="N5" s="365"/>
      <c r="O5" s="378"/>
      <c r="P5" s="379"/>
      <c r="Q5" s="380"/>
      <c r="R5" s="371"/>
      <c r="S5" s="381"/>
      <c r="T5" s="370"/>
      <c r="U5" s="371"/>
      <c r="V5" s="372"/>
      <c r="W5" s="373"/>
      <c r="X5" s="365"/>
      <c r="Y5" s="374"/>
      <c r="Z5" s="373"/>
      <c r="AA5" s="365"/>
      <c r="AB5" s="374"/>
      <c r="AC5" s="375"/>
      <c r="AD5" s="375"/>
      <c r="AE5" s="365"/>
      <c r="AF5" s="365"/>
      <c r="AG5" s="365"/>
      <c r="AH5" s="382"/>
      <c r="AI5" s="382"/>
      <c r="AJ5" s="365"/>
      <c r="AK5" s="1008"/>
      <c r="AL5" s="1008"/>
      <c r="AM5" s="1008"/>
      <c r="AN5" s="1008"/>
      <c r="AO5" s="1008"/>
      <c r="AP5" s="1008"/>
      <c r="AQ5" s="1008"/>
      <c r="AR5" s="1008"/>
      <c r="AS5" s="1008"/>
      <c r="AT5" s="1008"/>
    </row>
    <row r="6" spans="1:46" s="113" customFormat="1" ht="14.25" thickBot="1">
      <c r="A6" s="100" t="s">
        <v>9</v>
      </c>
      <c r="B6" s="1335" t="s">
        <v>5</v>
      </c>
      <c r="C6" s="1336" t="s">
        <v>71</v>
      </c>
      <c r="D6" s="1336" t="s">
        <v>10</v>
      </c>
      <c r="E6" s="1336" t="s">
        <v>2</v>
      </c>
      <c r="F6" s="1336" t="s">
        <v>0</v>
      </c>
      <c r="G6" s="1336" t="s">
        <v>4</v>
      </c>
      <c r="H6" s="1336" t="s">
        <v>3</v>
      </c>
      <c r="I6" s="1336" t="s">
        <v>1</v>
      </c>
      <c r="J6" s="1337" t="s">
        <v>450</v>
      </c>
      <c r="K6" s="1337" t="s">
        <v>12</v>
      </c>
      <c r="L6" s="1337"/>
      <c r="M6" s="1338" t="s">
        <v>558</v>
      </c>
      <c r="N6" s="1324" t="s">
        <v>14</v>
      </c>
      <c r="O6" s="101" t="s">
        <v>77</v>
      </c>
      <c r="P6" s="102" t="s">
        <v>76</v>
      </c>
      <c r="Q6" s="103" t="s">
        <v>78</v>
      </c>
      <c r="R6" s="104" t="s">
        <v>77</v>
      </c>
      <c r="S6" s="105" t="s">
        <v>79</v>
      </c>
      <c r="T6" s="106" t="s">
        <v>47</v>
      </c>
      <c r="U6" s="104" t="s">
        <v>77</v>
      </c>
      <c r="V6" s="107" t="s">
        <v>80</v>
      </c>
      <c r="W6" s="108" t="s">
        <v>48</v>
      </c>
      <c r="X6" s="109" t="s">
        <v>77</v>
      </c>
      <c r="Y6" s="110" t="s">
        <v>81</v>
      </c>
      <c r="Z6" s="108" t="s">
        <v>49</v>
      </c>
      <c r="AA6" s="109" t="s">
        <v>77</v>
      </c>
      <c r="AB6" s="111" t="s">
        <v>82</v>
      </c>
      <c r="AC6" s="112" t="s">
        <v>13</v>
      </c>
      <c r="AD6" s="112"/>
      <c r="AF6" s="45" t="s">
        <v>134</v>
      </c>
      <c r="AH6" s="1222" t="s">
        <v>211</v>
      </c>
      <c r="AI6" s="1223"/>
      <c r="AJ6" s="388"/>
      <c r="AK6" s="1009"/>
      <c r="AL6" s="1009"/>
      <c r="AM6" s="1009"/>
      <c r="AN6" s="1009"/>
      <c r="AO6" s="1009"/>
      <c r="AP6" s="1009"/>
      <c r="AQ6" s="1009"/>
      <c r="AR6" s="1009"/>
      <c r="AS6" s="1009"/>
      <c r="AT6" s="1009"/>
    </row>
    <row r="7" spans="1:46">
      <c r="B7" s="1330">
        <f>名簿!E4</f>
        <v>0</v>
      </c>
      <c r="C7" s="1331" t="str">
        <f>名簿!CM4</f>
        <v/>
      </c>
      <c r="D7" s="1331" t="str">
        <f>名簿!CM4</f>
        <v/>
      </c>
      <c r="E7" s="1331" t="str">
        <f>名簿!Z4</f>
        <v/>
      </c>
      <c r="F7" s="1331" t="e">
        <f>名簿!P4</f>
        <v>#N/A</v>
      </c>
      <c r="G7" s="1331" t="e">
        <f>名簿!Q4</f>
        <v>#N/A</v>
      </c>
      <c r="H7" s="1332" t="str">
        <f>名簿!Y4</f>
        <v/>
      </c>
      <c r="I7" s="1332" t="str">
        <f>名簿!CN4</f>
        <v/>
      </c>
      <c r="J7" s="1333">
        <f>名簿!CP4</f>
        <v>0</v>
      </c>
      <c r="K7" s="1333" t="str">
        <f>名簿!CU4</f>
        <v>00</v>
      </c>
      <c r="L7" s="1333" t="str">
        <f>名簿!CU4</f>
        <v>00</v>
      </c>
      <c r="M7" s="1334">
        <f>名簿!D4</f>
        <v>0</v>
      </c>
      <c r="N7" s="1325"/>
      <c r="O7" s="254" t="str">
        <f>IF(N7="","",IF(H7=1,VLOOKUP(N7,男子種目コード!$V$23:$W$25,2,FALSE),IF(H7=2,VLOOKUP(N7,女子種目コード!$V$23:$W$25,2,FALSE))))</f>
        <v/>
      </c>
      <c r="P7" s="542" t="str">
        <f>IF(N7="","",HLOOKUP(N7,名簿!$AH$3:$CH$118,2,FALSE))</f>
        <v/>
      </c>
      <c r="Q7" s="114">
        <f>$C$1</f>
        <v>0</v>
      </c>
      <c r="R7" s="115" t="s">
        <v>486</v>
      </c>
      <c r="S7" s="116" t="str">
        <f>CONCATENATE(Q7,R7)</f>
        <v>0中学</v>
      </c>
      <c r="T7" s="114"/>
      <c r="U7" s="115"/>
      <c r="V7" s="117"/>
      <c r="W7" s="118"/>
      <c r="X7" s="119"/>
      <c r="Y7" s="120"/>
      <c r="Z7" s="121"/>
      <c r="AA7" s="119"/>
      <c r="AB7" s="122"/>
      <c r="AC7" s="98">
        <v>0</v>
      </c>
      <c r="AF7" s="45" t="s">
        <v>135</v>
      </c>
      <c r="AG7" s="40" t="str">
        <f>IF(N7="","",1)</f>
        <v/>
      </c>
      <c r="AH7" s="129" t="s">
        <v>303</v>
      </c>
      <c r="AI7" s="130">
        <f>COUNTIF($O$7:$O$116,4)</f>
        <v>0</v>
      </c>
      <c r="AJ7" s="365"/>
      <c r="AK7" s="1008"/>
      <c r="AL7" s="1008"/>
      <c r="AM7" s="1008"/>
      <c r="AN7" s="1008"/>
      <c r="AO7" s="1008"/>
      <c r="AP7" s="1008"/>
      <c r="AQ7" s="1008"/>
      <c r="AR7" s="1008"/>
      <c r="AS7" s="1008"/>
      <c r="AT7" s="1008"/>
    </row>
    <row r="8" spans="1:46" ht="14.25" thickBot="1">
      <c r="B8" s="389">
        <f>名簿!E5</f>
        <v>0</v>
      </c>
      <c r="C8" s="390" t="str">
        <f>名簿!CM5</f>
        <v/>
      </c>
      <c r="D8" s="390" t="str">
        <f>名簿!CM5</f>
        <v/>
      </c>
      <c r="E8" s="390" t="str">
        <f>名簿!Z5</f>
        <v/>
      </c>
      <c r="F8" s="390" t="str">
        <f>名簿!P5</f>
        <v/>
      </c>
      <c r="G8" s="390" t="str">
        <f>名簿!Q5</f>
        <v/>
      </c>
      <c r="H8" s="391" t="str">
        <f>名簿!Y5</f>
        <v/>
      </c>
      <c r="I8" s="391" t="str">
        <f>名簿!CN5</f>
        <v/>
      </c>
      <c r="J8" s="900">
        <f>名簿!CP5</f>
        <v>0</v>
      </c>
      <c r="K8" s="900" t="str">
        <f>名簿!CU5</f>
        <v>00</v>
      </c>
      <c r="L8" s="900" t="str">
        <f>名簿!CU5</f>
        <v>00</v>
      </c>
      <c r="M8" s="1328">
        <f>名簿!D5</f>
        <v>0</v>
      </c>
      <c r="N8" s="1326"/>
      <c r="O8" s="258" t="str">
        <f>IF(N8="","",IF(H8=1,VLOOKUP(N8,男子種目コード!$V$23:$W$25,2,FALSE),IF(H8=2,VLOOKUP(N8,女子種目コード!$V$23:$W$25,2,FALSE))))</f>
        <v/>
      </c>
      <c r="P8" s="540" t="str">
        <f>IF(N8="","",HLOOKUP(N8,名簿!$AH$3:$CH$118,3,FALSE))</f>
        <v/>
      </c>
      <c r="Q8" s="114">
        <f t="shared" ref="Q8:Q71" si="0">$C$1</f>
        <v>0</v>
      </c>
      <c r="R8" s="115" t="s">
        <v>486</v>
      </c>
      <c r="S8" s="116" t="str">
        <f t="shared" ref="S8:S71" si="1">CONCATENATE(Q8,R8)</f>
        <v>0中学</v>
      </c>
      <c r="T8" s="124"/>
      <c r="U8" s="123"/>
      <c r="V8" s="117"/>
      <c r="W8" s="125"/>
      <c r="X8" s="126"/>
      <c r="Y8" s="120"/>
      <c r="Z8" s="127"/>
      <c r="AA8" s="126"/>
      <c r="AB8" s="122"/>
      <c r="AC8" s="98">
        <v>0</v>
      </c>
      <c r="AF8" s="128"/>
      <c r="AG8" s="40" t="str">
        <f t="shared" ref="AG8:AG20" si="2">IF(N8="","",1)</f>
        <v/>
      </c>
      <c r="AH8" s="131" t="s">
        <v>304</v>
      </c>
      <c r="AI8" s="132">
        <f>COUNTIF($O$7:$O$116,8)</f>
        <v>0</v>
      </c>
      <c r="AJ8" s="365"/>
      <c r="AK8" s="1008"/>
      <c r="AL8" s="1008"/>
      <c r="AM8" s="1008"/>
      <c r="AN8" s="1008"/>
      <c r="AO8" s="1008"/>
      <c r="AP8" s="1008"/>
      <c r="AQ8" s="1008"/>
      <c r="AR8" s="1008"/>
      <c r="AS8" s="1008"/>
      <c r="AT8" s="1008"/>
    </row>
    <row r="9" spans="1:46" ht="14.25" thickBot="1">
      <c r="B9" s="389">
        <f>名簿!E6</f>
        <v>0</v>
      </c>
      <c r="C9" s="390" t="str">
        <f>名簿!CM6</f>
        <v/>
      </c>
      <c r="D9" s="390" t="str">
        <f>名簿!CM6</f>
        <v/>
      </c>
      <c r="E9" s="390" t="str">
        <f>名簿!Z6</f>
        <v/>
      </c>
      <c r="F9" s="390" t="str">
        <f>名簿!P6</f>
        <v/>
      </c>
      <c r="G9" s="390" t="str">
        <f>名簿!Q6</f>
        <v/>
      </c>
      <c r="H9" s="391" t="str">
        <f>名簿!Y6</f>
        <v/>
      </c>
      <c r="I9" s="391" t="str">
        <f>名簿!CN6</f>
        <v/>
      </c>
      <c r="J9" s="900">
        <f>名簿!CP6</f>
        <v>0</v>
      </c>
      <c r="K9" s="900" t="str">
        <f>名簿!CU6</f>
        <v>00</v>
      </c>
      <c r="L9" s="900" t="str">
        <f>名簿!CU6</f>
        <v>00</v>
      </c>
      <c r="M9" s="1328">
        <f>名簿!D6</f>
        <v>0</v>
      </c>
      <c r="N9" s="1326"/>
      <c r="O9" s="258" t="str">
        <f>IF(N9="","",IF(H9=1,VLOOKUP(N9,男子種目コード!$V$23:$W$25,2,FALSE),IF(H9=2,VLOOKUP(N9,女子種目コード!$V$23:$W$25,2,FALSE))))</f>
        <v/>
      </c>
      <c r="P9" s="540" t="str">
        <f>IF(N9="","",HLOOKUP(N9,名簿!$AH$3:$CH$118,4,FALSE))</f>
        <v/>
      </c>
      <c r="Q9" s="114">
        <f t="shared" si="0"/>
        <v>0</v>
      </c>
      <c r="R9" s="115" t="s">
        <v>486</v>
      </c>
      <c r="S9" s="116" t="str">
        <f t="shared" si="1"/>
        <v>0中学</v>
      </c>
      <c r="T9" s="124"/>
      <c r="U9" s="123"/>
      <c r="V9" s="117"/>
      <c r="W9" s="125"/>
      <c r="X9" s="126"/>
      <c r="Y9" s="120"/>
      <c r="Z9" s="127"/>
      <c r="AA9" s="126"/>
      <c r="AB9" s="122"/>
      <c r="AC9" s="98">
        <v>0</v>
      </c>
      <c r="AF9" s="128"/>
      <c r="AG9" s="40" t="str">
        <f t="shared" si="2"/>
        <v/>
      </c>
      <c r="AH9" s="208" t="s">
        <v>262</v>
      </c>
      <c r="AI9" s="209">
        <f>SUM(AI7:AI8)</f>
        <v>0</v>
      </c>
      <c r="AJ9" s="365"/>
      <c r="AK9" s="1008"/>
      <c r="AL9" s="1008"/>
      <c r="AM9" s="1008"/>
      <c r="AN9" s="1008"/>
      <c r="AO9" s="1008"/>
      <c r="AP9" s="1008"/>
      <c r="AQ9" s="1008"/>
      <c r="AR9" s="1008"/>
      <c r="AS9" s="1008"/>
      <c r="AT9" s="1008"/>
    </row>
    <row r="10" spans="1:46">
      <c r="B10" s="389">
        <f>名簿!E7</f>
        <v>0</v>
      </c>
      <c r="C10" s="390" t="str">
        <f>名簿!CM7</f>
        <v/>
      </c>
      <c r="D10" s="390" t="str">
        <f>名簿!CM7</f>
        <v/>
      </c>
      <c r="E10" s="390" t="str">
        <f>名簿!Z7</f>
        <v/>
      </c>
      <c r="F10" s="390" t="str">
        <f>名簿!P7</f>
        <v/>
      </c>
      <c r="G10" s="390" t="str">
        <f>名簿!Q7</f>
        <v/>
      </c>
      <c r="H10" s="391" t="str">
        <f>名簿!Y7</f>
        <v/>
      </c>
      <c r="I10" s="391" t="str">
        <f>名簿!CN7</f>
        <v/>
      </c>
      <c r="J10" s="900">
        <f>名簿!CP7</f>
        <v>0</v>
      </c>
      <c r="K10" s="900" t="str">
        <f>名簿!CU7</f>
        <v>00</v>
      </c>
      <c r="L10" s="900" t="str">
        <f>名簿!CU7</f>
        <v>00</v>
      </c>
      <c r="M10" s="1328">
        <f>名簿!D7</f>
        <v>0</v>
      </c>
      <c r="N10" s="1326"/>
      <c r="O10" s="258" t="str">
        <f>IF(N10="","",IF(H10=1,VLOOKUP(N10,男子種目コード!$V$23:$W$25,2,FALSE),IF(H10=2,VLOOKUP(N10,女子種目コード!$V$23:$W$25,2,FALSE))))</f>
        <v/>
      </c>
      <c r="P10" s="540" t="str">
        <f>IF(N10="","",HLOOKUP(N10,名簿!$AH$3:$CH$118,5,FALSE))</f>
        <v/>
      </c>
      <c r="Q10" s="114">
        <f t="shared" si="0"/>
        <v>0</v>
      </c>
      <c r="R10" s="115" t="s">
        <v>486</v>
      </c>
      <c r="S10" s="116" t="str">
        <f t="shared" si="1"/>
        <v>0中学</v>
      </c>
      <c r="T10" s="124"/>
      <c r="U10" s="123"/>
      <c r="V10" s="117"/>
      <c r="W10" s="125"/>
      <c r="X10" s="126"/>
      <c r="Y10" s="120"/>
      <c r="Z10" s="127"/>
      <c r="AA10" s="126"/>
      <c r="AB10" s="122"/>
      <c r="AC10" s="98">
        <v>0</v>
      </c>
      <c r="AF10" s="128"/>
      <c r="AG10" s="40" t="str">
        <f t="shared" si="2"/>
        <v/>
      </c>
      <c r="AH10" s="376"/>
      <c r="AI10" s="376"/>
      <c r="AJ10" s="365"/>
      <c r="AK10" s="1008"/>
      <c r="AL10" s="1008"/>
      <c r="AM10" s="1008"/>
      <c r="AN10" s="1008"/>
      <c r="AO10" s="1008"/>
      <c r="AP10" s="1008"/>
      <c r="AQ10" s="1008"/>
      <c r="AR10" s="1008"/>
      <c r="AS10" s="1008"/>
      <c r="AT10" s="1008"/>
    </row>
    <row r="11" spans="1:46">
      <c r="B11" s="389">
        <f>名簿!E8</f>
        <v>0</v>
      </c>
      <c r="C11" s="390" t="str">
        <f>名簿!CM8</f>
        <v/>
      </c>
      <c r="D11" s="390" t="str">
        <f>名簿!CM8</f>
        <v/>
      </c>
      <c r="E11" s="390" t="str">
        <f>名簿!Z8</f>
        <v/>
      </c>
      <c r="F11" s="390" t="str">
        <f>名簿!P8</f>
        <v/>
      </c>
      <c r="G11" s="390" t="str">
        <f>名簿!Q8</f>
        <v/>
      </c>
      <c r="H11" s="391" t="str">
        <f>名簿!Y8</f>
        <v/>
      </c>
      <c r="I11" s="391" t="str">
        <f>名簿!CN8</f>
        <v/>
      </c>
      <c r="J11" s="900">
        <f>名簿!CP8</f>
        <v>0</v>
      </c>
      <c r="K11" s="900" t="str">
        <f>名簿!CU8</f>
        <v>00</v>
      </c>
      <c r="L11" s="900" t="str">
        <f>名簿!CU8</f>
        <v>00</v>
      </c>
      <c r="M11" s="1328">
        <f>名簿!D8</f>
        <v>0</v>
      </c>
      <c r="N11" s="1326"/>
      <c r="O11" s="258" t="str">
        <f>IF(N11="","",IF(H11=1,VLOOKUP(N11,男子種目コード!$V$23:$W$25,2,FALSE),IF(H11=2,VLOOKUP(N11,女子種目コード!$V$23:$W$25,2,FALSE))))</f>
        <v/>
      </c>
      <c r="P11" s="540" t="str">
        <f>IF(N11="","",HLOOKUP(N11,名簿!$AH$3:$CH$118,6,FALSE))</f>
        <v/>
      </c>
      <c r="Q11" s="114">
        <f t="shared" si="0"/>
        <v>0</v>
      </c>
      <c r="R11" s="115" t="s">
        <v>486</v>
      </c>
      <c r="S11" s="116" t="str">
        <f t="shared" si="1"/>
        <v>0中学</v>
      </c>
      <c r="T11" s="124"/>
      <c r="U11" s="123"/>
      <c r="V11" s="117"/>
      <c r="W11" s="125"/>
      <c r="X11" s="126"/>
      <c r="Y11" s="120"/>
      <c r="Z11" s="127"/>
      <c r="AA11" s="126"/>
      <c r="AB11" s="122"/>
      <c r="AC11" s="98">
        <v>0</v>
      </c>
      <c r="AF11" s="128"/>
      <c r="AG11" s="40" t="str">
        <f t="shared" si="2"/>
        <v/>
      </c>
      <c r="AH11" s="543" t="s">
        <v>409</v>
      </c>
      <c r="AI11" s="543"/>
      <c r="AJ11" s="544"/>
      <c r="AK11" s="1008"/>
      <c r="AL11" s="1008"/>
      <c r="AM11" s="1008"/>
      <c r="AN11" s="1008"/>
      <c r="AO11" s="1008"/>
      <c r="AP11" s="1008"/>
      <c r="AQ11" s="1008"/>
      <c r="AR11" s="1008"/>
      <c r="AS11" s="1008"/>
      <c r="AT11" s="1008"/>
    </row>
    <row r="12" spans="1:46">
      <c r="B12" s="389">
        <f>名簿!E9</f>
        <v>0</v>
      </c>
      <c r="C12" s="390" t="str">
        <f>名簿!CM9</f>
        <v/>
      </c>
      <c r="D12" s="390" t="str">
        <f>名簿!CM9</f>
        <v/>
      </c>
      <c r="E12" s="390" t="str">
        <f>名簿!Z9</f>
        <v/>
      </c>
      <c r="F12" s="390" t="str">
        <f>名簿!P9</f>
        <v/>
      </c>
      <c r="G12" s="390" t="str">
        <f>名簿!Q9</f>
        <v/>
      </c>
      <c r="H12" s="391" t="str">
        <f>名簿!Y9</f>
        <v/>
      </c>
      <c r="I12" s="391" t="str">
        <f>名簿!CN9</f>
        <v/>
      </c>
      <c r="J12" s="900">
        <f>名簿!CP9</f>
        <v>0</v>
      </c>
      <c r="K12" s="900" t="str">
        <f>名簿!CU9</f>
        <v>00</v>
      </c>
      <c r="L12" s="900" t="str">
        <f>名簿!CU9</f>
        <v>00</v>
      </c>
      <c r="M12" s="1328">
        <f>名簿!D9</f>
        <v>0</v>
      </c>
      <c r="N12" s="1326"/>
      <c r="O12" s="258" t="str">
        <f>IF(N12="","",IF(H12=1,VLOOKUP(N12,男子種目コード!$V$23:$W$25,2,FALSE),IF(H12=2,VLOOKUP(N12,女子種目コード!$V$23:$W$25,2,FALSE))))</f>
        <v/>
      </c>
      <c r="P12" s="540" t="str">
        <f>IF(N12="","",HLOOKUP(N12,名簿!$AH$3:$CH$118,7,FALSE))</f>
        <v/>
      </c>
      <c r="Q12" s="114">
        <f t="shared" si="0"/>
        <v>0</v>
      </c>
      <c r="R12" s="115" t="s">
        <v>486</v>
      </c>
      <c r="S12" s="116" t="str">
        <f t="shared" si="1"/>
        <v>0中学</v>
      </c>
      <c r="T12" s="124"/>
      <c r="U12" s="123"/>
      <c r="V12" s="117"/>
      <c r="W12" s="125"/>
      <c r="X12" s="126"/>
      <c r="Y12" s="120"/>
      <c r="Z12" s="127"/>
      <c r="AA12" s="126"/>
      <c r="AB12" s="122"/>
      <c r="AC12" s="98">
        <v>0</v>
      </c>
      <c r="AF12" s="128"/>
      <c r="AG12" s="40" t="str">
        <f t="shared" si="2"/>
        <v/>
      </c>
      <c r="AH12" s="543" t="s">
        <v>410</v>
      </c>
      <c r="AI12" s="543"/>
      <c r="AJ12" s="544"/>
      <c r="AK12" s="1008"/>
      <c r="AL12" s="1008"/>
      <c r="AM12" s="1008"/>
      <c r="AN12" s="1008"/>
      <c r="AO12" s="1008"/>
      <c r="AP12" s="1008"/>
      <c r="AQ12" s="1008"/>
      <c r="AR12" s="1008"/>
      <c r="AS12" s="1008"/>
      <c r="AT12" s="1008"/>
    </row>
    <row r="13" spans="1:46">
      <c r="B13" s="389">
        <f>名簿!E10</f>
        <v>0</v>
      </c>
      <c r="C13" s="390" t="str">
        <f>名簿!CM10</f>
        <v/>
      </c>
      <c r="D13" s="390" t="str">
        <f>名簿!CM10</f>
        <v/>
      </c>
      <c r="E13" s="390" t="str">
        <f>名簿!Z10</f>
        <v/>
      </c>
      <c r="F13" s="390" t="str">
        <f>名簿!P10</f>
        <v/>
      </c>
      <c r="G13" s="390" t="str">
        <f>名簿!Q10</f>
        <v/>
      </c>
      <c r="H13" s="391" t="str">
        <f>名簿!Y10</f>
        <v/>
      </c>
      <c r="I13" s="391" t="str">
        <f>名簿!CN10</f>
        <v/>
      </c>
      <c r="J13" s="900">
        <f>名簿!CP10</f>
        <v>0</v>
      </c>
      <c r="K13" s="900" t="str">
        <f>名簿!CU10</f>
        <v>00</v>
      </c>
      <c r="L13" s="900" t="str">
        <f>名簿!CU10</f>
        <v>00</v>
      </c>
      <c r="M13" s="1328">
        <f>名簿!D10</f>
        <v>0</v>
      </c>
      <c r="N13" s="1326"/>
      <c r="O13" s="258" t="str">
        <f>IF(N13="","",IF(H13=1,VLOOKUP(N13,男子種目コード!$V$23:$W$25,2,FALSE),IF(H13=2,VLOOKUP(N13,女子種目コード!$V$23:$W$25,2,FALSE))))</f>
        <v/>
      </c>
      <c r="P13" s="540" t="str">
        <f>IF(N13="","",HLOOKUP(N13,名簿!$AH$3:$CH$118,8,FALSE))</f>
        <v/>
      </c>
      <c r="Q13" s="114">
        <f t="shared" si="0"/>
        <v>0</v>
      </c>
      <c r="R13" s="115" t="s">
        <v>486</v>
      </c>
      <c r="S13" s="116" t="str">
        <f t="shared" si="1"/>
        <v>0中学</v>
      </c>
      <c r="T13" s="124"/>
      <c r="U13" s="123"/>
      <c r="V13" s="117"/>
      <c r="W13" s="125"/>
      <c r="X13" s="126"/>
      <c r="Y13" s="120"/>
      <c r="Z13" s="127"/>
      <c r="AA13" s="126"/>
      <c r="AB13" s="122"/>
      <c r="AC13" s="98">
        <v>0</v>
      </c>
      <c r="AF13" s="128"/>
      <c r="AG13" s="40" t="str">
        <f t="shared" si="2"/>
        <v/>
      </c>
      <c r="AH13" s="376"/>
      <c r="AI13" s="376"/>
      <c r="AJ13" s="365"/>
      <c r="AK13" s="1008"/>
      <c r="AL13" s="1008"/>
      <c r="AM13" s="1008"/>
      <c r="AN13" s="1008"/>
      <c r="AO13" s="1008"/>
      <c r="AP13" s="1008"/>
      <c r="AQ13" s="1008"/>
      <c r="AR13" s="1008"/>
      <c r="AS13" s="1008"/>
      <c r="AT13" s="1008"/>
    </row>
    <row r="14" spans="1:46">
      <c r="B14" s="389">
        <f>名簿!E11</f>
        <v>0</v>
      </c>
      <c r="C14" s="390" t="str">
        <f>名簿!CM11</f>
        <v/>
      </c>
      <c r="D14" s="390" t="str">
        <f>名簿!CM11</f>
        <v/>
      </c>
      <c r="E14" s="390" t="str">
        <f>名簿!Z11</f>
        <v/>
      </c>
      <c r="F14" s="390" t="str">
        <f>名簿!P11</f>
        <v/>
      </c>
      <c r="G14" s="390" t="str">
        <f>名簿!Q11</f>
        <v/>
      </c>
      <c r="H14" s="391" t="str">
        <f>名簿!Y11</f>
        <v/>
      </c>
      <c r="I14" s="391" t="str">
        <f>名簿!CN11</f>
        <v/>
      </c>
      <c r="J14" s="900">
        <f>名簿!CP11</f>
        <v>0</v>
      </c>
      <c r="K14" s="900" t="str">
        <f>名簿!CU11</f>
        <v>00</v>
      </c>
      <c r="L14" s="900" t="str">
        <f>名簿!CU11</f>
        <v>00</v>
      </c>
      <c r="M14" s="1328">
        <f>名簿!D11</f>
        <v>0</v>
      </c>
      <c r="N14" s="1326"/>
      <c r="O14" s="258" t="str">
        <f>IF(N14="","",IF(H14=1,VLOOKUP(N14,男子種目コード!$V$23:$W$25,2,FALSE),IF(H14=2,VLOOKUP(N14,女子種目コード!$V$23:$W$25,2,FALSE))))</f>
        <v/>
      </c>
      <c r="P14" s="540" t="str">
        <f>IF(N14="","",HLOOKUP(N14,名簿!$AH$3:$CH$118,9,FALSE))</f>
        <v/>
      </c>
      <c r="Q14" s="114">
        <f t="shared" si="0"/>
        <v>0</v>
      </c>
      <c r="R14" s="115" t="s">
        <v>486</v>
      </c>
      <c r="S14" s="116" t="str">
        <f t="shared" si="1"/>
        <v>0中学</v>
      </c>
      <c r="T14" s="124"/>
      <c r="U14" s="123"/>
      <c r="V14" s="117"/>
      <c r="W14" s="125"/>
      <c r="X14" s="126"/>
      <c r="Y14" s="120"/>
      <c r="Z14" s="127"/>
      <c r="AA14" s="126"/>
      <c r="AB14" s="122"/>
      <c r="AC14" s="98">
        <v>0</v>
      </c>
      <c r="AG14" s="40" t="str">
        <f t="shared" si="2"/>
        <v/>
      </c>
      <c r="AH14" s="376"/>
      <c r="AI14" s="376"/>
      <c r="AJ14" s="365"/>
      <c r="AK14" s="1008"/>
      <c r="AL14" s="1008"/>
      <c r="AM14" s="1008"/>
      <c r="AN14" s="1008"/>
      <c r="AO14" s="1008"/>
      <c r="AP14" s="1008"/>
      <c r="AQ14" s="1008"/>
      <c r="AR14" s="1008"/>
      <c r="AS14" s="1008"/>
      <c r="AT14" s="1008"/>
    </row>
    <row r="15" spans="1:46">
      <c r="B15" s="389">
        <f>名簿!E12</f>
        <v>0</v>
      </c>
      <c r="C15" s="390" t="str">
        <f>名簿!CM12</f>
        <v/>
      </c>
      <c r="D15" s="390" t="str">
        <f>名簿!CM12</f>
        <v/>
      </c>
      <c r="E15" s="390" t="str">
        <f>名簿!Z12</f>
        <v/>
      </c>
      <c r="F15" s="390" t="str">
        <f>名簿!P12</f>
        <v/>
      </c>
      <c r="G15" s="390" t="str">
        <f>名簿!Q12</f>
        <v/>
      </c>
      <c r="H15" s="391" t="str">
        <f>名簿!Y12</f>
        <v/>
      </c>
      <c r="I15" s="391" t="str">
        <f>名簿!CN12</f>
        <v/>
      </c>
      <c r="J15" s="900">
        <f>名簿!CP12</f>
        <v>0</v>
      </c>
      <c r="K15" s="900" t="str">
        <f>名簿!CU12</f>
        <v>00</v>
      </c>
      <c r="L15" s="900" t="str">
        <f>名簿!CU12</f>
        <v>00</v>
      </c>
      <c r="M15" s="1328">
        <f>名簿!D12</f>
        <v>0</v>
      </c>
      <c r="N15" s="1326"/>
      <c r="O15" s="258" t="str">
        <f>IF(N15="","",IF(H15=1,VLOOKUP(N15,男子種目コード!$V$23:$W$25,2,FALSE),IF(H15=2,VLOOKUP(N15,女子種目コード!$V$23:$W$25,2,FALSE))))</f>
        <v/>
      </c>
      <c r="P15" s="540" t="str">
        <f>IF(N15="","",HLOOKUP(N15,名簿!$AH$3:$CH$118,10,FALSE))</f>
        <v/>
      </c>
      <c r="Q15" s="114">
        <f t="shared" si="0"/>
        <v>0</v>
      </c>
      <c r="R15" s="115" t="s">
        <v>486</v>
      </c>
      <c r="S15" s="116" t="str">
        <f t="shared" si="1"/>
        <v>0中学</v>
      </c>
      <c r="T15" s="124"/>
      <c r="U15" s="123"/>
      <c r="V15" s="117"/>
      <c r="W15" s="125"/>
      <c r="X15" s="126"/>
      <c r="Y15" s="120"/>
      <c r="Z15" s="127"/>
      <c r="AA15" s="126"/>
      <c r="AB15" s="122"/>
      <c r="AC15" s="98">
        <v>0</v>
      </c>
      <c r="AG15" s="40" t="str">
        <f t="shared" si="2"/>
        <v/>
      </c>
      <c r="AH15" s="376"/>
      <c r="AI15" s="376"/>
      <c r="AJ15" s="365"/>
      <c r="AK15" s="1008"/>
      <c r="AL15" s="1008"/>
      <c r="AM15" s="1008"/>
      <c r="AN15" s="1008"/>
      <c r="AO15" s="1008"/>
      <c r="AP15" s="1008"/>
      <c r="AQ15" s="1008"/>
      <c r="AR15" s="1008"/>
      <c r="AS15" s="1008"/>
      <c r="AT15" s="1008"/>
    </row>
    <row r="16" spans="1:46">
      <c r="B16" s="389">
        <f>名簿!E13</f>
        <v>0</v>
      </c>
      <c r="C16" s="390" t="str">
        <f>名簿!CM13</f>
        <v/>
      </c>
      <c r="D16" s="390" t="str">
        <f>名簿!CM13</f>
        <v/>
      </c>
      <c r="E16" s="390" t="str">
        <f>名簿!Z13</f>
        <v/>
      </c>
      <c r="F16" s="390" t="str">
        <f>名簿!P13</f>
        <v/>
      </c>
      <c r="G16" s="390" t="str">
        <f>名簿!Q13</f>
        <v/>
      </c>
      <c r="H16" s="391" t="str">
        <f>名簿!Y13</f>
        <v/>
      </c>
      <c r="I16" s="391" t="str">
        <f>名簿!CN13</f>
        <v/>
      </c>
      <c r="J16" s="900">
        <f>名簿!CP13</f>
        <v>0</v>
      </c>
      <c r="K16" s="900" t="str">
        <f>名簿!CU13</f>
        <v>00</v>
      </c>
      <c r="L16" s="900" t="str">
        <f>名簿!CU13</f>
        <v>00</v>
      </c>
      <c r="M16" s="1328">
        <f>名簿!D13</f>
        <v>0</v>
      </c>
      <c r="N16" s="1326"/>
      <c r="O16" s="258" t="str">
        <f>IF(N16="","",IF(H16=1,VLOOKUP(N16,男子種目コード!$V$23:$W$25,2,FALSE),IF(H16=2,VLOOKUP(N16,女子種目コード!$V$23:$W$25,2,FALSE))))</f>
        <v/>
      </c>
      <c r="P16" s="540" t="str">
        <f>IF(N16="","",HLOOKUP(N16,名簿!$AH$3:$CH$118,11,FALSE))</f>
        <v/>
      </c>
      <c r="Q16" s="114">
        <f t="shared" si="0"/>
        <v>0</v>
      </c>
      <c r="R16" s="115" t="s">
        <v>486</v>
      </c>
      <c r="S16" s="116" t="str">
        <f t="shared" si="1"/>
        <v>0中学</v>
      </c>
      <c r="T16" s="124"/>
      <c r="U16" s="123"/>
      <c r="V16" s="117"/>
      <c r="W16" s="125"/>
      <c r="X16" s="126"/>
      <c r="Y16" s="120"/>
      <c r="Z16" s="127"/>
      <c r="AA16" s="126"/>
      <c r="AB16" s="122"/>
      <c r="AC16" s="98">
        <v>0</v>
      </c>
      <c r="AG16" s="40" t="str">
        <f t="shared" si="2"/>
        <v/>
      </c>
      <c r="AH16" s="376"/>
      <c r="AI16" s="376"/>
      <c r="AJ16" s="365"/>
      <c r="AK16" s="1008"/>
      <c r="AL16" s="1008"/>
      <c r="AM16" s="1008"/>
      <c r="AN16" s="1008"/>
      <c r="AO16" s="1008"/>
      <c r="AP16" s="1008"/>
      <c r="AQ16" s="1008"/>
      <c r="AR16" s="1008"/>
      <c r="AS16" s="1008"/>
      <c r="AT16" s="1008"/>
    </row>
    <row r="17" spans="2:46">
      <c r="B17" s="389">
        <f>名簿!E14</f>
        <v>0</v>
      </c>
      <c r="C17" s="390" t="str">
        <f>名簿!CM14</f>
        <v/>
      </c>
      <c r="D17" s="390" t="str">
        <f>名簿!CM14</f>
        <v/>
      </c>
      <c r="E17" s="390" t="str">
        <f>名簿!Z14</f>
        <v/>
      </c>
      <c r="F17" s="390" t="str">
        <f>名簿!P14</f>
        <v/>
      </c>
      <c r="G17" s="390" t="str">
        <f>名簿!Q14</f>
        <v/>
      </c>
      <c r="H17" s="391" t="str">
        <f>名簿!Y14</f>
        <v/>
      </c>
      <c r="I17" s="391" t="str">
        <f>名簿!CN14</f>
        <v/>
      </c>
      <c r="J17" s="900">
        <f>名簿!CP14</f>
        <v>0</v>
      </c>
      <c r="K17" s="900" t="str">
        <f>名簿!CU14</f>
        <v>00</v>
      </c>
      <c r="L17" s="900" t="str">
        <f>名簿!CU14</f>
        <v>00</v>
      </c>
      <c r="M17" s="1328">
        <f>名簿!D14</f>
        <v>0</v>
      </c>
      <c r="N17" s="1326"/>
      <c r="O17" s="258" t="str">
        <f>IF(N17="","",IF(H17=1,VLOOKUP(N17,男子種目コード!$V$23:$W$25,2,FALSE),IF(H17=2,VLOOKUP(N17,女子種目コード!$V$23:$W$25,2,FALSE))))</f>
        <v/>
      </c>
      <c r="P17" s="540" t="str">
        <f>IF(N17="","",HLOOKUP(N17,名簿!$AH$3:$CH$118,12,FALSE))</f>
        <v/>
      </c>
      <c r="Q17" s="114">
        <f t="shared" si="0"/>
        <v>0</v>
      </c>
      <c r="R17" s="115" t="s">
        <v>486</v>
      </c>
      <c r="S17" s="116" t="str">
        <f t="shared" si="1"/>
        <v>0中学</v>
      </c>
      <c r="T17" s="124"/>
      <c r="U17" s="123"/>
      <c r="V17" s="117"/>
      <c r="W17" s="125"/>
      <c r="X17" s="126"/>
      <c r="Y17" s="120"/>
      <c r="Z17" s="127"/>
      <c r="AA17" s="126"/>
      <c r="AB17" s="122"/>
      <c r="AC17" s="98">
        <v>0</v>
      </c>
      <c r="AG17" s="40" t="str">
        <f t="shared" si="2"/>
        <v/>
      </c>
      <c r="AH17" s="376"/>
      <c r="AI17" s="376"/>
      <c r="AJ17" s="365"/>
      <c r="AK17" s="1008"/>
      <c r="AL17" s="1008"/>
      <c r="AM17" s="1008"/>
      <c r="AN17" s="1008"/>
      <c r="AO17" s="1008"/>
      <c r="AP17" s="1008"/>
      <c r="AQ17" s="1008"/>
      <c r="AR17" s="1008"/>
      <c r="AS17" s="1008"/>
      <c r="AT17" s="1008"/>
    </row>
    <row r="18" spans="2:46">
      <c r="B18" s="389">
        <f>名簿!E15</f>
        <v>0</v>
      </c>
      <c r="C18" s="390" t="str">
        <f>名簿!CM15</f>
        <v/>
      </c>
      <c r="D18" s="390" t="str">
        <f>名簿!CM15</f>
        <v/>
      </c>
      <c r="E18" s="390" t="str">
        <f>名簿!Z15</f>
        <v/>
      </c>
      <c r="F18" s="390" t="str">
        <f>名簿!P15</f>
        <v/>
      </c>
      <c r="G18" s="390" t="str">
        <f>名簿!Q15</f>
        <v/>
      </c>
      <c r="H18" s="391" t="str">
        <f>名簿!Y15</f>
        <v/>
      </c>
      <c r="I18" s="391" t="str">
        <f>名簿!CN15</f>
        <v/>
      </c>
      <c r="J18" s="900">
        <f>名簿!CP15</f>
        <v>0</v>
      </c>
      <c r="K18" s="900" t="str">
        <f>名簿!CU15</f>
        <v>00</v>
      </c>
      <c r="L18" s="900" t="str">
        <f>名簿!CU15</f>
        <v>00</v>
      </c>
      <c r="M18" s="1328">
        <f>名簿!D15</f>
        <v>0</v>
      </c>
      <c r="N18" s="1326"/>
      <c r="O18" s="258" t="str">
        <f>IF(N18="","",IF(H18=1,VLOOKUP(N18,男子種目コード!$V$23:$W$25,2,FALSE),IF(H18=2,VLOOKUP(N18,女子種目コード!$V$23:$W$25,2,FALSE))))</f>
        <v/>
      </c>
      <c r="P18" s="540" t="str">
        <f>IF(N18="","",HLOOKUP(N18,名簿!$AH$3:$CH$118,13,FALSE))</f>
        <v/>
      </c>
      <c r="Q18" s="114">
        <f t="shared" si="0"/>
        <v>0</v>
      </c>
      <c r="R18" s="115" t="s">
        <v>486</v>
      </c>
      <c r="S18" s="116" t="str">
        <f t="shared" si="1"/>
        <v>0中学</v>
      </c>
      <c r="T18" s="124"/>
      <c r="U18" s="123"/>
      <c r="V18" s="117"/>
      <c r="W18" s="125"/>
      <c r="X18" s="126"/>
      <c r="Y18" s="120"/>
      <c r="Z18" s="127"/>
      <c r="AA18" s="126"/>
      <c r="AB18" s="122"/>
      <c r="AC18" s="98">
        <v>0</v>
      </c>
      <c r="AG18" s="40" t="str">
        <f t="shared" si="2"/>
        <v/>
      </c>
      <c r="AH18" s="376"/>
      <c r="AI18" s="376"/>
      <c r="AJ18" s="365"/>
      <c r="AK18" s="1008"/>
      <c r="AL18" s="1008"/>
      <c r="AM18" s="1008"/>
      <c r="AN18" s="1008"/>
      <c r="AO18" s="1008"/>
      <c r="AP18" s="1008"/>
      <c r="AQ18" s="1008"/>
      <c r="AR18" s="1008"/>
      <c r="AS18" s="1008"/>
      <c r="AT18" s="1008"/>
    </row>
    <row r="19" spans="2:46">
      <c r="B19" s="389">
        <f>名簿!E16</f>
        <v>0</v>
      </c>
      <c r="C19" s="390" t="str">
        <f>名簿!CM16</f>
        <v/>
      </c>
      <c r="D19" s="390" t="str">
        <f>名簿!CM16</f>
        <v/>
      </c>
      <c r="E19" s="390" t="str">
        <f>名簿!Z16</f>
        <v/>
      </c>
      <c r="F19" s="390" t="str">
        <f>名簿!P16</f>
        <v/>
      </c>
      <c r="G19" s="390" t="str">
        <f>名簿!Q16</f>
        <v/>
      </c>
      <c r="H19" s="391" t="str">
        <f>名簿!Y16</f>
        <v/>
      </c>
      <c r="I19" s="391" t="str">
        <f>名簿!CN16</f>
        <v/>
      </c>
      <c r="J19" s="900">
        <f>名簿!CP16</f>
        <v>0</v>
      </c>
      <c r="K19" s="900" t="str">
        <f>名簿!CU16</f>
        <v>00</v>
      </c>
      <c r="L19" s="900" t="str">
        <f>名簿!CU16</f>
        <v>00</v>
      </c>
      <c r="M19" s="1328">
        <f>名簿!D16</f>
        <v>0</v>
      </c>
      <c r="N19" s="1326"/>
      <c r="O19" s="258" t="str">
        <f>IF(N19="","",IF(H19=1,VLOOKUP(N19,男子種目コード!$V$23:$W$25,2,FALSE),IF(H19=2,VLOOKUP(N19,女子種目コード!$V$23:$W$25,2,FALSE))))</f>
        <v/>
      </c>
      <c r="P19" s="540" t="str">
        <f>IF(N19="","",HLOOKUP(N19,名簿!$AH$3:$CH$118,14,FALSE))</f>
        <v/>
      </c>
      <c r="Q19" s="114">
        <f t="shared" si="0"/>
        <v>0</v>
      </c>
      <c r="R19" s="115" t="s">
        <v>486</v>
      </c>
      <c r="S19" s="116" t="str">
        <f t="shared" si="1"/>
        <v>0中学</v>
      </c>
      <c r="T19" s="124"/>
      <c r="U19" s="123"/>
      <c r="V19" s="117"/>
      <c r="W19" s="125"/>
      <c r="X19" s="126"/>
      <c r="Y19" s="120"/>
      <c r="Z19" s="127"/>
      <c r="AA19" s="126"/>
      <c r="AB19" s="122"/>
      <c r="AC19" s="98">
        <v>0</v>
      </c>
      <c r="AG19" s="40" t="str">
        <f t="shared" si="2"/>
        <v/>
      </c>
      <c r="AH19" s="376"/>
      <c r="AI19" s="376"/>
      <c r="AJ19" s="365"/>
      <c r="AK19" s="1008"/>
      <c r="AL19" s="1008"/>
      <c r="AM19" s="1008"/>
      <c r="AN19" s="1008"/>
      <c r="AO19" s="1008"/>
      <c r="AP19" s="1008"/>
      <c r="AQ19" s="1008"/>
      <c r="AR19" s="1008"/>
      <c r="AS19" s="1008"/>
      <c r="AT19" s="1008"/>
    </row>
    <row r="20" spans="2:46">
      <c r="B20" s="389">
        <f>名簿!E17</f>
        <v>0</v>
      </c>
      <c r="C20" s="390" t="str">
        <f>名簿!CM17</f>
        <v/>
      </c>
      <c r="D20" s="390" t="str">
        <f>名簿!CM17</f>
        <v/>
      </c>
      <c r="E20" s="390" t="str">
        <f>名簿!Z17</f>
        <v/>
      </c>
      <c r="F20" s="390" t="str">
        <f>名簿!P17</f>
        <v/>
      </c>
      <c r="G20" s="390" t="str">
        <f>名簿!Q17</f>
        <v/>
      </c>
      <c r="H20" s="391" t="str">
        <f>名簿!Y17</f>
        <v/>
      </c>
      <c r="I20" s="391" t="str">
        <f>名簿!CN17</f>
        <v/>
      </c>
      <c r="J20" s="900">
        <f>名簿!CP17</f>
        <v>0</v>
      </c>
      <c r="K20" s="900" t="str">
        <f>名簿!CU17</f>
        <v>00</v>
      </c>
      <c r="L20" s="900" t="str">
        <f>名簿!CU17</f>
        <v>00</v>
      </c>
      <c r="M20" s="1328">
        <f>名簿!D17</f>
        <v>0</v>
      </c>
      <c r="N20" s="1326"/>
      <c r="O20" s="258" t="str">
        <f>IF(N20="","",IF(H20=1,VLOOKUP(N20,男子種目コード!$V$23:$W$25,2,FALSE),IF(H20=2,VLOOKUP(N20,女子種目コード!$V$23:$W$25,2,FALSE))))</f>
        <v/>
      </c>
      <c r="P20" s="540" t="str">
        <f>IF(N20="","",HLOOKUP(N20,名簿!$AH$3:$CH$118,15,FALSE))</f>
        <v/>
      </c>
      <c r="Q20" s="114">
        <f t="shared" si="0"/>
        <v>0</v>
      </c>
      <c r="R20" s="115" t="s">
        <v>486</v>
      </c>
      <c r="S20" s="116" t="str">
        <f t="shared" si="1"/>
        <v>0中学</v>
      </c>
      <c r="T20" s="124"/>
      <c r="U20" s="123"/>
      <c r="V20" s="117"/>
      <c r="W20" s="125"/>
      <c r="X20" s="126"/>
      <c r="Y20" s="120"/>
      <c r="Z20" s="127"/>
      <c r="AA20" s="126"/>
      <c r="AB20" s="122"/>
      <c r="AC20" s="98">
        <v>0</v>
      </c>
      <c r="AG20" s="40" t="str">
        <f t="shared" si="2"/>
        <v/>
      </c>
      <c r="AH20" s="376"/>
      <c r="AI20" s="376"/>
      <c r="AJ20" s="365"/>
      <c r="AK20" s="1008"/>
      <c r="AL20" s="1008"/>
      <c r="AM20" s="1008"/>
      <c r="AN20" s="1008"/>
      <c r="AO20" s="1008"/>
      <c r="AP20" s="1008"/>
      <c r="AQ20" s="1008"/>
      <c r="AR20" s="1008"/>
      <c r="AS20" s="1008"/>
      <c r="AT20" s="1008"/>
    </row>
    <row r="21" spans="2:46">
      <c r="B21" s="389">
        <f>名簿!E18</f>
        <v>0</v>
      </c>
      <c r="C21" s="390" t="str">
        <f>名簿!CM18</f>
        <v/>
      </c>
      <c r="D21" s="390" t="str">
        <f>名簿!CM18</f>
        <v/>
      </c>
      <c r="E21" s="390" t="str">
        <f>名簿!Z18</f>
        <v/>
      </c>
      <c r="F21" s="390" t="str">
        <f>名簿!P18</f>
        <v/>
      </c>
      <c r="G21" s="390" t="str">
        <f>名簿!Q18</f>
        <v/>
      </c>
      <c r="H21" s="391" t="str">
        <f>名簿!Y18</f>
        <v/>
      </c>
      <c r="I21" s="391" t="str">
        <f>名簿!CN18</f>
        <v/>
      </c>
      <c r="J21" s="900">
        <f>名簿!CP18</f>
        <v>0</v>
      </c>
      <c r="K21" s="900" t="str">
        <f>名簿!CU18</f>
        <v>00</v>
      </c>
      <c r="L21" s="900" t="str">
        <f>名簿!CU18</f>
        <v>00</v>
      </c>
      <c r="M21" s="1328">
        <f>名簿!D18</f>
        <v>0</v>
      </c>
      <c r="N21" s="1326"/>
      <c r="O21" s="258" t="str">
        <f>IF(N21="","",IF(H21=1,VLOOKUP(N21,男子種目コード!$V$23:$W$25,2,FALSE),IF(H21=2,VLOOKUP(N21,女子種目コード!$V$23:$W$25,2,FALSE))))</f>
        <v/>
      </c>
      <c r="P21" s="540" t="str">
        <f>IF(N21="","",HLOOKUP(N21,名簿!$AH$3:$CH$118,16,FALSE))</f>
        <v/>
      </c>
      <c r="Q21" s="114">
        <f t="shared" si="0"/>
        <v>0</v>
      </c>
      <c r="R21" s="115" t="s">
        <v>486</v>
      </c>
      <c r="S21" s="116" t="str">
        <f t="shared" si="1"/>
        <v>0中学</v>
      </c>
      <c r="T21" s="124"/>
      <c r="U21" s="123"/>
      <c r="V21" s="117"/>
      <c r="W21" s="125"/>
      <c r="X21" s="126"/>
      <c r="Y21" s="120"/>
      <c r="Z21" s="127"/>
      <c r="AA21" s="126"/>
      <c r="AB21" s="122"/>
      <c r="AC21" s="98">
        <v>0</v>
      </c>
      <c r="AG21" s="40" t="str">
        <f t="shared" ref="AG21:AG38" si="3">IF(N21="","",1)</f>
        <v/>
      </c>
      <c r="AH21" s="376"/>
      <c r="AI21" s="376"/>
      <c r="AJ21" s="365"/>
      <c r="AK21" s="1008"/>
      <c r="AL21" s="1008"/>
      <c r="AM21" s="1008"/>
      <c r="AN21" s="1008"/>
      <c r="AO21" s="1008"/>
      <c r="AP21" s="1008"/>
      <c r="AQ21" s="1008"/>
      <c r="AR21" s="1008"/>
      <c r="AS21" s="1008"/>
      <c r="AT21" s="1008"/>
    </row>
    <row r="22" spans="2:46">
      <c r="B22" s="389">
        <f>名簿!E19</f>
        <v>0</v>
      </c>
      <c r="C22" s="390" t="str">
        <f>名簿!CM19</f>
        <v/>
      </c>
      <c r="D22" s="390" t="str">
        <f>名簿!CM19</f>
        <v/>
      </c>
      <c r="E22" s="390" t="str">
        <f>名簿!Z19</f>
        <v/>
      </c>
      <c r="F22" s="390" t="str">
        <f>名簿!P19</f>
        <v/>
      </c>
      <c r="G22" s="390" t="str">
        <f>名簿!Q19</f>
        <v/>
      </c>
      <c r="H22" s="391" t="str">
        <f>名簿!Y19</f>
        <v/>
      </c>
      <c r="I22" s="391" t="str">
        <f>名簿!CN19</f>
        <v/>
      </c>
      <c r="J22" s="900">
        <f>名簿!CP19</f>
        <v>0</v>
      </c>
      <c r="K22" s="900" t="str">
        <f>名簿!CU19</f>
        <v>00</v>
      </c>
      <c r="L22" s="900" t="str">
        <f>名簿!CU19</f>
        <v>00</v>
      </c>
      <c r="M22" s="1328">
        <f>名簿!D19</f>
        <v>0</v>
      </c>
      <c r="N22" s="1326"/>
      <c r="O22" s="258" t="str">
        <f>IF(N22="","",IF(H22=1,VLOOKUP(N22,男子種目コード!$V$23:$W$25,2,FALSE),IF(H22=2,VLOOKUP(N22,女子種目コード!$V$23:$W$25,2,FALSE))))</f>
        <v/>
      </c>
      <c r="P22" s="540" t="str">
        <f>IF(N22="","",HLOOKUP(N22,名簿!$AH$3:$CH$118,17,FALSE))</f>
        <v/>
      </c>
      <c r="Q22" s="114">
        <f t="shared" si="0"/>
        <v>0</v>
      </c>
      <c r="R22" s="115" t="s">
        <v>486</v>
      </c>
      <c r="S22" s="116" t="str">
        <f t="shared" si="1"/>
        <v>0中学</v>
      </c>
      <c r="T22" s="124"/>
      <c r="U22" s="123"/>
      <c r="V22" s="117"/>
      <c r="W22" s="125"/>
      <c r="X22" s="126"/>
      <c r="Y22" s="120"/>
      <c r="Z22" s="127"/>
      <c r="AA22" s="126"/>
      <c r="AB22" s="122"/>
      <c r="AC22" s="98">
        <v>0</v>
      </c>
      <c r="AG22" s="40" t="str">
        <f t="shared" si="3"/>
        <v/>
      </c>
      <c r="AH22" s="376"/>
      <c r="AI22" s="376"/>
      <c r="AJ22" s="365"/>
      <c r="AK22" s="1008"/>
      <c r="AL22" s="1008"/>
      <c r="AM22" s="1008"/>
      <c r="AN22" s="1008"/>
      <c r="AO22" s="1008"/>
      <c r="AP22" s="1008"/>
      <c r="AQ22" s="1008"/>
      <c r="AR22" s="1008"/>
      <c r="AS22" s="1008"/>
      <c r="AT22" s="1008"/>
    </row>
    <row r="23" spans="2:46">
      <c r="B23" s="389">
        <f>名簿!E20</f>
        <v>0</v>
      </c>
      <c r="C23" s="390" t="str">
        <f>名簿!CM20</f>
        <v/>
      </c>
      <c r="D23" s="390" t="str">
        <f>名簿!CM20</f>
        <v/>
      </c>
      <c r="E23" s="390" t="str">
        <f>名簿!Z20</f>
        <v/>
      </c>
      <c r="F23" s="390" t="str">
        <f>名簿!P20</f>
        <v/>
      </c>
      <c r="G23" s="390" t="str">
        <f>名簿!Q20</f>
        <v/>
      </c>
      <c r="H23" s="391" t="str">
        <f>名簿!Y20</f>
        <v/>
      </c>
      <c r="I23" s="391" t="str">
        <f>名簿!CN20</f>
        <v/>
      </c>
      <c r="J23" s="900">
        <f>名簿!CP20</f>
        <v>0</v>
      </c>
      <c r="K23" s="900" t="str">
        <f>名簿!CU20</f>
        <v>00</v>
      </c>
      <c r="L23" s="900" t="str">
        <f>名簿!CU20</f>
        <v>00</v>
      </c>
      <c r="M23" s="1328">
        <f>名簿!D20</f>
        <v>0</v>
      </c>
      <c r="N23" s="1326"/>
      <c r="O23" s="258" t="str">
        <f>IF(N23="","",IF(H23=1,VLOOKUP(N23,男子種目コード!$V$23:$W$25,2,FALSE),IF(H23=2,VLOOKUP(N23,女子種目コード!$V$23:$W$25,2,FALSE))))</f>
        <v/>
      </c>
      <c r="P23" s="540" t="str">
        <f>IF(N23="","",HLOOKUP(N23,名簿!$AH$3:$CH$118,18,FALSE))</f>
        <v/>
      </c>
      <c r="Q23" s="114">
        <f t="shared" si="0"/>
        <v>0</v>
      </c>
      <c r="R23" s="115" t="s">
        <v>486</v>
      </c>
      <c r="S23" s="116" t="str">
        <f t="shared" si="1"/>
        <v>0中学</v>
      </c>
      <c r="T23" s="124"/>
      <c r="U23" s="123"/>
      <c r="V23" s="117"/>
      <c r="W23" s="125"/>
      <c r="X23" s="126"/>
      <c r="Y23" s="120"/>
      <c r="Z23" s="127"/>
      <c r="AA23" s="126"/>
      <c r="AB23" s="122"/>
      <c r="AC23" s="98">
        <v>0</v>
      </c>
      <c r="AG23" s="40" t="str">
        <f t="shared" si="3"/>
        <v/>
      </c>
      <c r="AH23" s="376"/>
      <c r="AI23" s="376"/>
      <c r="AJ23" s="365"/>
      <c r="AK23" s="1008"/>
      <c r="AL23" s="1008"/>
      <c r="AM23" s="1008"/>
      <c r="AN23" s="1008"/>
      <c r="AO23" s="1008"/>
      <c r="AP23" s="1008"/>
      <c r="AQ23" s="1008"/>
      <c r="AR23" s="1008"/>
      <c r="AS23" s="1008"/>
      <c r="AT23" s="1008"/>
    </row>
    <row r="24" spans="2:46">
      <c r="B24" s="389">
        <f>名簿!E21</f>
        <v>0</v>
      </c>
      <c r="C24" s="390" t="str">
        <f>名簿!CM21</f>
        <v/>
      </c>
      <c r="D24" s="390" t="str">
        <f>名簿!CM21</f>
        <v/>
      </c>
      <c r="E24" s="390" t="str">
        <f>名簿!Z21</f>
        <v/>
      </c>
      <c r="F24" s="390" t="str">
        <f>名簿!P21</f>
        <v/>
      </c>
      <c r="G24" s="390" t="str">
        <f>名簿!Q21</f>
        <v/>
      </c>
      <c r="H24" s="391" t="str">
        <f>名簿!Y21</f>
        <v/>
      </c>
      <c r="I24" s="391" t="str">
        <f>名簿!CN21</f>
        <v/>
      </c>
      <c r="J24" s="900">
        <f>名簿!CP21</f>
        <v>0</v>
      </c>
      <c r="K24" s="900" t="str">
        <f>名簿!CU21</f>
        <v>00</v>
      </c>
      <c r="L24" s="900" t="str">
        <f>名簿!CU21</f>
        <v>00</v>
      </c>
      <c r="M24" s="1328">
        <f>名簿!D21</f>
        <v>0</v>
      </c>
      <c r="N24" s="1326"/>
      <c r="O24" s="258" t="str">
        <f>IF(N24="","",IF(H24=1,VLOOKUP(N24,男子種目コード!$V$23:$W$25,2,FALSE),IF(H24=2,VLOOKUP(N24,女子種目コード!$V$23:$W$25,2,FALSE))))</f>
        <v/>
      </c>
      <c r="P24" s="540" t="str">
        <f>IF(N24="","",HLOOKUP(N24,名簿!$AH$3:$CH$118,19,FALSE))</f>
        <v/>
      </c>
      <c r="Q24" s="114">
        <f t="shared" si="0"/>
        <v>0</v>
      </c>
      <c r="R24" s="115" t="s">
        <v>486</v>
      </c>
      <c r="S24" s="116" t="str">
        <f t="shared" si="1"/>
        <v>0中学</v>
      </c>
      <c r="T24" s="124"/>
      <c r="U24" s="123"/>
      <c r="V24" s="117"/>
      <c r="W24" s="125"/>
      <c r="X24" s="126"/>
      <c r="Y24" s="120"/>
      <c r="Z24" s="127"/>
      <c r="AA24" s="126"/>
      <c r="AB24" s="122"/>
      <c r="AC24" s="98">
        <v>0</v>
      </c>
      <c r="AG24" s="40" t="str">
        <f t="shared" si="3"/>
        <v/>
      </c>
      <c r="AH24" s="376"/>
      <c r="AI24" s="376"/>
      <c r="AJ24" s="365"/>
      <c r="AK24" s="1008"/>
      <c r="AL24" s="1008"/>
      <c r="AM24" s="1008"/>
      <c r="AN24" s="1008"/>
      <c r="AO24" s="1008"/>
      <c r="AP24" s="1008"/>
      <c r="AQ24" s="1008"/>
      <c r="AR24" s="1008"/>
      <c r="AS24" s="1008"/>
      <c r="AT24" s="1008"/>
    </row>
    <row r="25" spans="2:46">
      <c r="B25" s="389">
        <f>名簿!E22</f>
        <v>0</v>
      </c>
      <c r="C25" s="390" t="str">
        <f>名簿!CM22</f>
        <v/>
      </c>
      <c r="D25" s="390" t="str">
        <f>名簿!CM22</f>
        <v/>
      </c>
      <c r="E25" s="390" t="str">
        <f>名簿!Z22</f>
        <v/>
      </c>
      <c r="F25" s="390" t="str">
        <f>名簿!P22</f>
        <v/>
      </c>
      <c r="G25" s="390" t="str">
        <f>名簿!Q22</f>
        <v/>
      </c>
      <c r="H25" s="391" t="str">
        <f>名簿!Y22</f>
        <v/>
      </c>
      <c r="I25" s="391" t="str">
        <f>名簿!CN22</f>
        <v/>
      </c>
      <c r="J25" s="900">
        <f>名簿!CP22</f>
        <v>0</v>
      </c>
      <c r="K25" s="900" t="str">
        <f>名簿!CU22</f>
        <v>00</v>
      </c>
      <c r="L25" s="900" t="str">
        <f>名簿!CU22</f>
        <v>00</v>
      </c>
      <c r="M25" s="1328">
        <f>名簿!D22</f>
        <v>0</v>
      </c>
      <c r="N25" s="1326"/>
      <c r="O25" s="258" t="str">
        <f>IF(N25="","",IF(H25=1,VLOOKUP(N25,男子種目コード!$V$23:$W$25,2,FALSE),IF(H25=2,VLOOKUP(N25,女子種目コード!$V$23:$W$25,2,FALSE))))</f>
        <v/>
      </c>
      <c r="P25" s="540" t="str">
        <f>IF(N25="","",HLOOKUP(N25,名簿!$AH$3:$CH$118,20,FALSE))</f>
        <v/>
      </c>
      <c r="Q25" s="114">
        <f t="shared" si="0"/>
        <v>0</v>
      </c>
      <c r="R25" s="115" t="s">
        <v>486</v>
      </c>
      <c r="S25" s="116" t="str">
        <f t="shared" si="1"/>
        <v>0中学</v>
      </c>
      <c r="T25" s="124"/>
      <c r="U25" s="123"/>
      <c r="V25" s="117"/>
      <c r="W25" s="125"/>
      <c r="X25" s="126"/>
      <c r="Y25" s="120"/>
      <c r="Z25" s="127"/>
      <c r="AA25" s="126"/>
      <c r="AB25" s="122"/>
      <c r="AC25" s="98">
        <v>0</v>
      </c>
      <c r="AG25" s="40" t="str">
        <f t="shared" si="3"/>
        <v/>
      </c>
      <c r="AH25" s="376"/>
      <c r="AI25" s="376"/>
      <c r="AJ25" s="365"/>
      <c r="AK25" s="1008"/>
      <c r="AL25" s="1008"/>
      <c r="AM25" s="1008"/>
      <c r="AN25" s="1008"/>
      <c r="AO25" s="1008"/>
      <c r="AP25" s="1008"/>
      <c r="AQ25" s="1008"/>
      <c r="AR25" s="1008"/>
      <c r="AS25" s="1008"/>
      <c r="AT25" s="1008"/>
    </row>
    <row r="26" spans="2:46">
      <c r="B26" s="389">
        <f>名簿!E23</f>
        <v>0</v>
      </c>
      <c r="C26" s="390" t="str">
        <f>名簿!CM23</f>
        <v/>
      </c>
      <c r="D26" s="390" t="str">
        <f>名簿!CM23</f>
        <v/>
      </c>
      <c r="E26" s="390" t="str">
        <f>名簿!Z23</f>
        <v/>
      </c>
      <c r="F26" s="390" t="str">
        <f>名簿!P23</f>
        <v/>
      </c>
      <c r="G26" s="390" t="str">
        <f>名簿!Q23</f>
        <v/>
      </c>
      <c r="H26" s="391" t="str">
        <f>名簿!Y23</f>
        <v/>
      </c>
      <c r="I26" s="391" t="str">
        <f>名簿!CN23</f>
        <v/>
      </c>
      <c r="J26" s="900">
        <f>名簿!CP23</f>
        <v>0</v>
      </c>
      <c r="K26" s="900" t="str">
        <f>名簿!CU23</f>
        <v>00</v>
      </c>
      <c r="L26" s="900" t="str">
        <f>名簿!CU23</f>
        <v>00</v>
      </c>
      <c r="M26" s="1328">
        <f>名簿!D23</f>
        <v>0</v>
      </c>
      <c r="N26" s="1326"/>
      <c r="O26" s="258" t="str">
        <f>IF(N26="","",IF(H26=1,VLOOKUP(N26,男子種目コード!$V$23:$W$25,2,FALSE),IF(H26=2,VLOOKUP(N26,女子種目コード!$V$23:$W$25,2,FALSE))))</f>
        <v/>
      </c>
      <c r="P26" s="540" t="str">
        <f>IF(N26="","",HLOOKUP(N26,名簿!$AH$3:$CH$118,21,FALSE))</f>
        <v/>
      </c>
      <c r="Q26" s="114">
        <f t="shared" si="0"/>
        <v>0</v>
      </c>
      <c r="R26" s="115" t="s">
        <v>486</v>
      </c>
      <c r="S26" s="116" t="str">
        <f t="shared" si="1"/>
        <v>0中学</v>
      </c>
      <c r="T26" s="124"/>
      <c r="U26" s="123"/>
      <c r="V26" s="117"/>
      <c r="W26" s="125"/>
      <c r="X26" s="126"/>
      <c r="Y26" s="120"/>
      <c r="Z26" s="127"/>
      <c r="AA26" s="126"/>
      <c r="AB26" s="122"/>
      <c r="AC26" s="98">
        <v>0</v>
      </c>
      <c r="AG26" s="40" t="str">
        <f t="shared" si="3"/>
        <v/>
      </c>
      <c r="AH26" s="376"/>
      <c r="AI26" s="376"/>
      <c r="AJ26" s="365"/>
      <c r="AK26" s="1008"/>
      <c r="AL26" s="1008"/>
      <c r="AM26" s="1008"/>
      <c r="AN26" s="1008"/>
      <c r="AO26" s="1008"/>
      <c r="AP26" s="1008"/>
      <c r="AQ26" s="1008"/>
      <c r="AR26" s="1008"/>
      <c r="AS26" s="1008"/>
      <c r="AT26" s="1008"/>
    </row>
    <row r="27" spans="2:46">
      <c r="B27" s="389">
        <f>名簿!E24</f>
        <v>0</v>
      </c>
      <c r="C27" s="390" t="str">
        <f>名簿!CM24</f>
        <v/>
      </c>
      <c r="D27" s="390" t="str">
        <f>名簿!CM24</f>
        <v/>
      </c>
      <c r="E27" s="390" t="str">
        <f>名簿!Z24</f>
        <v/>
      </c>
      <c r="F27" s="390" t="str">
        <f>名簿!P24</f>
        <v/>
      </c>
      <c r="G27" s="390" t="str">
        <f>名簿!Q24</f>
        <v/>
      </c>
      <c r="H27" s="391" t="str">
        <f>名簿!Y24</f>
        <v/>
      </c>
      <c r="I27" s="391" t="str">
        <f>名簿!CN24</f>
        <v/>
      </c>
      <c r="J27" s="900">
        <f>名簿!CP24</f>
        <v>0</v>
      </c>
      <c r="K27" s="900" t="str">
        <f>名簿!CU24</f>
        <v>00</v>
      </c>
      <c r="L27" s="900" t="str">
        <f>名簿!CU24</f>
        <v>00</v>
      </c>
      <c r="M27" s="1328">
        <f>名簿!D24</f>
        <v>0</v>
      </c>
      <c r="N27" s="1326"/>
      <c r="O27" s="258" t="str">
        <f>IF(N27="","",IF(H27=1,VLOOKUP(N27,男子種目コード!$V$23:$W$25,2,FALSE),IF(H27=2,VLOOKUP(N27,女子種目コード!$V$23:$W$25,2,FALSE))))</f>
        <v/>
      </c>
      <c r="P27" s="540" t="str">
        <f>IF(N27="","",HLOOKUP(N27,名簿!$AH$3:$CH$118,22,FALSE))</f>
        <v/>
      </c>
      <c r="Q27" s="114">
        <f t="shared" si="0"/>
        <v>0</v>
      </c>
      <c r="R27" s="115" t="s">
        <v>486</v>
      </c>
      <c r="S27" s="116" t="str">
        <f t="shared" si="1"/>
        <v>0中学</v>
      </c>
      <c r="T27" s="124"/>
      <c r="U27" s="123"/>
      <c r="V27" s="117"/>
      <c r="W27" s="125"/>
      <c r="X27" s="126"/>
      <c r="Y27" s="120"/>
      <c r="Z27" s="127"/>
      <c r="AA27" s="126"/>
      <c r="AB27" s="122"/>
      <c r="AC27" s="98">
        <v>0</v>
      </c>
      <c r="AG27" s="40" t="str">
        <f t="shared" si="3"/>
        <v/>
      </c>
      <c r="AH27" s="376"/>
      <c r="AI27" s="376"/>
      <c r="AJ27" s="365"/>
      <c r="AK27" s="1008"/>
      <c r="AL27" s="1008"/>
      <c r="AM27" s="1008"/>
      <c r="AN27" s="1008"/>
      <c r="AO27" s="1008"/>
      <c r="AP27" s="1008"/>
      <c r="AQ27" s="1008"/>
      <c r="AR27" s="1008"/>
      <c r="AS27" s="1008"/>
      <c r="AT27" s="1008"/>
    </row>
    <row r="28" spans="2:46">
      <c r="B28" s="389">
        <f>名簿!E25</f>
        <v>0</v>
      </c>
      <c r="C28" s="390" t="str">
        <f>名簿!CM25</f>
        <v/>
      </c>
      <c r="D28" s="390" t="str">
        <f>名簿!CM25</f>
        <v/>
      </c>
      <c r="E28" s="390" t="str">
        <f>名簿!Z25</f>
        <v/>
      </c>
      <c r="F28" s="390" t="str">
        <f>名簿!P25</f>
        <v/>
      </c>
      <c r="G28" s="390" t="str">
        <f>名簿!Q25</f>
        <v/>
      </c>
      <c r="H28" s="391" t="str">
        <f>名簿!Y25</f>
        <v/>
      </c>
      <c r="I28" s="391" t="str">
        <f>名簿!CN25</f>
        <v/>
      </c>
      <c r="J28" s="900">
        <f>名簿!CP25</f>
        <v>0</v>
      </c>
      <c r="K28" s="900" t="str">
        <f>名簿!CU25</f>
        <v>00</v>
      </c>
      <c r="L28" s="900" t="str">
        <f>名簿!CU25</f>
        <v>00</v>
      </c>
      <c r="M28" s="1328">
        <f>名簿!D25</f>
        <v>0</v>
      </c>
      <c r="N28" s="1326"/>
      <c r="O28" s="258" t="str">
        <f>IF(N28="","",IF(H28=1,VLOOKUP(N28,男子種目コード!$V$23:$W$25,2,FALSE),IF(H28=2,VLOOKUP(N28,女子種目コード!$V$23:$W$25,2,FALSE))))</f>
        <v/>
      </c>
      <c r="P28" s="540" t="str">
        <f>IF(N28="","",HLOOKUP(N28,名簿!$AH$3:$CH$118,23,FALSE))</f>
        <v/>
      </c>
      <c r="Q28" s="114">
        <f t="shared" si="0"/>
        <v>0</v>
      </c>
      <c r="R28" s="115" t="s">
        <v>486</v>
      </c>
      <c r="S28" s="116" t="str">
        <f t="shared" si="1"/>
        <v>0中学</v>
      </c>
      <c r="T28" s="124"/>
      <c r="U28" s="123"/>
      <c r="V28" s="117"/>
      <c r="W28" s="125"/>
      <c r="X28" s="126"/>
      <c r="Y28" s="120"/>
      <c r="Z28" s="127"/>
      <c r="AA28" s="126"/>
      <c r="AB28" s="122"/>
      <c r="AC28" s="98">
        <v>0</v>
      </c>
      <c r="AG28" s="40" t="str">
        <f t="shared" si="3"/>
        <v/>
      </c>
      <c r="AH28" s="376"/>
      <c r="AI28" s="376"/>
      <c r="AJ28" s="365"/>
      <c r="AK28" s="1008"/>
      <c r="AL28" s="1008"/>
      <c r="AM28" s="1008"/>
      <c r="AN28" s="1008"/>
      <c r="AO28" s="1008"/>
      <c r="AP28" s="1008"/>
      <c r="AQ28" s="1008"/>
      <c r="AR28" s="1008"/>
      <c r="AS28" s="1008"/>
      <c r="AT28" s="1008"/>
    </row>
    <row r="29" spans="2:46">
      <c r="B29" s="389">
        <f>名簿!E26</f>
        <v>0</v>
      </c>
      <c r="C29" s="390" t="str">
        <f>名簿!CM26</f>
        <v/>
      </c>
      <c r="D29" s="390" t="str">
        <f>名簿!CM26</f>
        <v/>
      </c>
      <c r="E29" s="390" t="str">
        <f>名簿!Z26</f>
        <v/>
      </c>
      <c r="F29" s="390" t="str">
        <f>名簿!P26</f>
        <v/>
      </c>
      <c r="G29" s="390" t="str">
        <f>名簿!Q26</f>
        <v/>
      </c>
      <c r="H29" s="391" t="str">
        <f>名簿!Y26</f>
        <v/>
      </c>
      <c r="I29" s="391" t="str">
        <f>名簿!CN26</f>
        <v/>
      </c>
      <c r="J29" s="900">
        <f>名簿!CP26</f>
        <v>0</v>
      </c>
      <c r="K29" s="900" t="str">
        <f>名簿!CU26</f>
        <v>00</v>
      </c>
      <c r="L29" s="900" t="str">
        <f>名簿!CU26</f>
        <v>00</v>
      </c>
      <c r="M29" s="1328">
        <f>名簿!D26</f>
        <v>0</v>
      </c>
      <c r="N29" s="1326"/>
      <c r="O29" s="258" t="str">
        <f>IF(N29="","",IF(H29=1,VLOOKUP(N29,男子種目コード!$V$23:$W$25,2,FALSE),IF(H29=2,VLOOKUP(N29,女子種目コード!$V$23:$W$25,2,FALSE))))</f>
        <v/>
      </c>
      <c r="P29" s="540" t="str">
        <f>IF(N29="","",HLOOKUP(N29,名簿!$AH$3:$CH$118,24,FALSE))</f>
        <v/>
      </c>
      <c r="Q29" s="114">
        <f t="shared" si="0"/>
        <v>0</v>
      </c>
      <c r="R29" s="115" t="s">
        <v>486</v>
      </c>
      <c r="S29" s="116" t="str">
        <f t="shared" si="1"/>
        <v>0中学</v>
      </c>
      <c r="T29" s="124"/>
      <c r="U29" s="123"/>
      <c r="V29" s="117"/>
      <c r="W29" s="125"/>
      <c r="X29" s="126"/>
      <c r="Y29" s="120"/>
      <c r="Z29" s="127"/>
      <c r="AA29" s="126"/>
      <c r="AB29" s="122"/>
      <c r="AC29" s="98">
        <v>0</v>
      </c>
      <c r="AG29" s="40" t="str">
        <f t="shared" si="3"/>
        <v/>
      </c>
      <c r="AH29" s="376"/>
      <c r="AI29" s="376"/>
      <c r="AJ29" s="365"/>
      <c r="AK29" s="1008"/>
      <c r="AL29" s="1008"/>
      <c r="AM29" s="1008"/>
      <c r="AN29" s="1008"/>
      <c r="AO29" s="1008"/>
      <c r="AP29" s="1008"/>
      <c r="AQ29" s="1008"/>
      <c r="AR29" s="1008"/>
      <c r="AS29" s="1008"/>
      <c r="AT29" s="1008"/>
    </row>
    <row r="30" spans="2:46">
      <c r="B30" s="389">
        <f>名簿!E27</f>
        <v>0</v>
      </c>
      <c r="C30" s="390" t="str">
        <f>名簿!CM27</f>
        <v/>
      </c>
      <c r="D30" s="390" t="str">
        <f>名簿!CM27</f>
        <v/>
      </c>
      <c r="E30" s="390" t="str">
        <f>名簿!Z27</f>
        <v/>
      </c>
      <c r="F30" s="390" t="str">
        <f>名簿!P27</f>
        <v/>
      </c>
      <c r="G30" s="390" t="str">
        <f>名簿!Q27</f>
        <v/>
      </c>
      <c r="H30" s="391" t="str">
        <f>名簿!Y27</f>
        <v/>
      </c>
      <c r="I30" s="391" t="str">
        <f>名簿!CN27</f>
        <v/>
      </c>
      <c r="J30" s="900">
        <f>名簿!CP27</f>
        <v>0</v>
      </c>
      <c r="K30" s="900" t="str">
        <f>名簿!CU27</f>
        <v>00</v>
      </c>
      <c r="L30" s="900" t="str">
        <f>名簿!CU27</f>
        <v>00</v>
      </c>
      <c r="M30" s="1328">
        <f>名簿!D27</f>
        <v>0</v>
      </c>
      <c r="N30" s="1326"/>
      <c r="O30" s="258" t="str">
        <f>IF(N30="","",IF(H30=1,VLOOKUP(N30,男子種目コード!$V$23:$W$25,2,FALSE),IF(H30=2,VLOOKUP(N30,女子種目コード!$V$23:$W$25,2,FALSE))))</f>
        <v/>
      </c>
      <c r="P30" s="540" t="str">
        <f>IF(N30="","",HLOOKUP(N30,名簿!$AH$3:$CH$118,25,FALSE))</f>
        <v/>
      </c>
      <c r="Q30" s="114">
        <f t="shared" si="0"/>
        <v>0</v>
      </c>
      <c r="R30" s="115" t="s">
        <v>486</v>
      </c>
      <c r="S30" s="116" t="str">
        <f t="shared" si="1"/>
        <v>0中学</v>
      </c>
      <c r="T30" s="124"/>
      <c r="U30" s="123"/>
      <c r="V30" s="117"/>
      <c r="W30" s="125"/>
      <c r="X30" s="126"/>
      <c r="Y30" s="120"/>
      <c r="Z30" s="127"/>
      <c r="AA30" s="126"/>
      <c r="AB30" s="122"/>
      <c r="AC30" s="98">
        <v>0</v>
      </c>
      <c r="AG30" s="40" t="str">
        <f t="shared" si="3"/>
        <v/>
      </c>
      <c r="AH30" s="376"/>
      <c r="AI30" s="376"/>
      <c r="AJ30" s="365"/>
      <c r="AK30" s="1008"/>
      <c r="AL30" s="1008"/>
      <c r="AM30" s="1008"/>
      <c r="AN30" s="1008"/>
      <c r="AO30" s="1008"/>
      <c r="AP30" s="1008"/>
      <c r="AQ30" s="1008"/>
      <c r="AR30" s="1008"/>
      <c r="AS30" s="1008"/>
      <c r="AT30" s="1008"/>
    </row>
    <row r="31" spans="2:46">
      <c r="B31" s="389">
        <f>名簿!E28</f>
        <v>0</v>
      </c>
      <c r="C31" s="390" t="str">
        <f>名簿!CM28</f>
        <v/>
      </c>
      <c r="D31" s="390" t="str">
        <f>名簿!CM28</f>
        <v/>
      </c>
      <c r="E31" s="390" t="str">
        <f>名簿!Z28</f>
        <v/>
      </c>
      <c r="F31" s="390" t="str">
        <f>名簿!P28</f>
        <v/>
      </c>
      <c r="G31" s="390" t="str">
        <f>名簿!Q28</f>
        <v/>
      </c>
      <c r="H31" s="391" t="str">
        <f>名簿!Y28</f>
        <v/>
      </c>
      <c r="I31" s="391" t="str">
        <f>名簿!CN28</f>
        <v/>
      </c>
      <c r="J31" s="900">
        <f>名簿!CP28</f>
        <v>0</v>
      </c>
      <c r="K31" s="900" t="str">
        <f>名簿!CU28</f>
        <v>00</v>
      </c>
      <c r="L31" s="900" t="str">
        <f>名簿!CU28</f>
        <v>00</v>
      </c>
      <c r="M31" s="1328">
        <f>名簿!D28</f>
        <v>0</v>
      </c>
      <c r="N31" s="1326"/>
      <c r="O31" s="258" t="str">
        <f>IF(N31="","",IF(H31=1,VLOOKUP(N31,男子種目コード!$V$23:$W$25,2,FALSE),IF(H31=2,VLOOKUP(N31,女子種目コード!$V$23:$W$25,2,FALSE))))</f>
        <v/>
      </c>
      <c r="P31" s="540" t="str">
        <f>IF(N31="","",HLOOKUP(N31,名簿!$AH$3:$CH$118,26,FALSE))</f>
        <v/>
      </c>
      <c r="Q31" s="114">
        <f t="shared" si="0"/>
        <v>0</v>
      </c>
      <c r="R31" s="115" t="s">
        <v>486</v>
      </c>
      <c r="S31" s="116" t="str">
        <f t="shared" si="1"/>
        <v>0中学</v>
      </c>
      <c r="T31" s="124"/>
      <c r="U31" s="123"/>
      <c r="V31" s="117"/>
      <c r="W31" s="125"/>
      <c r="X31" s="126"/>
      <c r="Y31" s="120"/>
      <c r="Z31" s="127"/>
      <c r="AA31" s="126"/>
      <c r="AB31" s="122"/>
      <c r="AC31" s="98">
        <v>0</v>
      </c>
      <c r="AG31" s="40" t="str">
        <f t="shared" si="3"/>
        <v/>
      </c>
      <c r="AH31" s="376"/>
      <c r="AI31" s="376"/>
      <c r="AJ31" s="365"/>
      <c r="AK31" s="1008"/>
      <c r="AL31" s="1008"/>
      <c r="AM31" s="1008"/>
      <c r="AN31" s="1008"/>
      <c r="AO31" s="1008"/>
      <c r="AP31" s="1008"/>
      <c r="AQ31" s="1008"/>
      <c r="AR31" s="1008"/>
      <c r="AS31" s="1008"/>
      <c r="AT31" s="1008"/>
    </row>
    <row r="32" spans="2:46">
      <c r="B32" s="389">
        <f>名簿!E29</f>
        <v>0</v>
      </c>
      <c r="C32" s="390" t="str">
        <f>名簿!CM29</f>
        <v/>
      </c>
      <c r="D32" s="390" t="str">
        <f>名簿!CM29</f>
        <v/>
      </c>
      <c r="E32" s="390" t="str">
        <f>名簿!Z29</f>
        <v/>
      </c>
      <c r="F32" s="390" t="str">
        <f>名簿!P29</f>
        <v/>
      </c>
      <c r="G32" s="390" t="str">
        <f>名簿!Q29</f>
        <v/>
      </c>
      <c r="H32" s="391" t="str">
        <f>名簿!Y29</f>
        <v/>
      </c>
      <c r="I32" s="391" t="str">
        <f>名簿!CN29</f>
        <v/>
      </c>
      <c r="J32" s="900">
        <f>名簿!CP29</f>
        <v>0</v>
      </c>
      <c r="K32" s="900" t="str">
        <f>名簿!CU29</f>
        <v>00</v>
      </c>
      <c r="L32" s="900" t="str">
        <f>名簿!CU29</f>
        <v>00</v>
      </c>
      <c r="M32" s="1328">
        <f>名簿!D29</f>
        <v>0</v>
      </c>
      <c r="N32" s="1326"/>
      <c r="O32" s="258" t="str">
        <f>IF(N32="","",IF(H32=1,VLOOKUP(N32,男子種目コード!$V$23:$W$25,2,FALSE),IF(H32=2,VLOOKUP(N32,女子種目コード!$V$23:$W$25,2,FALSE))))</f>
        <v/>
      </c>
      <c r="P32" s="540" t="str">
        <f>IF(N32="","",HLOOKUP(N32,名簿!$AH$3:$CH$118,27,FALSE))</f>
        <v/>
      </c>
      <c r="Q32" s="114">
        <f t="shared" si="0"/>
        <v>0</v>
      </c>
      <c r="R32" s="115" t="s">
        <v>486</v>
      </c>
      <c r="S32" s="116" t="str">
        <f t="shared" si="1"/>
        <v>0中学</v>
      </c>
      <c r="T32" s="124"/>
      <c r="U32" s="123"/>
      <c r="V32" s="117"/>
      <c r="W32" s="125"/>
      <c r="X32" s="126"/>
      <c r="Y32" s="120"/>
      <c r="Z32" s="127"/>
      <c r="AA32" s="126"/>
      <c r="AB32" s="122"/>
      <c r="AC32" s="98">
        <v>0</v>
      </c>
      <c r="AG32" s="40" t="str">
        <f t="shared" si="3"/>
        <v/>
      </c>
      <c r="AH32" s="376"/>
      <c r="AI32" s="376"/>
      <c r="AJ32" s="365"/>
      <c r="AK32" s="1008"/>
      <c r="AL32" s="1008"/>
      <c r="AM32" s="1008"/>
      <c r="AN32" s="1008"/>
      <c r="AO32" s="1008"/>
      <c r="AP32" s="1008"/>
      <c r="AQ32" s="1008"/>
      <c r="AR32" s="1008"/>
      <c r="AS32" s="1008"/>
      <c r="AT32" s="1008"/>
    </row>
    <row r="33" spans="2:46">
      <c r="B33" s="389">
        <f>名簿!E30</f>
        <v>0</v>
      </c>
      <c r="C33" s="390" t="str">
        <f>名簿!CM30</f>
        <v/>
      </c>
      <c r="D33" s="390" t="str">
        <f>名簿!CM30</f>
        <v/>
      </c>
      <c r="E33" s="390" t="str">
        <f>名簿!Z30</f>
        <v/>
      </c>
      <c r="F33" s="390" t="str">
        <f>名簿!P30</f>
        <v/>
      </c>
      <c r="G33" s="390" t="str">
        <f>名簿!Q30</f>
        <v/>
      </c>
      <c r="H33" s="391" t="str">
        <f>名簿!Y30</f>
        <v/>
      </c>
      <c r="I33" s="391" t="str">
        <f>名簿!CN30</f>
        <v/>
      </c>
      <c r="J33" s="900">
        <f>名簿!CP30</f>
        <v>0</v>
      </c>
      <c r="K33" s="900" t="str">
        <f>名簿!CU30</f>
        <v>00</v>
      </c>
      <c r="L33" s="900" t="str">
        <f>名簿!CU30</f>
        <v>00</v>
      </c>
      <c r="M33" s="1328">
        <f>名簿!D30</f>
        <v>0</v>
      </c>
      <c r="N33" s="1326"/>
      <c r="O33" s="258" t="str">
        <f>IF(N33="","",IF(H33=1,VLOOKUP(N33,男子種目コード!$V$23:$W$25,2,FALSE),IF(H33=2,VLOOKUP(N33,女子種目コード!$V$23:$W$25,2,FALSE))))</f>
        <v/>
      </c>
      <c r="P33" s="540" t="str">
        <f>IF(N33="","",HLOOKUP(N33,名簿!$AH$3:$CH$118,28,FALSE))</f>
        <v/>
      </c>
      <c r="Q33" s="114">
        <f t="shared" si="0"/>
        <v>0</v>
      </c>
      <c r="R33" s="115" t="s">
        <v>486</v>
      </c>
      <c r="S33" s="116" t="str">
        <f t="shared" si="1"/>
        <v>0中学</v>
      </c>
      <c r="T33" s="124"/>
      <c r="U33" s="123"/>
      <c r="V33" s="117"/>
      <c r="W33" s="125"/>
      <c r="X33" s="126"/>
      <c r="Y33" s="120"/>
      <c r="Z33" s="127"/>
      <c r="AA33" s="126"/>
      <c r="AB33" s="122"/>
      <c r="AC33" s="98">
        <v>0</v>
      </c>
      <c r="AG33" s="40" t="str">
        <f t="shared" si="3"/>
        <v/>
      </c>
      <c r="AH33" s="376"/>
      <c r="AI33" s="376"/>
      <c r="AJ33" s="365"/>
      <c r="AK33" s="1008"/>
      <c r="AL33" s="1008"/>
      <c r="AM33" s="1008"/>
      <c r="AN33" s="1008"/>
      <c r="AO33" s="1008"/>
      <c r="AP33" s="1008"/>
      <c r="AQ33" s="1008"/>
      <c r="AR33" s="1008"/>
      <c r="AS33" s="1008"/>
      <c r="AT33" s="1008"/>
    </row>
    <row r="34" spans="2:46">
      <c r="B34" s="389">
        <f>名簿!E31</f>
        <v>0</v>
      </c>
      <c r="C34" s="390" t="str">
        <f>名簿!CM31</f>
        <v/>
      </c>
      <c r="D34" s="390" t="str">
        <f>名簿!CM31</f>
        <v/>
      </c>
      <c r="E34" s="390" t="str">
        <f>名簿!Z31</f>
        <v/>
      </c>
      <c r="F34" s="390" t="str">
        <f>名簿!P31</f>
        <v/>
      </c>
      <c r="G34" s="390" t="str">
        <f>名簿!Q31</f>
        <v/>
      </c>
      <c r="H34" s="391" t="str">
        <f>名簿!Y31</f>
        <v/>
      </c>
      <c r="I34" s="391" t="str">
        <f>名簿!CN31</f>
        <v/>
      </c>
      <c r="J34" s="900">
        <f>名簿!CP31</f>
        <v>0</v>
      </c>
      <c r="K34" s="900" t="str">
        <f>名簿!CU31</f>
        <v>00</v>
      </c>
      <c r="L34" s="900" t="str">
        <f>名簿!CU31</f>
        <v>00</v>
      </c>
      <c r="M34" s="1328">
        <f>名簿!D31</f>
        <v>0</v>
      </c>
      <c r="N34" s="1326"/>
      <c r="O34" s="258" t="str">
        <f>IF(N34="","",IF(H34=1,VLOOKUP(N34,男子種目コード!$V$23:$W$25,2,FALSE),IF(H34=2,VLOOKUP(N34,女子種目コード!$V$23:$W$25,2,FALSE))))</f>
        <v/>
      </c>
      <c r="P34" s="540" t="str">
        <f>IF(N34="","",HLOOKUP(N34,名簿!$AH$3:$CH$118,29,FALSE))</f>
        <v/>
      </c>
      <c r="Q34" s="114">
        <f t="shared" si="0"/>
        <v>0</v>
      </c>
      <c r="R34" s="115" t="s">
        <v>486</v>
      </c>
      <c r="S34" s="116" t="str">
        <f t="shared" si="1"/>
        <v>0中学</v>
      </c>
      <c r="T34" s="124"/>
      <c r="U34" s="123"/>
      <c r="V34" s="117"/>
      <c r="W34" s="125"/>
      <c r="X34" s="126"/>
      <c r="Y34" s="120"/>
      <c r="Z34" s="127"/>
      <c r="AA34" s="126"/>
      <c r="AB34" s="122"/>
      <c r="AC34" s="98">
        <v>0</v>
      </c>
      <c r="AG34" s="40" t="str">
        <f t="shared" si="3"/>
        <v/>
      </c>
      <c r="AH34" s="376"/>
      <c r="AI34" s="376"/>
      <c r="AJ34" s="365"/>
      <c r="AK34" s="1008"/>
      <c r="AL34" s="1008"/>
      <c r="AM34" s="1008"/>
      <c r="AN34" s="1008"/>
      <c r="AO34" s="1008"/>
      <c r="AP34" s="1008"/>
      <c r="AQ34" s="1008"/>
      <c r="AR34" s="1008"/>
      <c r="AS34" s="1008"/>
      <c r="AT34" s="1008"/>
    </row>
    <row r="35" spans="2:46">
      <c r="B35" s="389">
        <f>名簿!E32</f>
        <v>0</v>
      </c>
      <c r="C35" s="390" t="str">
        <f>名簿!CM32</f>
        <v/>
      </c>
      <c r="D35" s="390" t="str">
        <f>名簿!CM32</f>
        <v/>
      </c>
      <c r="E35" s="390" t="str">
        <f>名簿!Z32</f>
        <v/>
      </c>
      <c r="F35" s="390" t="str">
        <f>名簿!P32</f>
        <v/>
      </c>
      <c r="G35" s="390" t="str">
        <f>名簿!Q32</f>
        <v/>
      </c>
      <c r="H35" s="391" t="str">
        <f>名簿!Y32</f>
        <v/>
      </c>
      <c r="I35" s="391" t="str">
        <f>名簿!CN32</f>
        <v/>
      </c>
      <c r="J35" s="900">
        <f>名簿!CP32</f>
        <v>0</v>
      </c>
      <c r="K35" s="900" t="str">
        <f>名簿!CU32</f>
        <v>00</v>
      </c>
      <c r="L35" s="900" t="str">
        <f>名簿!CU32</f>
        <v>00</v>
      </c>
      <c r="M35" s="1328">
        <f>名簿!D32</f>
        <v>0</v>
      </c>
      <c r="N35" s="1326"/>
      <c r="O35" s="258" t="str">
        <f>IF(N35="","",IF(H35=1,VLOOKUP(N35,男子種目コード!$V$23:$W$25,2,FALSE),IF(H35=2,VLOOKUP(N35,女子種目コード!$V$23:$W$25,2,FALSE))))</f>
        <v/>
      </c>
      <c r="P35" s="540" t="str">
        <f>IF(N35="","",HLOOKUP(N35,名簿!$AH$3:$CH$118,30,FALSE))</f>
        <v/>
      </c>
      <c r="Q35" s="114">
        <f t="shared" si="0"/>
        <v>0</v>
      </c>
      <c r="R35" s="115" t="s">
        <v>486</v>
      </c>
      <c r="S35" s="116" t="str">
        <f t="shared" si="1"/>
        <v>0中学</v>
      </c>
      <c r="T35" s="124"/>
      <c r="U35" s="123"/>
      <c r="V35" s="117"/>
      <c r="W35" s="125"/>
      <c r="X35" s="126"/>
      <c r="Y35" s="120"/>
      <c r="Z35" s="127"/>
      <c r="AA35" s="126"/>
      <c r="AB35" s="122"/>
      <c r="AC35" s="98">
        <v>0</v>
      </c>
      <c r="AG35" s="40" t="str">
        <f t="shared" si="3"/>
        <v/>
      </c>
      <c r="AH35" s="376"/>
      <c r="AI35" s="376"/>
      <c r="AJ35" s="365"/>
      <c r="AK35" s="1008"/>
      <c r="AL35" s="1008"/>
      <c r="AM35" s="1008"/>
      <c r="AN35" s="1008"/>
      <c r="AO35" s="1008"/>
      <c r="AP35" s="1008"/>
      <c r="AQ35" s="1008"/>
      <c r="AR35" s="1008"/>
      <c r="AS35" s="1008"/>
      <c r="AT35" s="1008"/>
    </row>
    <row r="36" spans="2:46">
      <c r="B36" s="389">
        <f>名簿!E33</f>
        <v>0</v>
      </c>
      <c r="C36" s="390" t="str">
        <f>名簿!CM33</f>
        <v/>
      </c>
      <c r="D36" s="390" t="str">
        <f>名簿!CM33</f>
        <v/>
      </c>
      <c r="E36" s="390" t="str">
        <f>名簿!Z33</f>
        <v/>
      </c>
      <c r="F36" s="390" t="str">
        <f>名簿!P33</f>
        <v/>
      </c>
      <c r="G36" s="390" t="str">
        <f>名簿!Q33</f>
        <v/>
      </c>
      <c r="H36" s="391" t="str">
        <f>名簿!Y33</f>
        <v/>
      </c>
      <c r="I36" s="391" t="str">
        <f>名簿!CN33</f>
        <v/>
      </c>
      <c r="J36" s="900">
        <f>名簿!CP33</f>
        <v>0</v>
      </c>
      <c r="K36" s="900" t="str">
        <f>名簿!CU33</f>
        <v>00</v>
      </c>
      <c r="L36" s="900" t="str">
        <f>名簿!CU33</f>
        <v>00</v>
      </c>
      <c r="M36" s="1328">
        <f>名簿!D33</f>
        <v>0</v>
      </c>
      <c r="N36" s="1326"/>
      <c r="O36" s="258" t="str">
        <f>IF(N36="","",IF(H36=1,VLOOKUP(N36,男子種目コード!$V$23:$W$25,2,FALSE),IF(H36=2,VLOOKUP(N36,女子種目コード!$V$23:$W$25,2,FALSE))))</f>
        <v/>
      </c>
      <c r="P36" s="540" t="str">
        <f>IF(N36="","",HLOOKUP(N36,名簿!$AH$3:$CH$118,31,FALSE))</f>
        <v/>
      </c>
      <c r="Q36" s="114">
        <f t="shared" si="0"/>
        <v>0</v>
      </c>
      <c r="R36" s="115" t="s">
        <v>486</v>
      </c>
      <c r="S36" s="116" t="str">
        <f t="shared" si="1"/>
        <v>0中学</v>
      </c>
      <c r="T36" s="124"/>
      <c r="U36" s="123"/>
      <c r="V36" s="117"/>
      <c r="W36" s="125"/>
      <c r="X36" s="126"/>
      <c r="Y36" s="120"/>
      <c r="Z36" s="127"/>
      <c r="AA36" s="126"/>
      <c r="AB36" s="122"/>
      <c r="AC36" s="98">
        <v>0</v>
      </c>
      <c r="AG36" s="40" t="str">
        <f t="shared" si="3"/>
        <v/>
      </c>
      <c r="AH36" s="376"/>
      <c r="AI36" s="376"/>
      <c r="AJ36" s="365"/>
      <c r="AK36" s="1008"/>
      <c r="AL36" s="1008"/>
      <c r="AM36" s="1008"/>
      <c r="AN36" s="1008"/>
      <c r="AO36" s="1008"/>
      <c r="AP36" s="1008"/>
      <c r="AQ36" s="1008"/>
      <c r="AR36" s="1008"/>
      <c r="AS36" s="1008"/>
      <c r="AT36" s="1008"/>
    </row>
    <row r="37" spans="2:46">
      <c r="B37" s="389">
        <f>名簿!E34</f>
        <v>0</v>
      </c>
      <c r="C37" s="390" t="str">
        <f>名簿!CM34</f>
        <v/>
      </c>
      <c r="D37" s="390" t="str">
        <f>名簿!CM34</f>
        <v/>
      </c>
      <c r="E37" s="390" t="str">
        <f>名簿!Z34</f>
        <v/>
      </c>
      <c r="F37" s="390" t="str">
        <f>名簿!P34</f>
        <v/>
      </c>
      <c r="G37" s="390" t="str">
        <f>名簿!Q34</f>
        <v/>
      </c>
      <c r="H37" s="391" t="str">
        <f>名簿!Y34</f>
        <v/>
      </c>
      <c r="I37" s="391" t="str">
        <f>名簿!CN34</f>
        <v/>
      </c>
      <c r="J37" s="900">
        <f>名簿!CP34</f>
        <v>0</v>
      </c>
      <c r="K37" s="900" t="str">
        <f>名簿!CU34</f>
        <v>00</v>
      </c>
      <c r="L37" s="900" t="str">
        <f>名簿!CU34</f>
        <v>00</v>
      </c>
      <c r="M37" s="1328">
        <f>名簿!D34</f>
        <v>0</v>
      </c>
      <c r="N37" s="1326"/>
      <c r="O37" s="258" t="str">
        <f>IF(N37="","",IF(H37=1,VLOOKUP(N37,男子種目コード!$V$23:$W$25,2,FALSE),IF(H37=2,VLOOKUP(N37,女子種目コード!$V$23:$W$25,2,FALSE))))</f>
        <v/>
      </c>
      <c r="P37" s="540" t="str">
        <f>IF(N37="","",HLOOKUP(N37,名簿!$AH$3:$CH$118,32,FALSE))</f>
        <v/>
      </c>
      <c r="Q37" s="114">
        <f t="shared" si="0"/>
        <v>0</v>
      </c>
      <c r="R37" s="115" t="s">
        <v>486</v>
      </c>
      <c r="S37" s="116" t="str">
        <f t="shared" si="1"/>
        <v>0中学</v>
      </c>
      <c r="T37" s="124"/>
      <c r="U37" s="123"/>
      <c r="V37" s="117"/>
      <c r="W37" s="125"/>
      <c r="X37" s="126"/>
      <c r="Y37" s="120"/>
      <c r="Z37" s="127"/>
      <c r="AA37" s="126"/>
      <c r="AB37" s="122"/>
      <c r="AC37" s="98">
        <v>0</v>
      </c>
      <c r="AG37" s="40" t="str">
        <f t="shared" si="3"/>
        <v/>
      </c>
      <c r="AH37" s="376"/>
      <c r="AI37" s="376"/>
      <c r="AJ37" s="365"/>
      <c r="AK37" s="1008"/>
      <c r="AL37" s="1008"/>
      <c r="AM37" s="1008"/>
      <c r="AN37" s="1008"/>
      <c r="AO37" s="1008"/>
      <c r="AP37" s="1008"/>
      <c r="AQ37" s="1008"/>
      <c r="AR37" s="1008"/>
      <c r="AS37" s="1008"/>
      <c r="AT37" s="1008"/>
    </row>
    <row r="38" spans="2:46">
      <c r="B38" s="389">
        <f>名簿!E35</f>
        <v>0</v>
      </c>
      <c r="C38" s="390" t="str">
        <f>名簿!CM35</f>
        <v/>
      </c>
      <c r="D38" s="390" t="str">
        <f>名簿!CM35</f>
        <v/>
      </c>
      <c r="E38" s="390" t="str">
        <f>名簿!Z35</f>
        <v/>
      </c>
      <c r="F38" s="390" t="str">
        <f>名簿!P35</f>
        <v/>
      </c>
      <c r="G38" s="390" t="str">
        <f>名簿!Q35</f>
        <v/>
      </c>
      <c r="H38" s="391" t="str">
        <f>名簿!Y35</f>
        <v/>
      </c>
      <c r="I38" s="391" t="str">
        <f>名簿!CN35</f>
        <v/>
      </c>
      <c r="J38" s="900">
        <f>名簿!CP35</f>
        <v>0</v>
      </c>
      <c r="K38" s="900" t="str">
        <f>名簿!CU35</f>
        <v>00</v>
      </c>
      <c r="L38" s="900" t="str">
        <f>名簿!CU35</f>
        <v>00</v>
      </c>
      <c r="M38" s="1328">
        <f>名簿!D35</f>
        <v>0</v>
      </c>
      <c r="N38" s="1326"/>
      <c r="O38" s="258" t="str">
        <f>IF(N38="","",IF(H38=1,VLOOKUP(N38,男子種目コード!$V$23:$W$25,2,FALSE),IF(H38=2,VLOOKUP(N38,女子種目コード!$V$23:$W$25,2,FALSE))))</f>
        <v/>
      </c>
      <c r="P38" s="540" t="str">
        <f>IF(N38="","",HLOOKUP(N38,名簿!$AH$3:$CH$118,33,FALSE))</f>
        <v/>
      </c>
      <c r="Q38" s="114">
        <f t="shared" si="0"/>
        <v>0</v>
      </c>
      <c r="R38" s="115" t="s">
        <v>486</v>
      </c>
      <c r="S38" s="116" t="str">
        <f t="shared" si="1"/>
        <v>0中学</v>
      </c>
      <c r="T38" s="124"/>
      <c r="U38" s="123"/>
      <c r="V38" s="117"/>
      <c r="W38" s="125"/>
      <c r="X38" s="126"/>
      <c r="Y38" s="120"/>
      <c r="Z38" s="127"/>
      <c r="AA38" s="126"/>
      <c r="AB38" s="122"/>
      <c r="AC38" s="98">
        <v>0</v>
      </c>
      <c r="AG38" s="40" t="str">
        <f t="shared" si="3"/>
        <v/>
      </c>
      <c r="AH38" s="376"/>
      <c r="AI38" s="376"/>
      <c r="AJ38" s="365"/>
      <c r="AK38" s="1008"/>
      <c r="AL38" s="1008"/>
      <c r="AM38" s="1008"/>
      <c r="AN38" s="1008"/>
      <c r="AO38" s="1008"/>
      <c r="AP38" s="1008"/>
      <c r="AQ38" s="1008"/>
      <c r="AR38" s="1008"/>
      <c r="AS38" s="1008"/>
      <c r="AT38" s="1008"/>
    </row>
    <row r="39" spans="2:46">
      <c r="B39" s="389">
        <f>名簿!E36</f>
        <v>0</v>
      </c>
      <c r="C39" s="390" t="str">
        <f>名簿!CM36</f>
        <v/>
      </c>
      <c r="D39" s="390" t="str">
        <f>名簿!CM36</f>
        <v/>
      </c>
      <c r="E39" s="390" t="str">
        <f>名簿!Z36</f>
        <v/>
      </c>
      <c r="F39" s="390" t="str">
        <f>名簿!P36</f>
        <v/>
      </c>
      <c r="G39" s="390" t="str">
        <f>名簿!Q36</f>
        <v/>
      </c>
      <c r="H39" s="391" t="str">
        <f>名簿!Y36</f>
        <v/>
      </c>
      <c r="I39" s="391" t="str">
        <f>名簿!CN36</f>
        <v/>
      </c>
      <c r="J39" s="900">
        <f>名簿!CP36</f>
        <v>0</v>
      </c>
      <c r="K39" s="900" t="str">
        <f>名簿!CU36</f>
        <v>00</v>
      </c>
      <c r="L39" s="900" t="str">
        <f>名簿!CU36</f>
        <v>00</v>
      </c>
      <c r="M39" s="1328">
        <f>名簿!D36</f>
        <v>0</v>
      </c>
      <c r="N39" s="1326"/>
      <c r="O39" s="258" t="str">
        <f>IF(N39="","",IF(H39=1,VLOOKUP(N39,男子種目コード!$V$23:$W$25,2,FALSE),IF(H39=2,VLOOKUP(N39,女子種目コード!$V$23:$W$25,2,FALSE))))</f>
        <v/>
      </c>
      <c r="P39" s="540" t="str">
        <f>IF(N39="","",HLOOKUP(N39,名簿!$AH$3:$CH$118,34,FALSE))</f>
        <v/>
      </c>
      <c r="Q39" s="114">
        <f t="shared" si="0"/>
        <v>0</v>
      </c>
      <c r="R39" s="115" t="s">
        <v>486</v>
      </c>
      <c r="S39" s="116" t="str">
        <f t="shared" si="1"/>
        <v>0中学</v>
      </c>
      <c r="T39" s="124"/>
      <c r="U39" s="123"/>
      <c r="V39" s="117"/>
      <c r="W39" s="125"/>
      <c r="X39" s="126"/>
      <c r="Y39" s="120"/>
      <c r="Z39" s="127"/>
      <c r="AA39" s="126"/>
      <c r="AB39" s="122"/>
      <c r="AC39" s="98">
        <v>0</v>
      </c>
      <c r="AG39" s="40" t="str">
        <f t="shared" ref="AG39:AG70" si="4">IF(N39="","",1)</f>
        <v/>
      </c>
      <c r="AH39" s="376"/>
      <c r="AI39" s="376"/>
      <c r="AJ39" s="365"/>
      <c r="AK39" s="1008"/>
      <c r="AL39" s="1008"/>
      <c r="AM39" s="1008"/>
      <c r="AN39" s="1008"/>
      <c r="AO39" s="1008"/>
      <c r="AP39" s="1008"/>
      <c r="AQ39" s="1008"/>
      <c r="AR39" s="1008"/>
      <c r="AS39" s="1008"/>
      <c r="AT39" s="1008"/>
    </row>
    <row r="40" spans="2:46">
      <c r="B40" s="389">
        <f>名簿!E37</f>
        <v>0</v>
      </c>
      <c r="C40" s="390" t="str">
        <f>名簿!CM37</f>
        <v/>
      </c>
      <c r="D40" s="390" t="str">
        <f>名簿!CM37</f>
        <v/>
      </c>
      <c r="E40" s="390" t="str">
        <f>名簿!Z37</f>
        <v/>
      </c>
      <c r="F40" s="390" t="str">
        <f>名簿!P37</f>
        <v/>
      </c>
      <c r="G40" s="390" t="str">
        <f>名簿!Q37</f>
        <v/>
      </c>
      <c r="H40" s="391" t="str">
        <f>名簿!Y37</f>
        <v/>
      </c>
      <c r="I40" s="391" t="str">
        <f>名簿!CN37</f>
        <v/>
      </c>
      <c r="J40" s="900">
        <f>名簿!CP37</f>
        <v>0</v>
      </c>
      <c r="K40" s="900" t="str">
        <f>名簿!CU37</f>
        <v>00</v>
      </c>
      <c r="L40" s="900" t="str">
        <f>名簿!CU37</f>
        <v>00</v>
      </c>
      <c r="M40" s="1328">
        <f>名簿!D37</f>
        <v>0</v>
      </c>
      <c r="N40" s="1326"/>
      <c r="O40" s="258" t="str">
        <f>IF(N40="","",IF(H40=1,VLOOKUP(N40,男子種目コード!$V$23:$W$25,2,FALSE),IF(H40=2,VLOOKUP(N40,女子種目コード!$V$23:$W$25,2,FALSE))))</f>
        <v/>
      </c>
      <c r="P40" s="540" t="str">
        <f>IF(N40="","",HLOOKUP(N40,名簿!$AH$3:$CH$118,35,FALSE))</f>
        <v/>
      </c>
      <c r="Q40" s="114">
        <f t="shared" si="0"/>
        <v>0</v>
      </c>
      <c r="R40" s="115" t="s">
        <v>486</v>
      </c>
      <c r="S40" s="116" t="str">
        <f t="shared" si="1"/>
        <v>0中学</v>
      </c>
      <c r="T40" s="124"/>
      <c r="U40" s="123"/>
      <c r="V40" s="117"/>
      <c r="W40" s="125"/>
      <c r="X40" s="126"/>
      <c r="Y40" s="120"/>
      <c r="Z40" s="127"/>
      <c r="AA40" s="126"/>
      <c r="AB40" s="122"/>
      <c r="AC40" s="98">
        <v>0</v>
      </c>
      <c r="AG40" s="40" t="str">
        <f t="shared" si="4"/>
        <v/>
      </c>
      <c r="AH40" s="376"/>
      <c r="AI40" s="376"/>
      <c r="AJ40" s="365"/>
      <c r="AK40" s="1008"/>
      <c r="AL40" s="1008"/>
      <c r="AM40" s="1008"/>
      <c r="AN40" s="1008"/>
      <c r="AO40" s="1008"/>
      <c r="AP40" s="1008"/>
      <c r="AQ40" s="1008"/>
      <c r="AR40" s="1008"/>
      <c r="AS40" s="1008"/>
      <c r="AT40" s="1008"/>
    </row>
    <row r="41" spans="2:46">
      <c r="B41" s="389">
        <f>名簿!E38</f>
        <v>0</v>
      </c>
      <c r="C41" s="390" t="str">
        <f>名簿!CM38</f>
        <v/>
      </c>
      <c r="D41" s="390" t="str">
        <f>名簿!CM38</f>
        <v/>
      </c>
      <c r="E41" s="390" t="str">
        <f>名簿!Z38</f>
        <v/>
      </c>
      <c r="F41" s="390" t="str">
        <f>名簿!P38</f>
        <v/>
      </c>
      <c r="G41" s="390" t="str">
        <f>名簿!Q38</f>
        <v/>
      </c>
      <c r="H41" s="391" t="str">
        <f>名簿!Y38</f>
        <v/>
      </c>
      <c r="I41" s="391" t="str">
        <f>名簿!CN38</f>
        <v/>
      </c>
      <c r="J41" s="900">
        <f>名簿!CP38</f>
        <v>0</v>
      </c>
      <c r="K41" s="900" t="str">
        <f>名簿!CU38</f>
        <v>00</v>
      </c>
      <c r="L41" s="900" t="str">
        <f>名簿!CU38</f>
        <v>00</v>
      </c>
      <c r="M41" s="1328">
        <f>名簿!D38</f>
        <v>0</v>
      </c>
      <c r="N41" s="1326"/>
      <c r="O41" s="258" t="str">
        <f>IF(N41="","",IF(H41=1,VLOOKUP(N41,男子種目コード!$V$23:$W$25,2,FALSE),IF(H41=2,VLOOKUP(N41,女子種目コード!$V$23:$W$25,2,FALSE))))</f>
        <v/>
      </c>
      <c r="P41" s="540" t="str">
        <f>IF(N41="","",HLOOKUP(N41,名簿!$AH$3:$CH$118,36,FALSE))</f>
        <v/>
      </c>
      <c r="Q41" s="114">
        <f t="shared" si="0"/>
        <v>0</v>
      </c>
      <c r="R41" s="115" t="s">
        <v>486</v>
      </c>
      <c r="S41" s="116" t="str">
        <f t="shared" si="1"/>
        <v>0中学</v>
      </c>
      <c r="T41" s="124"/>
      <c r="U41" s="123"/>
      <c r="V41" s="117"/>
      <c r="W41" s="125"/>
      <c r="X41" s="126"/>
      <c r="Y41" s="120"/>
      <c r="Z41" s="127"/>
      <c r="AA41" s="126"/>
      <c r="AB41" s="122"/>
      <c r="AC41" s="98">
        <v>0</v>
      </c>
      <c r="AG41" s="40" t="str">
        <f t="shared" si="4"/>
        <v/>
      </c>
      <c r="AH41" s="376"/>
      <c r="AI41" s="376"/>
      <c r="AJ41" s="365"/>
      <c r="AK41" s="1008"/>
      <c r="AL41" s="1008"/>
      <c r="AM41" s="1008"/>
      <c r="AN41" s="1008"/>
      <c r="AO41" s="1008"/>
      <c r="AP41" s="1008"/>
      <c r="AQ41" s="1008"/>
      <c r="AR41" s="1008"/>
      <c r="AS41" s="1008"/>
      <c r="AT41" s="1008"/>
    </row>
    <row r="42" spans="2:46">
      <c r="B42" s="389">
        <f>名簿!E39</f>
        <v>0</v>
      </c>
      <c r="C42" s="390" t="str">
        <f>名簿!CM39</f>
        <v/>
      </c>
      <c r="D42" s="390" t="str">
        <f>名簿!CM39</f>
        <v/>
      </c>
      <c r="E42" s="390" t="str">
        <f>名簿!Z39</f>
        <v/>
      </c>
      <c r="F42" s="390" t="str">
        <f>名簿!P39</f>
        <v/>
      </c>
      <c r="G42" s="390" t="str">
        <f>名簿!Q39</f>
        <v/>
      </c>
      <c r="H42" s="391" t="str">
        <f>名簿!Y39</f>
        <v/>
      </c>
      <c r="I42" s="391" t="str">
        <f>名簿!CN39</f>
        <v/>
      </c>
      <c r="J42" s="900">
        <f>名簿!CP39</f>
        <v>0</v>
      </c>
      <c r="K42" s="900" t="str">
        <f>名簿!CU39</f>
        <v>00</v>
      </c>
      <c r="L42" s="900" t="str">
        <f>名簿!CU39</f>
        <v>00</v>
      </c>
      <c r="M42" s="1328">
        <f>名簿!D39</f>
        <v>0</v>
      </c>
      <c r="N42" s="1326"/>
      <c r="O42" s="258" t="str">
        <f>IF(N42="","",IF(H42=1,VLOOKUP(N42,男子種目コード!$V$23:$W$25,2,FALSE),IF(H42=2,VLOOKUP(N42,女子種目コード!$V$23:$W$25,2,FALSE))))</f>
        <v/>
      </c>
      <c r="P42" s="540" t="str">
        <f>IF(N42="","",HLOOKUP(N42,名簿!$AH$3:$CH$118,37,FALSE))</f>
        <v/>
      </c>
      <c r="Q42" s="114">
        <f t="shared" si="0"/>
        <v>0</v>
      </c>
      <c r="R42" s="115" t="s">
        <v>486</v>
      </c>
      <c r="S42" s="116" t="str">
        <f t="shared" si="1"/>
        <v>0中学</v>
      </c>
      <c r="T42" s="124"/>
      <c r="U42" s="123"/>
      <c r="V42" s="117"/>
      <c r="W42" s="125"/>
      <c r="X42" s="126"/>
      <c r="Y42" s="120"/>
      <c r="Z42" s="127"/>
      <c r="AA42" s="126"/>
      <c r="AB42" s="122"/>
      <c r="AC42" s="98">
        <v>0</v>
      </c>
      <c r="AG42" s="40" t="str">
        <f t="shared" si="4"/>
        <v/>
      </c>
      <c r="AH42" s="376"/>
      <c r="AI42" s="376"/>
      <c r="AJ42" s="365"/>
      <c r="AK42" s="1008"/>
      <c r="AL42" s="1008"/>
      <c r="AM42" s="1008"/>
      <c r="AN42" s="1008"/>
      <c r="AO42" s="1008"/>
      <c r="AP42" s="1008"/>
      <c r="AQ42" s="1008"/>
      <c r="AR42" s="1008"/>
      <c r="AS42" s="1008"/>
      <c r="AT42" s="1008"/>
    </row>
    <row r="43" spans="2:46">
      <c r="B43" s="389">
        <f>名簿!E40</f>
        <v>0</v>
      </c>
      <c r="C43" s="390" t="str">
        <f>名簿!CM40</f>
        <v/>
      </c>
      <c r="D43" s="390" t="str">
        <f>名簿!CM40</f>
        <v/>
      </c>
      <c r="E43" s="390" t="str">
        <f>名簿!Z40</f>
        <v/>
      </c>
      <c r="F43" s="390" t="str">
        <f>名簿!P40</f>
        <v/>
      </c>
      <c r="G43" s="390" t="str">
        <f>名簿!Q40</f>
        <v/>
      </c>
      <c r="H43" s="391" t="str">
        <f>名簿!Y40</f>
        <v/>
      </c>
      <c r="I43" s="391" t="str">
        <f>名簿!CN40</f>
        <v/>
      </c>
      <c r="J43" s="900">
        <f>名簿!CP40</f>
        <v>0</v>
      </c>
      <c r="K43" s="900" t="str">
        <f>名簿!CU40</f>
        <v>00</v>
      </c>
      <c r="L43" s="900" t="str">
        <f>名簿!CU40</f>
        <v>00</v>
      </c>
      <c r="M43" s="1328">
        <f>名簿!D40</f>
        <v>0</v>
      </c>
      <c r="N43" s="1326"/>
      <c r="O43" s="258" t="str">
        <f>IF(N43="","",IF(H43=1,VLOOKUP(N43,男子種目コード!$V$23:$W$25,2,FALSE),IF(H43=2,VLOOKUP(N43,女子種目コード!$V$23:$W$25,2,FALSE))))</f>
        <v/>
      </c>
      <c r="P43" s="540" t="str">
        <f>IF(N43="","",HLOOKUP(N43,名簿!$AH$3:$CH$118,38,FALSE))</f>
        <v/>
      </c>
      <c r="Q43" s="114">
        <f t="shared" si="0"/>
        <v>0</v>
      </c>
      <c r="R43" s="115" t="s">
        <v>486</v>
      </c>
      <c r="S43" s="116" t="str">
        <f t="shared" si="1"/>
        <v>0中学</v>
      </c>
      <c r="T43" s="124"/>
      <c r="U43" s="123"/>
      <c r="V43" s="117"/>
      <c r="W43" s="125"/>
      <c r="X43" s="126"/>
      <c r="Y43" s="120"/>
      <c r="Z43" s="127"/>
      <c r="AA43" s="126"/>
      <c r="AB43" s="122"/>
      <c r="AC43" s="98">
        <v>0</v>
      </c>
      <c r="AG43" s="40" t="str">
        <f t="shared" si="4"/>
        <v/>
      </c>
      <c r="AH43" s="376"/>
      <c r="AI43" s="376"/>
      <c r="AJ43" s="365"/>
      <c r="AK43" s="1008"/>
      <c r="AL43" s="1008"/>
      <c r="AM43" s="1008"/>
      <c r="AN43" s="1008"/>
      <c r="AO43" s="1008"/>
      <c r="AP43" s="1008"/>
      <c r="AQ43" s="1008"/>
      <c r="AR43" s="1008"/>
      <c r="AS43" s="1008"/>
      <c r="AT43" s="1008"/>
    </row>
    <row r="44" spans="2:46">
      <c r="B44" s="389">
        <f>名簿!E41</f>
        <v>0</v>
      </c>
      <c r="C44" s="390" t="str">
        <f>名簿!CM41</f>
        <v/>
      </c>
      <c r="D44" s="390" t="str">
        <f>名簿!CM41</f>
        <v/>
      </c>
      <c r="E44" s="390" t="str">
        <f>名簿!Z41</f>
        <v/>
      </c>
      <c r="F44" s="390" t="str">
        <f>名簿!P41</f>
        <v/>
      </c>
      <c r="G44" s="390" t="str">
        <f>名簿!Q41</f>
        <v/>
      </c>
      <c r="H44" s="391" t="str">
        <f>名簿!Y41</f>
        <v/>
      </c>
      <c r="I44" s="391" t="str">
        <f>名簿!CN41</f>
        <v/>
      </c>
      <c r="J44" s="900">
        <f>名簿!CP41</f>
        <v>0</v>
      </c>
      <c r="K44" s="900" t="str">
        <f>名簿!CU41</f>
        <v>00</v>
      </c>
      <c r="L44" s="900" t="str">
        <f>名簿!CU41</f>
        <v>00</v>
      </c>
      <c r="M44" s="1328">
        <f>名簿!D41</f>
        <v>0</v>
      </c>
      <c r="N44" s="1326"/>
      <c r="O44" s="258" t="str">
        <f>IF(N44="","",IF(H44=1,VLOOKUP(N44,男子種目コード!$V$23:$W$25,2,FALSE),IF(H44=2,VLOOKUP(N44,女子種目コード!$V$23:$W$25,2,FALSE))))</f>
        <v/>
      </c>
      <c r="P44" s="540" t="str">
        <f>IF(N44="","",HLOOKUP(N44,名簿!$AH$3:$CH$118,39,FALSE))</f>
        <v/>
      </c>
      <c r="Q44" s="114">
        <f t="shared" si="0"/>
        <v>0</v>
      </c>
      <c r="R44" s="115" t="s">
        <v>486</v>
      </c>
      <c r="S44" s="116" t="str">
        <f t="shared" si="1"/>
        <v>0中学</v>
      </c>
      <c r="T44" s="124"/>
      <c r="U44" s="123"/>
      <c r="V44" s="117"/>
      <c r="W44" s="125"/>
      <c r="X44" s="126"/>
      <c r="Y44" s="120"/>
      <c r="Z44" s="127"/>
      <c r="AA44" s="126"/>
      <c r="AB44" s="122"/>
      <c r="AC44" s="98">
        <v>0</v>
      </c>
      <c r="AG44" s="40" t="str">
        <f t="shared" si="4"/>
        <v/>
      </c>
      <c r="AH44" s="376"/>
      <c r="AI44" s="376"/>
      <c r="AJ44" s="365"/>
      <c r="AK44" s="1008"/>
      <c r="AL44" s="1008"/>
      <c r="AM44" s="1008"/>
      <c r="AN44" s="1008"/>
      <c r="AO44" s="1008"/>
      <c r="AP44" s="1008"/>
      <c r="AQ44" s="1008"/>
      <c r="AR44" s="1008"/>
      <c r="AS44" s="1008"/>
      <c r="AT44" s="1008"/>
    </row>
    <row r="45" spans="2:46">
      <c r="B45" s="389">
        <f>名簿!E42</f>
        <v>0</v>
      </c>
      <c r="C45" s="390" t="str">
        <f>名簿!CM42</f>
        <v/>
      </c>
      <c r="D45" s="390" t="str">
        <f>名簿!CM42</f>
        <v/>
      </c>
      <c r="E45" s="390" t="str">
        <f>名簿!Z42</f>
        <v/>
      </c>
      <c r="F45" s="390" t="str">
        <f>名簿!P42</f>
        <v/>
      </c>
      <c r="G45" s="390" t="str">
        <f>名簿!Q42</f>
        <v/>
      </c>
      <c r="H45" s="391" t="str">
        <f>名簿!Y42</f>
        <v/>
      </c>
      <c r="I45" s="391" t="str">
        <f>名簿!CN42</f>
        <v/>
      </c>
      <c r="J45" s="900">
        <f>名簿!CP42</f>
        <v>0</v>
      </c>
      <c r="K45" s="900" t="str">
        <f>名簿!CU42</f>
        <v>00</v>
      </c>
      <c r="L45" s="900" t="str">
        <f>名簿!CU42</f>
        <v>00</v>
      </c>
      <c r="M45" s="1328">
        <f>名簿!D42</f>
        <v>0</v>
      </c>
      <c r="N45" s="1326"/>
      <c r="O45" s="258" t="str">
        <f>IF(N45="","",IF(H45=1,VLOOKUP(N45,男子種目コード!$V$23:$W$25,2,FALSE),IF(H45=2,VLOOKUP(N45,女子種目コード!$V$23:$W$25,2,FALSE))))</f>
        <v/>
      </c>
      <c r="P45" s="540" t="str">
        <f>IF(N45="","",HLOOKUP(N45,名簿!$AH$3:$CH$118,40,FALSE))</f>
        <v/>
      </c>
      <c r="Q45" s="114">
        <f t="shared" si="0"/>
        <v>0</v>
      </c>
      <c r="R45" s="115" t="s">
        <v>486</v>
      </c>
      <c r="S45" s="116" t="str">
        <f t="shared" si="1"/>
        <v>0中学</v>
      </c>
      <c r="T45" s="124"/>
      <c r="U45" s="123"/>
      <c r="V45" s="117"/>
      <c r="W45" s="125"/>
      <c r="X45" s="126"/>
      <c r="Y45" s="120"/>
      <c r="Z45" s="127"/>
      <c r="AA45" s="126"/>
      <c r="AB45" s="122"/>
      <c r="AC45" s="98">
        <v>0</v>
      </c>
      <c r="AG45" s="40" t="str">
        <f t="shared" si="4"/>
        <v/>
      </c>
      <c r="AH45" s="376"/>
      <c r="AI45" s="376"/>
      <c r="AJ45" s="365"/>
      <c r="AK45" s="1008"/>
      <c r="AL45" s="1008"/>
      <c r="AM45" s="1008"/>
      <c r="AN45" s="1008"/>
      <c r="AO45" s="1008"/>
      <c r="AP45" s="1008"/>
      <c r="AQ45" s="1008"/>
      <c r="AR45" s="1008"/>
      <c r="AS45" s="1008"/>
      <c r="AT45" s="1008"/>
    </row>
    <row r="46" spans="2:46">
      <c r="B46" s="389">
        <f>名簿!E43</f>
        <v>0</v>
      </c>
      <c r="C46" s="390" t="str">
        <f>名簿!CM43</f>
        <v/>
      </c>
      <c r="D46" s="390" t="str">
        <f>名簿!CM43</f>
        <v/>
      </c>
      <c r="E46" s="390" t="str">
        <f>名簿!Z43</f>
        <v/>
      </c>
      <c r="F46" s="390" t="str">
        <f>名簿!P43</f>
        <v/>
      </c>
      <c r="G46" s="390" t="str">
        <f>名簿!Q43</f>
        <v/>
      </c>
      <c r="H46" s="391" t="str">
        <f>名簿!Y43</f>
        <v/>
      </c>
      <c r="I46" s="391" t="str">
        <f>名簿!CN43</f>
        <v/>
      </c>
      <c r="J46" s="900">
        <f>名簿!CP43</f>
        <v>0</v>
      </c>
      <c r="K46" s="900" t="str">
        <f>名簿!CU43</f>
        <v>00</v>
      </c>
      <c r="L46" s="900" t="str">
        <f>名簿!CU43</f>
        <v>00</v>
      </c>
      <c r="M46" s="1328">
        <f>名簿!D43</f>
        <v>0</v>
      </c>
      <c r="N46" s="1326"/>
      <c r="O46" s="258" t="str">
        <f>IF(N46="","",IF(H46=1,VLOOKUP(N46,男子種目コード!$V$23:$W$25,2,FALSE),IF(H46=2,VLOOKUP(N46,女子種目コード!$V$23:$W$25,2,FALSE))))</f>
        <v/>
      </c>
      <c r="P46" s="540" t="str">
        <f>IF(N46="","",HLOOKUP(N46,名簿!$AH$3:$CH$118,41,FALSE))</f>
        <v/>
      </c>
      <c r="Q46" s="114">
        <f t="shared" si="0"/>
        <v>0</v>
      </c>
      <c r="R46" s="115" t="s">
        <v>486</v>
      </c>
      <c r="S46" s="116" t="str">
        <f t="shared" si="1"/>
        <v>0中学</v>
      </c>
      <c r="T46" s="124"/>
      <c r="U46" s="123"/>
      <c r="V46" s="117"/>
      <c r="W46" s="125"/>
      <c r="X46" s="126"/>
      <c r="Y46" s="120"/>
      <c r="Z46" s="127"/>
      <c r="AA46" s="126"/>
      <c r="AB46" s="122"/>
      <c r="AC46" s="98">
        <v>0</v>
      </c>
      <c r="AG46" s="40" t="str">
        <f t="shared" si="4"/>
        <v/>
      </c>
      <c r="AH46" s="376"/>
      <c r="AI46" s="376"/>
      <c r="AJ46" s="365"/>
      <c r="AK46" s="1008"/>
      <c r="AL46" s="1008"/>
      <c r="AM46" s="1008"/>
      <c r="AN46" s="1008"/>
      <c r="AO46" s="1008"/>
      <c r="AP46" s="1008"/>
      <c r="AQ46" s="1008"/>
      <c r="AR46" s="1008"/>
      <c r="AS46" s="1008"/>
      <c r="AT46" s="1008"/>
    </row>
    <row r="47" spans="2:46">
      <c r="B47" s="389">
        <f>名簿!E44</f>
        <v>0</v>
      </c>
      <c r="C47" s="390" t="str">
        <f>名簿!CM44</f>
        <v/>
      </c>
      <c r="D47" s="390" t="str">
        <f>名簿!CM44</f>
        <v/>
      </c>
      <c r="E47" s="390" t="str">
        <f>名簿!Z44</f>
        <v/>
      </c>
      <c r="F47" s="390" t="str">
        <f>名簿!P44</f>
        <v/>
      </c>
      <c r="G47" s="390" t="str">
        <f>名簿!Q44</f>
        <v/>
      </c>
      <c r="H47" s="391" t="str">
        <f>名簿!Y44</f>
        <v/>
      </c>
      <c r="I47" s="391" t="str">
        <f>名簿!CN44</f>
        <v/>
      </c>
      <c r="J47" s="900">
        <f>名簿!CP44</f>
        <v>0</v>
      </c>
      <c r="K47" s="900" t="str">
        <f>名簿!CU44</f>
        <v>00</v>
      </c>
      <c r="L47" s="900" t="str">
        <f>名簿!CU44</f>
        <v>00</v>
      </c>
      <c r="M47" s="1328">
        <f>名簿!D44</f>
        <v>0</v>
      </c>
      <c r="N47" s="1326"/>
      <c r="O47" s="258" t="str">
        <f>IF(N47="","",IF(H47=1,VLOOKUP(N47,男子種目コード!$V$23:$W$25,2,FALSE),IF(H47=2,VLOOKUP(N47,女子種目コード!$V$23:$W$25,2,FALSE))))</f>
        <v/>
      </c>
      <c r="P47" s="540" t="str">
        <f>IF(N47="","",HLOOKUP(N47,名簿!$AH$3:$CH$118,42,FALSE))</f>
        <v/>
      </c>
      <c r="Q47" s="114">
        <f t="shared" si="0"/>
        <v>0</v>
      </c>
      <c r="R47" s="115" t="s">
        <v>486</v>
      </c>
      <c r="S47" s="116" t="str">
        <f t="shared" si="1"/>
        <v>0中学</v>
      </c>
      <c r="T47" s="124"/>
      <c r="U47" s="123"/>
      <c r="V47" s="117"/>
      <c r="W47" s="125"/>
      <c r="X47" s="126"/>
      <c r="Y47" s="120"/>
      <c r="Z47" s="127"/>
      <c r="AA47" s="126"/>
      <c r="AB47" s="122"/>
      <c r="AC47" s="98">
        <v>0</v>
      </c>
      <c r="AG47" s="40" t="str">
        <f t="shared" si="4"/>
        <v/>
      </c>
      <c r="AH47" s="376"/>
      <c r="AI47" s="376"/>
      <c r="AJ47" s="365"/>
      <c r="AK47" s="1008"/>
      <c r="AL47" s="1008"/>
      <c r="AM47" s="1008"/>
      <c r="AN47" s="1008"/>
      <c r="AO47" s="1008"/>
      <c r="AP47" s="1008"/>
      <c r="AQ47" s="1008"/>
      <c r="AR47" s="1008"/>
      <c r="AS47" s="1008"/>
      <c r="AT47" s="1008"/>
    </row>
    <row r="48" spans="2:46">
      <c r="B48" s="389">
        <f>名簿!E45</f>
        <v>0</v>
      </c>
      <c r="C48" s="390" t="str">
        <f>名簿!CM45</f>
        <v/>
      </c>
      <c r="D48" s="390" t="str">
        <f>名簿!CM45</f>
        <v/>
      </c>
      <c r="E48" s="390" t="str">
        <f>名簿!Z45</f>
        <v/>
      </c>
      <c r="F48" s="390" t="str">
        <f>名簿!P45</f>
        <v/>
      </c>
      <c r="G48" s="390" t="str">
        <f>名簿!Q45</f>
        <v/>
      </c>
      <c r="H48" s="391" t="str">
        <f>名簿!Y45</f>
        <v/>
      </c>
      <c r="I48" s="391" t="str">
        <f>名簿!CN45</f>
        <v/>
      </c>
      <c r="J48" s="900">
        <f>名簿!CP45</f>
        <v>0</v>
      </c>
      <c r="K48" s="900" t="str">
        <f>名簿!CU45</f>
        <v>00</v>
      </c>
      <c r="L48" s="900" t="str">
        <f>名簿!CU45</f>
        <v>00</v>
      </c>
      <c r="M48" s="1328">
        <f>名簿!D45</f>
        <v>0</v>
      </c>
      <c r="N48" s="1326"/>
      <c r="O48" s="258" t="str">
        <f>IF(N48="","",IF(H48=1,VLOOKUP(N48,男子種目コード!$V$23:$W$25,2,FALSE),IF(H48=2,VLOOKUP(N48,女子種目コード!$V$23:$W$25,2,FALSE))))</f>
        <v/>
      </c>
      <c r="P48" s="540" t="str">
        <f>IF(N48="","",HLOOKUP(N48,名簿!$AH$3:$CH$118,43,FALSE))</f>
        <v/>
      </c>
      <c r="Q48" s="114">
        <f t="shared" si="0"/>
        <v>0</v>
      </c>
      <c r="R48" s="115" t="s">
        <v>486</v>
      </c>
      <c r="S48" s="116" t="str">
        <f t="shared" si="1"/>
        <v>0中学</v>
      </c>
      <c r="T48" s="124"/>
      <c r="U48" s="123"/>
      <c r="V48" s="117"/>
      <c r="W48" s="125"/>
      <c r="X48" s="126"/>
      <c r="Y48" s="120"/>
      <c r="Z48" s="127"/>
      <c r="AA48" s="126"/>
      <c r="AB48" s="122"/>
      <c r="AC48" s="98">
        <v>0</v>
      </c>
      <c r="AG48" s="40" t="str">
        <f t="shared" si="4"/>
        <v/>
      </c>
      <c r="AH48" s="376"/>
      <c r="AI48" s="376"/>
      <c r="AJ48" s="365"/>
      <c r="AK48" s="1008"/>
      <c r="AL48" s="1008"/>
      <c r="AM48" s="1008"/>
      <c r="AN48" s="1008"/>
      <c r="AO48" s="1008"/>
      <c r="AP48" s="1008"/>
      <c r="AQ48" s="1008"/>
      <c r="AR48" s="1008"/>
      <c r="AS48" s="1008"/>
      <c r="AT48" s="1008"/>
    </row>
    <row r="49" spans="2:46">
      <c r="B49" s="389">
        <f>名簿!E46</f>
        <v>0</v>
      </c>
      <c r="C49" s="390" t="str">
        <f>名簿!CM46</f>
        <v/>
      </c>
      <c r="D49" s="390" t="str">
        <f>名簿!CM46</f>
        <v/>
      </c>
      <c r="E49" s="390" t="str">
        <f>名簿!Z46</f>
        <v/>
      </c>
      <c r="F49" s="390" t="str">
        <f>名簿!P46</f>
        <v/>
      </c>
      <c r="G49" s="390" t="str">
        <f>名簿!Q46</f>
        <v/>
      </c>
      <c r="H49" s="391" t="str">
        <f>名簿!Y46</f>
        <v/>
      </c>
      <c r="I49" s="391" t="str">
        <f>名簿!CN46</f>
        <v/>
      </c>
      <c r="J49" s="900">
        <f>名簿!CP46</f>
        <v>0</v>
      </c>
      <c r="K49" s="900" t="str">
        <f>名簿!CU46</f>
        <v>00</v>
      </c>
      <c r="L49" s="900" t="str">
        <f>名簿!CU46</f>
        <v>00</v>
      </c>
      <c r="M49" s="1328">
        <f>名簿!D46</f>
        <v>0</v>
      </c>
      <c r="N49" s="1326"/>
      <c r="O49" s="258" t="str">
        <f>IF(N49="","",IF(H49=1,VLOOKUP(N49,男子種目コード!$V$23:$W$25,2,FALSE),IF(H49=2,VLOOKUP(N49,女子種目コード!$V$23:$W$25,2,FALSE))))</f>
        <v/>
      </c>
      <c r="P49" s="540" t="str">
        <f>IF(N49="","",HLOOKUP(N49,名簿!$AH$3:$CH$118,44,FALSE))</f>
        <v/>
      </c>
      <c r="Q49" s="114">
        <f t="shared" si="0"/>
        <v>0</v>
      </c>
      <c r="R49" s="115" t="s">
        <v>486</v>
      </c>
      <c r="S49" s="116" t="str">
        <f t="shared" si="1"/>
        <v>0中学</v>
      </c>
      <c r="T49" s="124"/>
      <c r="U49" s="123"/>
      <c r="V49" s="117"/>
      <c r="W49" s="125"/>
      <c r="X49" s="126"/>
      <c r="Y49" s="120"/>
      <c r="Z49" s="127"/>
      <c r="AA49" s="126"/>
      <c r="AB49" s="122"/>
      <c r="AC49" s="98">
        <v>0</v>
      </c>
      <c r="AG49" s="40" t="str">
        <f t="shared" si="4"/>
        <v/>
      </c>
      <c r="AH49" s="376"/>
      <c r="AI49" s="376"/>
      <c r="AJ49" s="365"/>
      <c r="AK49" s="1008"/>
      <c r="AL49" s="1008"/>
      <c r="AM49" s="1008"/>
      <c r="AN49" s="1008"/>
      <c r="AO49" s="1008"/>
      <c r="AP49" s="1008"/>
      <c r="AQ49" s="1008"/>
      <c r="AR49" s="1008"/>
      <c r="AS49" s="1008"/>
      <c r="AT49" s="1008"/>
    </row>
    <row r="50" spans="2:46">
      <c r="B50" s="389">
        <f>名簿!E47</f>
        <v>0</v>
      </c>
      <c r="C50" s="390" t="str">
        <f>名簿!CM47</f>
        <v/>
      </c>
      <c r="D50" s="390" t="str">
        <f>名簿!CM47</f>
        <v/>
      </c>
      <c r="E50" s="390" t="str">
        <f>名簿!Z47</f>
        <v/>
      </c>
      <c r="F50" s="390" t="str">
        <f>名簿!P47</f>
        <v/>
      </c>
      <c r="G50" s="390" t="str">
        <f>名簿!Q47</f>
        <v/>
      </c>
      <c r="H50" s="391" t="str">
        <f>名簿!Y47</f>
        <v/>
      </c>
      <c r="I50" s="391" t="str">
        <f>名簿!CN47</f>
        <v/>
      </c>
      <c r="J50" s="900">
        <f>名簿!CP47</f>
        <v>0</v>
      </c>
      <c r="K50" s="900" t="str">
        <f>名簿!CU47</f>
        <v>00</v>
      </c>
      <c r="L50" s="900" t="str">
        <f>名簿!CU47</f>
        <v>00</v>
      </c>
      <c r="M50" s="1328">
        <f>名簿!D47</f>
        <v>0</v>
      </c>
      <c r="N50" s="1326"/>
      <c r="O50" s="258" t="str">
        <f>IF(N50="","",IF(H50=1,VLOOKUP(N50,男子種目コード!$V$23:$W$25,2,FALSE),IF(H50=2,VLOOKUP(N50,女子種目コード!$V$23:$W$25,2,FALSE))))</f>
        <v/>
      </c>
      <c r="P50" s="540" t="str">
        <f>IF(N50="","",HLOOKUP(N50,名簿!$AH$3:$CH$118,45,FALSE))</f>
        <v/>
      </c>
      <c r="Q50" s="114">
        <f t="shared" si="0"/>
        <v>0</v>
      </c>
      <c r="R50" s="115" t="s">
        <v>486</v>
      </c>
      <c r="S50" s="116" t="str">
        <f t="shared" si="1"/>
        <v>0中学</v>
      </c>
      <c r="T50" s="124"/>
      <c r="U50" s="123"/>
      <c r="V50" s="117"/>
      <c r="W50" s="125"/>
      <c r="X50" s="126"/>
      <c r="Y50" s="120"/>
      <c r="Z50" s="127"/>
      <c r="AA50" s="126"/>
      <c r="AB50" s="122"/>
      <c r="AC50" s="98">
        <v>0</v>
      </c>
      <c r="AG50" s="40" t="str">
        <f t="shared" si="4"/>
        <v/>
      </c>
      <c r="AH50" s="376"/>
      <c r="AI50" s="376"/>
      <c r="AJ50" s="365"/>
      <c r="AK50" s="1008"/>
      <c r="AL50" s="1008"/>
      <c r="AM50" s="1008"/>
      <c r="AN50" s="1008"/>
      <c r="AO50" s="1008"/>
      <c r="AP50" s="1008"/>
      <c r="AQ50" s="1008"/>
      <c r="AR50" s="1008"/>
      <c r="AS50" s="1008"/>
      <c r="AT50" s="1008"/>
    </row>
    <row r="51" spans="2:46">
      <c r="B51" s="389">
        <f>名簿!E48</f>
        <v>0</v>
      </c>
      <c r="C51" s="390" t="str">
        <f>名簿!CM48</f>
        <v/>
      </c>
      <c r="D51" s="390" t="str">
        <f>名簿!CM48</f>
        <v/>
      </c>
      <c r="E51" s="390" t="str">
        <f>名簿!Z48</f>
        <v/>
      </c>
      <c r="F51" s="390" t="str">
        <f>名簿!P48</f>
        <v/>
      </c>
      <c r="G51" s="390" t="str">
        <f>名簿!Q48</f>
        <v/>
      </c>
      <c r="H51" s="391" t="str">
        <f>名簿!Y48</f>
        <v/>
      </c>
      <c r="I51" s="391" t="str">
        <f>名簿!CN48</f>
        <v/>
      </c>
      <c r="J51" s="900">
        <f>名簿!CP48</f>
        <v>0</v>
      </c>
      <c r="K51" s="900" t="str">
        <f>名簿!CU48</f>
        <v>00</v>
      </c>
      <c r="L51" s="900" t="str">
        <f>名簿!CU48</f>
        <v>00</v>
      </c>
      <c r="M51" s="1328">
        <f>名簿!D48</f>
        <v>0</v>
      </c>
      <c r="N51" s="1326"/>
      <c r="O51" s="258" t="str">
        <f>IF(N51="","",IF(H51=1,VLOOKUP(N51,男子種目コード!$V$23:$W$25,2,FALSE),IF(H51=2,VLOOKUP(N51,女子種目コード!$V$23:$W$25,2,FALSE))))</f>
        <v/>
      </c>
      <c r="P51" s="540" t="str">
        <f>IF(N51="","",HLOOKUP(N51,名簿!$AH$3:$CH$118,46,FALSE))</f>
        <v/>
      </c>
      <c r="Q51" s="114">
        <f t="shared" si="0"/>
        <v>0</v>
      </c>
      <c r="R51" s="115" t="s">
        <v>486</v>
      </c>
      <c r="S51" s="116" t="str">
        <f t="shared" si="1"/>
        <v>0中学</v>
      </c>
      <c r="T51" s="124"/>
      <c r="U51" s="123"/>
      <c r="V51" s="117"/>
      <c r="W51" s="125"/>
      <c r="X51" s="126"/>
      <c r="Y51" s="120"/>
      <c r="Z51" s="127"/>
      <c r="AA51" s="126"/>
      <c r="AB51" s="122"/>
      <c r="AC51" s="98">
        <v>0</v>
      </c>
      <c r="AG51" s="40" t="str">
        <f t="shared" si="4"/>
        <v/>
      </c>
      <c r="AH51" s="376"/>
      <c r="AI51" s="376"/>
      <c r="AJ51" s="365"/>
      <c r="AK51" s="1008"/>
      <c r="AL51" s="1008"/>
      <c r="AM51" s="1008"/>
      <c r="AN51" s="1008"/>
      <c r="AO51" s="1008"/>
      <c r="AP51" s="1008"/>
      <c r="AQ51" s="1008"/>
      <c r="AR51" s="1008"/>
      <c r="AS51" s="1008"/>
      <c r="AT51" s="1008"/>
    </row>
    <row r="52" spans="2:46">
      <c r="B52" s="389">
        <f>名簿!E49</f>
        <v>0</v>
      </c>
      <c r="C52" s="390" t="str">
        <f>名簿!CM49</f>
        <v/>
      </c>
      <c r="D52" s="390" t="str">
        <f>名簿!CM49</f>
        <v/>
      </c>
      <c r="E52" s="390" t="str">
        <f>名簿!Z49</f>
        <v/>
      </c>
      <c r="F52" s="390" t="str">
        <f>名簿!P49</f>
        <v/>
      </c>
      <c r="G52" s="390" t="str">
        <f>名簿!Q49</f>
        <v/>
      </c>
      <c r="H52" s="391" t="str">
        <f>名簿!Y49</f>
        <v/>
      </c>
      <c r="I52" s="391" t="str">
        <f>名簿!CN49</f>
        <v/>
      </c>
      <c r="J52" s="900">
        <f>名簿!CP49</f>
        <v>0</v>
      </c>
      <c r="K52" s="900" t="str">
        <f>名簿!CU49</f>
        <v>00</v>
      </c>
      <c r="L52" s="900" t="str">
        <f>名簿!CU49</f>
        <v>00</v>
      </c>
      <c r="M52" s="1328">
        <f>名簿!D49</f>
        <v>0</v>
      </c>
      <c r="N52" s="1326"/>
      <c r="O52" s="258" t="str">
        <f>IF(N52="","",IF(H52=1,VLOOKUP(N52,男子種目コード!$V$23:$W$25,2,FALSE),IF(H52=2,VLOOKUP(N52,女子種目コード!$V$23:$W$25,2,FALSE))))</f>
        <v/>
      </c>
      <c r="P52" s="540" t="str">
        <f>IF(N52="","",HLOOKUP(N52,名簿!$AH$3:$CH$118,47,FALSE))</f>
        <v/>
      </c>
      <c r="Q52" s="114">
        <f t="shared" si="0"/>
        <v>0</v>
      </c>
      <c r="R52" s="115" t="s">
        <v>486</v>
      </c>
      <c r="S52" s="116" t="str">
        <f t="shared" si="1"/>
        <v>0中学</v>
      </c>
      <c r="T52" s="124"/>
      <c r="U52" s="123"/>
      <c r="V52" s="117"/>
      <c r="W52" s="125"/>
      <c r="X52" s="126"/>
      <c r="Y52" s="120"/>
      <c r="Z52" s="127"/>
      <c r="AA52" s="126"/>
      <c r="AB52" s="122"/>
      <c r="AC52" s="98">
        <v>0</v>
      </c>
      <c r="AG52" s="40" t="str">
        <f t="shared" si="4"/>
        <v/>
      </c>
      <c r="AH52" s="376"/>
      <c r="AI52" s="376"/>
      <c r="AJ52" s="365"/>
      <c r="AK52" s="1008"/>
      <c r="AL52" s="1008"/>
      <c r="AM52" s="1008"/>
      <c r="AN52" s="1008"/>
      <c r="AO52" s="1008"/>
      <c r="AP52" s="1008"/>
      <c r="AQ52" s="1008"/>
      <c r="AR52" s="1008"/>
      <c r="AS52" s="1008"/>
      <c r="AT52" s="1008"/>
    </row>
    <row r="53" spans="2:46">
      <c r="B53" s="389">
        <f>名簿!E50</f>
        <v>0</v>
      </c>
      <c r="C53" s="390" t="str">
        <f>名簿!CM50</f>
        <v/>
      </c>
      <c r="D53" s="390" t="str">
        <f>名簿!CM50</f>
        <v/>
      </c>
      <c r="E53" s="390" t="str">
        <f>名簿!Z50</f>
        <v/>
      </c>
      <c r="F53" s="390" t="str">
        <f>名簿!P50</f>
        <v/>
      </c>
      <c r="G53" s="390" t="str">
        <f>名簿!Q50</f>
        <v/>
      </c>
      <c r="H53" s="391" t="str">
        <f>名簿!Y50</f>
        <v/>
      </c>
      <c r="I53" s="391" t="str">
        <f>名簿!CN50</f>
        <v/>
      </c>
      <c r="J53" s="900">
        <f>名簿!CP50</f>
        <v>0</v>
      </c>
      <c r="K53" s="900" t="str">
        <f>名簿!CU50</f>
        <v>00</v>
      </c>
      <c r="L53" s="900" t="str">
        <f>名簿!CU50</f>
        <v>00</v>
      </c>
      <c r="M53" s="1328">
        <f>名簿!D50</f>
        <v>0</v>
      </c>
      <c r="N53" s="1326"/>
      <c r="O53" s="258" t="str">
        <f>IF(N53="","",IF(H53=1,VLOOKUP(N53,男子種目コード!$V$23:$W$25,2,FALSE),IF(H53=2,VLOOKUP(N53,女子種目コード!$V$23:$W$25,2,FALSE))))</f>
        <v/>
      </c>
      <c r="P53" s="540" t="str">
        <f>IF(N53="","",HLOOKUP(N53,名簿!$AH$3:$CH$118,48,FALSE))</f>
        <v/>
      </c>
      <c r="Q53" s="114">
        <f t="shared" si="0"/>
        <v>0</v>
      </c>
      <c r="R53" s="115" t="s">
        <v>486</v>
      </c>
      <c r="S53" s="116" t="str">
        <f t="shared" si="1"/>
        <v>0中学</v>
      </c>
      <c r="T53" s="124"/>
      <c r="U53" s="123"/>
      <c r="V53" s="117"/>
      <c r="W53" s="125"/>
      <c r="X53" s="126"/>
      <c r="Y53" s="120"/>
      <c r="Z53" s="127"/>
      <c r="AA53" s="126"/>
      <c r="AB53" s="122"/>
      <c r="AC53" s="98">
        <v>0</v>
      </c>
      <c r="AG53" s="40" t="str">
        <f t="shared" si="4"/>
        <v/>
      </c>
      <c r="AH53" s="376"/>
      <c r="AI53" s="376"/>
      <c r="AJ53" s="365"/>
      <c r="AK53" s="1008"/>
      <c r="AL53" s="1008"/>
      <c r="AM53" s="1008"/>
      <c r="AN53" s="1008"/>
      <c r="AO53" s="1008"/>
      <c r="AP53" s="1008"/>
      <c r="AQ53" s="1008"/>
      <c r="AR53" s="1008"/>
      <c r="AS53" s="1008"/>
      <c r="AT53" s="1008"/>
    </row>
    <row r="54" spans="2:46">
      <c r="B54" s="389">
        <f>名簿!E51</f>
        <v>0</v>
      </c>
      <c r="C54" s="390" t="str">
        <f>名簿!CM51</f>
        <v/>
      </c>
      <c r="D54" s="390" t="str">
        <f>名簿!CM51</f>
        <v/>
      </c>
      <c r="E54" s="390" t="str">
        <f>名簿!Z51</f>
        <v/>
      </c>
      <c r="F54" s="390" t="str">
        <f>名簿!P51</f>
        <v/>
      </c>
      <c r="G54" s="390" t="str">
        <f>名簿!Q51</f>
        <v/>
      </c>
      <c r="H54" s="391" t="str">
        <f>名簿!Y51</f>
        <v/>
      </c>
      <c r="I54" s="391" t="str">
        <f>名簿!CN51</f>
        <v/>
      </c>
      <c r="J54" s="900">
        <f>名簿!CP51</f>
        <v>0</v>
      </c>
      <c r="K54" s="900" t="str">
        <f>名簿!CU51</f>
        <v>00</v>
      </c>
      <c r="L54" s="900" t="str">
        <f>名簿!CU51</f>
        <v>00</v>
      </c>
      <c r="M54" s="1328">
        <f>名簿!D51</f>
        <v>0</v>
      </c>
      <c r="N54" s="1326"/>
      <c r="O54" s="258" t="str">
        <f>IF(N54="","",IF(H54=1,VLOOKUP(N54,男子種目コード!$V$23:$W$25,2,FALSE),IF(H54=2,VLOOKUP(N54,女子種目コード!$V$23:$W$25,2,FALSE))))</f>
        <v/>
      </c>
      <c r="P54" s="540" t="str">
        <f>IF(N54="","",HLOOKUP(N54,名簿!$AH$3:$CH$118,49,FALSE))</f>
        <v/>
      </c>
      <c r="Q54" s="114">
        <f t="shared" si="0"/>
        <v>0</v>
      </c>
      <c r="R54" s="115" t="s">
        <v>486</v>
      </c>
      <c r="S54" s="116" t="str">
        <f t="shared" si="1"/>
        <v>0中学</v>
      </c>
      <c r="T54" s="124"/>
      <c r="U54" s="123"/>
      <c r="V54" s="117"/>
      <c r="W54" s="125"/>
      <c r="X54" s="126"/>
      <c r="Y54" s="120"/>
      <c r="Z54" s="127"/>
      <c r="AA54" s="126"/>
      <c r="AB54" s="122"/>
      <c r="AC54" s="98">
        <v>0</v>
      </c>
      <c r="AG54" s="40" t="str">
        <f t="shared" si="4"/>
        <v/>
      </c>
      <c r="AH54" s="376"/>
      <c r="AI54" s="376"/>
      <c r="AJ54" s="365"/>
      <c r="AK54" s="1008"/>
      <c r="AL54" s="1008"/>
      <c r="AM54" s="1008"/>
      <c r="AN54" s="1008"/>
      <c r="AO54" s="1008"/>
      <c r="AP54" s="1008"/>
      <c r="AQ54" s="1008"/>
      <c r="AR54" s="1008"/>
      <c r="AS54" s="1008"/>
      <c r="AT54" s="1008"/>
    </row>
    <row r="55" spans="2:46">
      <c r="B55" s="389">
        <f>名簿!E52</f>
        <v>0</v>
      </c>
      <c r="C55" s="390" t="str">
        <f>名簿!CM52</f>
        <v/>
      </c>
      <c r="D55" s="390" t="str">
        <f>名簿!CM52</f>
        <v/>
      </c>
      <c r="E55" s="390" t="str">
        <f>名簿!Z52</f>
        <v/>
      </c>
      <c r="F55" s="390" t="str">
        <f>名簿!P52</f>
        <v/>
      </c>
      <c r="G55" s="390" t="str">
        <f>名簿!Q52</f>
        <v/>
      </c>
      <c r="H55" s="391" t="str">
        <f>名簿!Y52</f>
        <v/>
      </c>
      <c r="I55" s="391" t="str">
        <f>名簿!CN52</f>
        <v/>
      </c>
      <c r="J55" s="900">
        <f>名簿!CP52</f>
        <v>0</v>
      </c>
      <c r="K55" s="900" t="str">
        <f>名簿!CU52</f>
        <v>00</v>
      </c>
      <c r="L55" s="900" t="str">
        <f>名簿!CU52</f>
        <v>00</v>
      </c>
      <c r="M55" s="1328">
        <f>名簿!D52</f>
        <v>0</v>
      </c>
      <c r="N55" s="1326"/>
      <c r="O55" s="258" t="str">
        <f>IF(N55="","",IF(H55=1,VLOOKUP(N55,男子種目コード!$V$23:$W$25,2,FALSE),IF(H55=2,VLOOKUP(N55,女子種目コード!$V$23:$W$25,2,FALSE))))</f>
        <v/>
      </c>
      <c r="P55" s="540" t="str">
        <f>IF(N55="","",HLOOKUP(N55,名簿!$AH$3:$CH$118,50,FALSE))</f>
        <v/>
      </c>
      <c r="Q55" s="114">
        <f t="shared" si="0"/>
        <v>0</v>
      </c>
      <c r="R55" s="115" t="s">
        <v>486</v>
      </c>
      <c r="S55" s="116" t="str">
        <f t="shared" si="1"/>
        <v>0中学</v>
      </c>
      <c r="T55" s="124"/>
      <c r="U55" s="123"/>
      <c r="V55" s="117"/>
      <c r="W55" s="125"/>
      <c r="X55" s="126"/>
      <c r="Y55" s="120"/>
      <c r="Z55" s="127"/>
      <c r="AA55" s="126"/>
      <c r="AB55" s="122"/>
      <c r="AC55" s="98">
        <v>0</v>
      </c>
      <c r="AG55" s="40" t="str">
        <f t="shared" si="4"/>
        <v/>
      </c>
      <c r="AH55" s="376"/>
      <c r="AI55" s="376"/>
      <c r="AJ55" s="365"/>
      <c r="AK55" s="1008"/>
      <c r="AL55" s="1008"/>
      <c r="AM55" s="1008"/>
      <c r="AN55" s="1008"/>
      <c r="AO55" s="1008"/>
      <c r="AP55" s="1008"/>
      <c r="AQ55" s="1008"/>
      <c r="AR55" s="1008"/>
      <c r="AS55" s="1008"/>
      <c r="AT55" s="1008"/>
    </row>
    <row r="56" spans="2:46">
      <c r="B56" s="389">
        <f>名簿!E53</f>
        <v>0</v>
      </c>
      <c r="C56" s="390" t="str">
        <f>名簿!CM53</f>
        <v/>
      </c>
      <c r="D56" s="390" t="str">
        <f>名簿!CM53</f>
        <v/>
      </c>
      <c r="E56" s="390" t="str">
        <f>名簿!Z53</f>
        <v/>
      </c>
      <c r="F56" s="390" t="str">
        <f>名簿!P53</f>
        <v/>
      </c>
      <c r="G56" s="390" t="str">
        <f>名簿!Q53</f>
        <v/>
      </c>
      <c r="H56" s="391" t="str">
        <f>名簿!Y53</f>
        <v/>
      </c>
      <c r="I56" s="391" t="str">
        <f>名簿!CN53</f>
        <v/>
      </c>
      <c r="J56" s="900">
        <f>名簿!CP53</f>
        <v>0</v>
      </c>
      <c r="K56" s="900" t="str">
        <f>名簿!CU53</f>
        <v>00</v>
      </c>
      <c r="L56" s="900" t="str">
        <f>名簿!CU53</f>
        <v>00</v>
      </c>
      <c r="M56" s="1328">
        <f>名簿!D53</f>
        <v>0</v>
      </c>
      <c r="N56" s="1326"/>
      <c r="O56" s="258" t="str">
        <f>IF(N56="","",IF(H56=1,VLOOKUP(N56,男子種目コード!$V$23:$W$25,2,FALSE),IF(H56=2,VLOOKUP(N56,女子種目コード!$V$23:$W$25,2,FALSE))))</f>
        <v/>
      </c>
      <c r="P56" s="540" t="str">
        <f>IF(N56="","",HLOOKUP(N56,名簿!$AH$3:$CH$118,51,FALSE))</f>
        <v/>
      </c>
      <c r="Q56" s="114">
        <f t="shared" si="0"/>
        <v>0</v>
      </c>
      <c r="R56" s="115" t="s">
        <v>486</v>
      </c>
      <c r="S56" s="116" t="str">
        <f t="shared" si="1"/>
        <v>0中学</v>
      </c>
      <c r="T56" s="124"/>
      <c r="U56" s="123"/>
      <c r="V56" s="117"/>
      <c r="W56" s="125"/>
      <c r="X56" s="126"/>
      <c r="Y56" s="120"/>
      <c r="Z56" s="127"/>
      <c r="AA56" s="126"/>
      <c r="AB56" s="122"/>
      <c r="AC56" s="98">
        <v>0</v>
      </c>
      <c r="AG56" s="40" t="str">
        <f t="shared" si="4"/>
        <v/>
      </c>
      <c r="AH56" s="376"/>
      <c r="AI56" s="376"/>
      <c r="AJ56" s="365"/>
      <c r="AK56" s="1008"/>
      <c r="AL56" s="1008"/>
      <c r="AM56" s="1008"/>
      <c r="AN56" s="1008"/>
      <c r="AO56" s="1008"/>
      <c r="AP56" s="1008"/>
      <c r="AQ56" s="1008"/>
      <c r="AR56" s="1008"/>
      <c r="AS56" s="1008"/>
      <c r="AT56" s="1008"/>
    </row>
    <row r="57" spans="2:46">
      <c r="B57" s="389">
        <f>名簿!E54</f>
        <v>0</v>
      </c>
      <c r="C57" s="390" t="str">
        <f>名簿!CM54</f>
        <v/>
      </c>
      <c r="D57" s="390" t="str">
        <f>名簿!CM54</f>
        <v/>
      </c>
      <c r="E57" s="390" t="str">
        <f>名簿!Z54</f>
        <v/>
      </c>
      <c r="F57" s="390" t="str">
        <f>名簿!P54</f>
        <v/>
      </c>
      <c r="G57" s="390" t="str">
        <f>名簿!Q54</f>
        <v/>
      </c>
      <c r="H57" s="391" t="str">
        <f>名簿!Y54</f>
        <v/>
      </c>
      <c r="I57" s="391" t="str">
        <f>名簿!CN54</f>
        <v/>
      </c>
      <c r="J57" s="900">
        <f>名簿!CP54</f>
        <v>0</v>
      </c>
      <c r="K57" s="900" t="str">
        <f>名簿!CU54</f>
        <v>00</v>
      </c>
      <c r="L57" s="900" t="str">
        <f>名簿!CU54</f>
        <v>00</v>
      </c>
      <c r="M57" s="1328">
        <f>名簿!D54</f>
        <v>0</v>
      </c>
      <c r="N57" s="1326"/>
      <c r="O57" s="258" t="str">
        <f>IF(N57="","",IF(H57=1,VLOOKUP(N57,男子種目コード!$V$23:$W$25,2,FALSE),IF(H57=2,VLOOKUP(N57,女子種目コード!$V$23:$W$25,2,FALSE))))</f>
        <v/>
      </c>
      <c r="P57" s="540" t="str">
        <f>IF(N57="","",HLOOKUP(N57,名簿!$AH$3:$CH$118,52,FALSE))</f>
        <v/>
      </c>
      <c r="Q57" s="114">
        <f t="shared" si="0"/>
        <v>0</v>
      </c>
      <c r="R57" s="115" t="s">
        <v>486</v>
      </c>
      <c r="S57" s="116" t="str">
        <f t="shared" si="1"/>
        <v>0中学</v>
      </c>
      <c r="T57" s="124"/>
      <c r="U57" s="123"/>
      <c r="V57" s="117"/>
      <c r="W57" s="125"/>
      <c r="X57" s="126"/>
      <c r="Y57" s="120"/>
      <c r="Z57" s="127"/>
      <c r="AA57" s="126"/>
      <c r="AB57" s="122"/>
      <c r="AC57" s="98">
        <v>0</v>
      </c>
      <c r="AG57" s="40" t="str">
        <f t="shared" si="4"/>
        <v/>
      </c>
      <c r="AH57" s="376"/>
      <c r="AI57" s="376"/>
      <c r="AJ57" s="365"/>
      <c r="AK57" s="1008"/>
      <c r="AL57" s="1008"/>
      <c r="AM57" s="1008"/>
      <c r="AN57" s="1008"/>
      <c r="AO57" s="1008"/>
      <c r="AP57" s="1008"/>
      <c r="AQ57" s="1008"/>
      <c r="AR57" s="1008"/>
      <c r="AS57" s="1008"/>
      <c r="AT57" s="1008"/>
    </row>
    <row r="58" spans="2:46">
      <c r="B58" s="389">
        <f>名簿!E55</f>
        <v>0</v>
      </c>
      <c r="C58" s="390" t="str">
        <f>名簿!CM55</f>
        <v/>
      </c>
      <c r="D58" s="390" t="str">
        <f>名簿!CM55</f>
        <v/>
      </c>
      <c r="E58" s="390" t="str">
        <f>名簿!Z55</f>
        <v/>
      </c>
      <c r="F58" s="390" t="str">
        <f>名簿!P55</f>
        <v/>
      </c>
      <c r="G58" s="390" t="str">
        <f>名簿!Q55</f>
        <v/>
      </c>
      <c r="H58" s="391" t="str">
        <f>名簿!Y55</f>
        <v/>
      </c>
      <c r="I58" s="391" t="str">
        <f>名簿!CN55</f>
        <v/>
      </c>
      <c r="J58" s="900">
        <f>名簿!CP55</f>
        <v>0</v>
      </c>
      <c r="K58" s="900" t="str">
        <f>名簿!CU55</f>
        <v>00</v>
      </c>
      <c r="L58" s="900" t="str">
        <f>名簿!CU55</f>
        <v>00</v>
      </c>
      <c r="M58" s="1328">
        <f>名簿!D55</f>
        <v>0</v>
      </c>
      <c r="N58" s="1326"/>
      <c r="O58" s="258" t="str">
        <f>IF(N58="","",IF(H58=1,VLOOKUP(N58,男子種目コード!$V$23:$W$25,2,FALSE),IF(H58=2,VLOOKUP(N58,女子種目コード!$V$23:$W$25,2,FALSE))))</f>
        <v/>
      </c>
      <c r="P58" s="540" t="str">
        <f>IF(N58="","",HLOOKUP(N58,名簿!$AH$3:$CH$118,53,FALSE))</f>
        <v/>
      </c>
      <c r="Q58" s="114">
        <f t="shared" si="0"/>
        <v>0</v>
      </c>
      <c r="R58" s="115" t="s">
        <v>486</v>
      </c>
      <c r="S58" s="116" t="str">
        <f t="shared" si="1"/>
        <v>0中学</v>
      </c>
      <c r="T58" s="124"/>
      <c r="U58" s="123"/>
      <c r="V58" s="117"/>
      <c r="W58" s="125"/>
      <c r="X58" s="126"/>
      <c r="Y58" s="120"/>
      <c r="Z58" s="127"/>
      <c r="AA58" s="126"/>
      <c r="AB58" s="122"/>
      <c r="AC58" s="98">
        <v>0</v>
      </c>
      <c r="AG58" s="40" t="str">
        <f t="shared" si="4"/>
        <v/>
      </c>
      <c r="AH58" s="376"/>
      <c r="AI58" s="376"/>
      <c r="AJ58" s="365"/>
      <c r="AK58" s="1008"/>
      <c r="AL58" s="1008"/>
      <c r="AM58" s="1008"/>
      <c r="AN58" s="1008"/>
      <c r="AO58" s="1008"/>
      <c r="AP58" s="1008"/>
      <c r="AQ58" s="1008"/>
      <c r="AR58" s="1008"/>
      <c r="AS58" s="1008"/>
      <c r="AT58" s="1008"/>
    </row>
    <row r="59" spans="2:46">
      <c r="B59" s="389">
        <f>名簿!E56</f>
        <v>0</v>
      </c>
      <c r="C59" s="390" t="str">
        <f>名簿!CM56</f>
        <v/>
      </c>
      <c r="D59" s="390" t="str">
        <f>名簿!CM56</f>
        <v/>
      </c>
      <c r="E59" s="390" t="str">
        <f>名簿!Z56</f>
        <v/>
      </c>
      <c r="F59" s="390" t="str">
        <f>名簿!P56</f>
        <v/>
      </c>
      <c r="G59" s="390" t="str">
        <f>名簿!Q56</f>
        <v/>
      </c>
      <c r="H59" s="391" t="str">
        <f>名簿!Y56</f>
        <v/>
      </c>
      <c r="I59" s="391" t="str">
        <f>名簿!CN56</f>
        <v/>
      </c>
      <c r="J59" s="900">
        <f>名簿!CP56</f>
        <v>0</v>
      </c>
      <c r="K59" s="900" t="str">
        <f>名簿!CU56</f>
        <v>00</v>
      </c>
      <c r="L59" s="900" t="str">
        <f>名簿!CU56</f>
        <v>00</v>
      </c>
      <c r="M59" s="1328">
        <f>名簿!D56</f>
        <v>0</v>
      </c>
      <c r="N59" s="1326"/>
      <c r="O59" s="258" t="str">
        <f>IF(N59="","",IF(H59=1,VLOOKUP(N59,男子種目コード!$V$23:$W$25,2,FALSE),IF(H59=2,VLOOKUP(N59,女子種目コード!$V$23:$W$25,2,FALSE))))</f>
        <v/>
      </c>
      <c r="P59" s="540" t="str">
        <f>IF(N59="","",HLOOKUP(N59,名簿!$AH$3:$CH$118,54,FALSE))</f>
        <v/>
      </c>
      <c r="Q59" s="114">
        <f t="shared" si="0"/>
        <v>0</v>
      </c>
      <c r="R59" s="115" t="s">
        <v>486</v>
      </c>
      <c r="S59" s="116" t="str">
        <f t="shared" si="1"/>
        <v>0中学</v>
      </c>
      <c r="T59" s="124"/>
      <c r="U59" s="123"/>
      <c r="V59" s="117"/>
      <c r="W59" s="125"/>
      <c r="X59" s="126"/>
      <c r="Y59" s="120"/>
      <c r="Z59" s="127"/>
      <c r="AA59" s="126"/>
      <c r="AB59" s="122"/>
      <c r="AC59" s="98">
        <v>0</v>
      </c>
      <c r="AG59" s="40" t="str">
        <f t="shared" si="4"/>
        <v/>
      </c>
      <c r="AH59" s="376"/>
      <c r="AI59" s="376"/>
      <c r="AJ59" s="365"/>
      <c r="AK59" s="1008"/>
      <c r="AL59" s="1008"/>
      <c r="AM59" s="1008"/>
      <c r="AN59" s="1008"/>
      <c r="AO59" s="1008"/>
      <c r="AP59" s="1008"/>
      <c r="AQ59" s="1008"/>
      <c r="AR59" s="1008"/>
      <c r="AS59" s="1008"/>
      <c r="AT59" s="1008"/>
    </row>
    <row r="60" spans="2:46">
      <c r="B60" s="389">
        <f>名簿!E57</f>
        <v>0</v>
      </c>
      <c r="C60" s="390" t="str">
        <f>名簿!CM57</f>
        <v/>
      </c>
      <c r="D60" s="390" t="str">
        <f>名簿!CM57</f>
        <v/>
      </c>
      <c r="E60" s="390" t="str">
        <f>名簿!Z57</f>
        <v/>
      </c>
      <c r="F60" s="390" t="str">
        <f>名簿!P57</f>
        <v/>
      </c>
      <c r="G60" s="390" t="str">
        <f>名簿!Q57</f>
        <v/>
      </c>
      <c r="H60" s="391" t="str">
        <f>名簿!Y57</f>
        <v/>
      </c>
      <c r="I60" s="391" t="str">
        <f>名簿!CN57</f>
        <v/>
      </c>
      <c r="J60" s="900">
        <f>名簿!CP57</f>
        <v>0</v>
      </c>
      <c r="K60" s="900" t="str">
        <f>名簿!CU57</f>
        <v>00</v>
      </c>
      <c r="L60" s="900" t="str">
        <f>名簿!CU57</f>
        <v>00</v>
      </c>
      <c r="M60" s="1328">
        <f>名簿!D57</f>
        <v>0</v>
      </c>
      <c r="N60" s="1326"/>
      <c r="O60" s="258" t="str">
        <f>IF(N60="","",IF(H60=1,VLOOKUP(N60,男子種目コード!$V$23:$W$25,2,FALSE),IF(H60=2,VLOOKUP(N60,女子種目コード!$V$23:$W$25,2,FALSE))))</f>
        <v/>
      </c>
      <c r="P60" s="540" t="str">
        <f>IF(N60="","",HLOOKUP(N60,名簿!$AH$3:$CH$118,55,FALSE))</f>
        <v/>
      </c>
      <c r="Q60" s="114">
        <f t="shared" si="0"/>
        <v>0</v>
      </c>
      <c r="R60" s="115" t="s">
        <v>486</v>
      </c>
      <c r="S60" s="116" t="str">
        <f t="shared" si="1"/>
        <v>0中学</v>
      </c>
      <c r="T60" s="124"/>
      <c r="U60" s="123"/>
      <c r="V60" s="117"/>
      <c r="W60" s="125"/>
      <c r="X60" s="126"/>
      <c r="Y60" s="120"/>
      <c r="Z60" s="127"/>
      <c r="AA60" s="126"/>
      <c r="AB60" s="122"/>
      <c r="AC60" s="98">
        <v>0</v>
      </c>
      <c r="AG60" s="40" t="str">
        <f t="shared" si="4"/>
        <v/>
      </c>
      <c r="AH60" s="376"/>
      <c r="AI60" s="376"/>
      <c r="AJ60" s="365"/>
      <c r="AK60" s="1008"/>
      <c r="AL60" s="1008"/>
      <c r="AM60" s="1008"/>
      <c r="AN60" s="1008"/>
      <c r="AO60" s="1008"/>
      <c r="AP60" s="1008"/>
      <c r="AQ60" s="1008"/>
      <c r="AR60" s="1008"/>
      <c r="AS60" s="1008"/>
      <c r="AT60" s="1008"/>
    </row>
    <row r="61" spans="2:46">
      <c r="B61" s="389">
        <f>名簿!E58</f>
        <v>0</v>
      </c>
      <c r="C61" s="390" t="str">
        <f>名簿!CM58</f>
        <v/>
      </c>
      <c r="D61" s="390" t="str">
        <f>名簿!CM58</f>
        <v/>
      </c>
      <c r="E61" s="390" t="str">
        <f>名簿!Z58</f>
        <v/>
      </c>
      <c r="F61" s="390" t="str">
        <f>名簿!P58</f>
        <v/>
      </c>
      <c r="G61" s="390" t="str">
        <f>名簿!Q58</f>
        <v/>
      </c>
      <c r="H61" s="391" t="str">
        <f>名簿!Y58</f>
        <v/>
      </c>
      <c r="I61" s="391" t="str">
        <f>名簿!CN58</f>
        <v/>
      </c>
      <c r="J61" s="900">
        <f>名簿!CP58</f>
        <v>0</v>
      </c>
      <c r="K61" s="900" t="str">
        <f>名簿!CU58</f>
        <v>00</v>
      </c>
      <c r="L61" s="900" t="str">
        <f>名簿!CU58</f>
        <v>00</v>
      </c>
      <c r="M61" s="1328">
        <f>名簿!D58</f>
        <v>0</v>
      </c>
      <c r="N61" s="1326"/>
      <c r="O61" s="258" t="str">
        <f>IF(N61="","",IF(H61=1,VLOOKUP(N61,男子種目コード!$V$23:$W$25,2,FALSE),IF(H61=2,VLOOKUP(N61,女子種目コード!$V$23:$W$25,2,FALSE))))</f>
        <v/>
      </c>
      <c r="P61" s="540" t="str">
        <f>IF(N61="","",HLOOKUP(N61,名簿!$AH$3:$CH$118,56,FALSE))</f>
        <v/>
      </c>
      <c r="Q61" s="114">
        <f t="shared" si="0"/>
        <v>0</v>
      </c>
      <c r="R61" s="115" t="s">
        <v>486</v>
      </c>
      <c r="S61" s="116" t="str">
        <f t="shared" si="1"/>
        <v>0中学</v>
      </c>
      <c r="T61" s="124"/>
      <c r="U61" s="123"/>
      <c r="V61" s="117"/>
      <c r="W61" s="125"/>
      <c r="X61" s="126"/>
      <c r="Y61" s="120"/>
      <c r="Z61" s="127"/>
      <c r="AA61" s="126"/>
      <c r="AB61" s="122"/>
      <c r="AC61" s="98">
        <v>0</v>
      </c>
      <c r="AG61" s="40" t="str">
        <f t="shared" si="4"/>
        <v/>
      </c>
      <c r="AH61" s="376"/>
      <c r="AI61" s="376"/>
      <c r="AJ61" s="365"/>
      <c r="AK61" s="1008"/>
      <c r="AL61" s="1008"/>
      <c r="AM61" s="1008"/>
      <c r="AN61" s="1008"/>
      <c r="AO61" s="1008"/>
      <c r="AP61" s="1008"/>
      <c r="AQ61" s="1008"/>
      <c r="AR61" s="1008"/>
      <c r="AS61" s="1008"/>
      <c r="AT61" s="1008"/>
    </row>
    <row r="62" spans="2:46">
      <c r="B62" s="389">
        <f>名簿!E59</f>
        <v>0</v>
      </c>
      <c r="C62" s="390" t="str">
        <f>名簿!CM59</f>
        <v/>
      </c>
      <c r="D62" s="390" t="str">
        <f>名簿!CM59</f>
        <v/>
      </c>
      <c r="E62" s="390" t="str">
        <f>名簿!Z59</f>
        <v/>
      </c>
      <c r="F62" s="390" t="str">
        <f>名簿!P59</f>
        <v/>
      </c>
      <c r="G62" s="390" t="str">
        <f>名簿!Q59</f>
        <v/>
      </c>
      <c r="H62" s="391" t="str">
        <f>名簿!Y59</f>
        <v/>
      </c>
      <c r="I62" s="391" t="str">
        <f>名簿!CN59</f>
        <v/>
      </c>
      <c r="J62" s="900">
        <f>名簿!CP59</f>
        <v>0</v>
      </c>
      <c r="K62" s="900" t="str">
        <f>名簿!CU59</f>
        <v>00</v>
      </c>
      <c r="L62" s="900" t="str">
        <f>名簿!CU59</f>
        <v>00</v>
      </c>
      <c r="M62" s="1328">
        <f>名簿!D59</f>
        <v>0</v>
      </c>
      <c r="N62" s="1326"/>
      <c r="O62" s="258" t="str">
        <f>IF(N62="","",IF(H62=1,VLOOKUP(N62,男子種目コード!$V$23:$W$25,2,FALSE),IF(H62=2,VLOOKUP(N62,女子種目コード!$V$23:$W$25,2,FALSE))))</f>
        <v/>
      </c>
      <c r="P62" s="540" t="str">
        <f>IF(N62="","",HLOOKUP(N62,名簿!$AH$3:$CH$118,57,FALSE))</f>
        <v/>
      </c>
      <c r="Q62" s="114">
        <f t="shared" si="0"/>
        <v>0</v>
      </c>
      <c r="R62" s="115" t="s">
        <v>486</v>
      </c>
      <c r="S62" s="116" t="str">
        <f t="shared" si="1"/>
        <v>0中学</v>
      </c>
      <c r="T62" s="124"/>
      <c r="U62" s="123"/>
      <c r="V62" s="117"/>
      <c r="W62" s="125"/>
      <c r="X62" s="126"/>
      <c r="Y62" s="120"/>
      <c r="Z62" s="127"/>
      <c r="AA62" s="126"/>
      <c r="AB62" s="122"/>
      <c r="AC62" s="98">
        <v>0</v>
      </c>
      <c r="AG62" s="40" t="str">
        <f t="shared" si="4"/>
        <v/>
      </c>
      <c r="AH62" s="376"/>
      <c r="AI62" s="376"/>
      <c r="AJ62" s="365"/>
      <c r="AK62" s="1008"/>
      <c r="AL62" s="1008"/>
      <c r="AM62" s="1008"/>
      <c r="AN62" s="1008"/>
      <c r="AO62" s="1008"/>
      <c r="AP62" s="1008"/>
      <c r="AQ62" s="1008"/>
      <c r="AR62" s="1008"/>
      <c r="AS62" s="1008"/>
      <c r="AT62" s="1008"/>
    </row>
    <row r="63" spans="2:46">
      <c r="B63" s="389">
        <f>名簿!E60</f>
        <v>0</v>
      </c>
      <c r="C63" s="390" t="str">
        <f>名簿!CM60</f>
        <v/>
      </c>
      <c r="D63" s="390" t="str">
        <f>名簿!CM60</f>
        <v/>
      </c>
      <c r="E63" s="390" t="str">
        <f>名簿!Z60</f>
        <v/>
      </c>
      <c r="F63" s="390" t="str">
        <f>名簿!P60</f>
        <v/>
      </c>
      <c r="G63" s="390" t="str">
        <f>名簿!Q60</f>
        <v/>
      </c>
      <c r="H63" s="391" t="str">
        <f>名簿!Y60</f>
        <v/>
      </c>
      <c r="I63" s="391" t="str">
        <f>名簿!CN60</f>
        <v/>
      </c>
      <c r="J63" s="900">
        <f>名簿!CP60</f>
        <v>0</v>
      </c>
      <c r="K63" s="900" t="str">
        <f>名簿!CU60</f>
        <v>00</v>
      </c>
      <c r="L63" s="900" t="str">
        <f>名簿!CU60</f>
        <v>00</v>
      </c>
      <c r="M63" s="1328">
        <f>名簿!D60</f>
        <v>0</v>
      </c>
      <c r="N63" s="1326"/>
      <c r="O63" s="258" t="str">
        <f>IF(N63="","",IF(H63=1,VLOOKUP(N63,男子種目コード!$V$23:$W$25,2,FALSE),IF(H63=2,VLOOKUP(N63,女子種目コード!$V$23:$W$25,2,FALSE))))</f>
        <v/>
      </c>
      <c r="P63" s="540" t="str">
        <f>IF(N63="","",HLOOKUP(N63,名簿!$AH$3:$CH$118,58,FALSE))</f>
        <v/>
      </c>
      <c r="Q63" s="114">
        <f t="shared" si="0"/>
        <v>0</v>
      </c>
      <c r="R63" s="115" t="s">
        <v>486</v>
      </c>
      <c r="S63" s="116" t="str">
        <f t="shared" si="1"/>
        <v>0中学</v>
      </c>
      <c r="T63" s="124"/>
      <c r="U63" s="123"/>
      <c r="V63" s="117"/>
      <c r="W63" s="125"/>
      <c r="X63" s="126"/>
      <c r="Y63" s="120"/>
      <c r="Z63" s="127"/>
      <c r="AA63" s="126"/>
      <c r="AB63" s="122"/>
      <c r="AC63" s="98">
        <v>0</v>
      </c>
      <c r="AG63" s="40" t="str">
        <f t="shared" si="4"/>
        <v/>
      </c>
      <c r="AH63" s="376"/>
      <c r="AI63" s="376"/>
      <c r="AJ63" s="365"/>
      <c r="AK63" s="1008"/>
      <c r="AL63" s="1008"/>
      <c r="AM63" s="1008"/>
      <c r="AN63" s="1008"/>
      <c r="AO63" s="1008"/>
      <c r="AP63" s="1008"/>
      <c r="AQ63" s="1008"/>
      <c r="AR63" s="1008"/>
      <c r="AS63" s="1008"/>
      <c r="AT63" s="1008"/>
    </row>
    <row r="64" spans="2:46">
      <c r="B64" s="389">
        <f>名簿!E61</f>
        <v>0</v>
      </c>
      <c r="C64" s="390" t="str">
        <f>名簿!CM61</f>
        <v/>
      </c>
      <c r="D64" s="390" t="str">
        <f>名簿!CM61</f>
        <v/>
      </c>
      <c r="E64" s="390" t="str">
        <f>名簿!Z61</f>
        <v/>
      </c>
      <c r="F64" s="390" t="str">
        <f>名簿!P61</f>
        <v/>
      </c>
      <c r="G64" s="390" t="str">
        <f>名簿!Q61</f>
        <v/>
      </c>
      <c r="H64" s="391" t="str">
        <f>名簿!Y61</f>
        <v/>
      </c>
      <c r="I64" s="391" t="str">
        <f>名簿!CN61</f>
        <v/>
      </c>
      <c r="J64" s="900">
        <f>名簿!CP61</f>
        <v>0</v>
      </c>
      <c r="K64" s="900" t="str">
        <f>名簿!CU61</f>
        <v>00</v>
      </c>
      <c r="L64" s="900" t="str">
        <f>名簿!CU61</f>
        <v>00</v>
      </c>
      <c r="M64" s="1328">
        <f>名簿!D61</f>
        <v>0</v>
      </c>
      <c r="N64" s="1326"/>
      <c r="O64" s="258" t="str">
        <f>IF(N64="","",IF(H64=1,VLOOKUP(N64,男子種目コード!$V$23:$W$25,2,FALSE),IF(H64=2,VLOOKUP(N64,女子種目コード!$V$23:$W$25,2,FALSE))))</f>
        <v/>
      </c>
      <c r="P64" s="540" t="str">
        <f>IF(N64="","",HLOOKUP(N64,名簿!$AH$3:$CH$118,59,FALSE))</f>
        <v/>
      </c>
      <c r="Q64" s="114">
        <f t="shared" si="0"/>
        <v>0</v>
      </c>
      <c r="R64" s="115" t="s">
        <v>486</v>
      </c>
      <c r="S64" s="116" t="str">
        <f t="shared" si="1"/>
        <v>0中学</v>
      </c>
      <c r="T64" s="124"/>
      <c r="U64" s="123"/>
      <c r="V64" s="117"/>
      <c r="W64" s="125"/>
      <c r="X64" s="126"/>
      <c r="Y64" s="120"/>
      <c r="Z64" s="127"/>
      <c r="AA64" s="126"/>
      <c r="AB64" s="122"/>
      <c r="AC64" s="98">
        <v>0</v>
      </c>
      <c r="AG64" s="40" t="str">
        <f t="shared" si="4"/>
        <v/>
      </c>
      <c r="AH64" s="376"/>
      <c r="AI64" s="376"/>
      <c r="AJ64" s="365"/>
      <c r="AK64" s="1008"/>
      <c r="AL64" s="1008"/>
      <c r="AM64" s="1008"/>
      <c r="AN64" s="1008"/>
      <c r="AO64" s="1008"/>
      <c r="AP64" s="1008"/>
      <c r="AQ64" s="1008"/>
      <c r="AR64" s="1008"/>
      <c r="AS64" s="1008"/>
      <c r="AT64" s="1008"/>
    </row>
    <row r="65" spans="2:46">
      <c r="B65" s="389">
        <f>名簿!E62</f>
        <v>0</v>
      </c>
      <c r="C65" s="390" t="str">
        <f>名簿!CM62</f>
        <v/>
      </c>
      <c r="D65" s="390" t="str">
        <f>名簿!CM62</f>
        <v/>
      </c>
      <c r="E65" s="390" t="str">
        <f>名簿!Z62</f>
        <v/>
      </c>
      <c r="F65" s="390" t="str">
        <f>名簿!P62</f>
        <v/>
      </c>
      <c r="G65" s="390" t="str">
        <f>名簿!Q62</f>
        <v/>
      </c>
      <c r="H65" s="391" t="str">
        <f>名簿!Y62</f>
        <v/>
      </c>
      <c r="I65" s="391" t="str">
        <f>名簿!CN62</f>
        <v/>
      </c>
      <c r="J65" s="900">
        <f>名簿!CP62</f>
        <v>0</v>
      </c>
      <c r="K65" s="900" t="str">
        <f>名簿!CU62</f>
        <v>00</v>
      </c>
      <c r="L65" s="900" t="str">
        <f>名簿!CU62</f>
        <v>00</v>
      </c>
      <c r="M65" s="1328">
        <f>名簿!D62</f>
        <v>0</v>
      </c>
      <c r="N65" s="1326"/>
      <c r="O65" s="258" t="str">
        <f>IF(N65="","",IF(H65=1,VLOOKUP(N65,男子種目コード!$V$23:$W$25,2,FALSE),IF(H65=2,VLOOKUP(N65,女子種目コード!$V$23:$W$25,2,FALSE))))</f>
        <v/>
      </c>
      <c r="P65" s="540" t="str">
        <f>IF(N65="","",HLOOKUP(N65,名簿!$AH$3:$CH$118,60,FALSE))</f>
        <v/>
      </c>
      <c r="Q65" s="114">
        <f t="shared" si="0"/>
        <v>0</v>
      </c>
      <c r="R65" s="115" t="s">
        <v>486</v>
      </c>
      <c r="S65" s="116" t="str">
        <f t="shared" si="1"/>
        <v>0中学</v>
      </c>
      <c r="T65" s="124"/>
      <c r="U65" s="123"/>
      <c r="V65" s="117"/>
      <c r="W65" s="125"/>
      <c r="X65" s="126"/>
      <c r="Y65" s="120"/>
      <c r="Z65" s="127"/>
      <c r="AA65" s="126"/>
      <c r="AB65" s="122"/>
      <c r="AC65" s="98">
        <v>0</v>
      </c>
      <c r="AG65" s="40" t="str">
        <f t="shared" si="4"/>
        <v/>
      </c>
      <c r="AH65" s="376"/>
      <c r="AI65" s="376"/>
      <c r="AJ65" s="365"/>
      <c r="AK65" s="1008"/>
      <c r="AL65" s="1008"/>
      <c r="AM65" s="1008"/>
      <c r="AN65" s="1008"/>
      <c r="AO65" s="1008"/>
      <c r="AP65" s="1008"/>
      <c r="AQ65" s="1008"/>
      <c r="AR65" s="1008"/>
      <c r="AS65" s="1008"/>
      <c r="AT65" s="1008"/>
    </row>
    <row r="66" spans="2:46">
      <c r="B66" s="389">
        <f>名簿!E63</f>
        <v>0</v>
      </c>
      <c r="C66" s="390" t="str">
        <f>名簿!CM63</f>
        <v/>
      </c>
      <c r="D66" s="390" t="str">
        <f>名簿!CM63</f>
        <v/>
      </c>
      <c r="E66" s="390" t="str">
        <f>名簿!Z63</f>
        <v/>
      </c>
      <c r="F66" s="390" t="str">
        <f>名簿!P63</f>
        <v/>
      </c>
      <c r="G66" s="390" t="str">
        <f>名簿!Q63</f>
        <v/>
      </c>
      <c r="H66" s="391" t="str">
        <f>名簿!Y63</f>
        <v/>
      </c>
      <c r="I66" s="391" t="str">
        <f>名簿!CN63</f>
        <v/>
      </c>
      <c r="J66" s="900">
        <f>名簿!CP63</f>
        <v>0</v>
      </c>
      <c r="K66" s="900" t="str">
        <f>名簿!CU63</f>
        <v>00</v>
      </c>
      <c r="L66" s="900" t="str">
        <f>名簿!CU63</f>
        <v>00</v>
      </c>
      <c r="M66" s="1328">
        <f>名簿!D63</f>
        <v>0</v>
      </c>
      <c r="N66" s="1326"/>
      <c r="O66" s="258" t="str">
        <f>IF(N66="","",IF(H66=1,VLOOKUP(N66,男子種目コード!$V$23:$W$25,2,FALSE),IF(H66=2,VLOOKUP(N66,女子種目コード!$V$23:$W$25,2,FALSE))))</f>
        <v/>
      </c>
      <c r="P66" s="540" t="str">
        <f>IF(N66="","",HLOOKUP(N66,名簿!$AH$3:$CH$118,61,FALSE))</f>
        <v/>
      </c>
      <c r="Q66" s="114">
        <f t="shared" si="0"/>
        <v>0</v>
      </c>
      <c r="R66" s="115" t="s">
        <v>486</v>
      </c>
      <c r="S66" s="116" t="str">
        <f t="shared" si="1"/>
        <v>0中学</v>
      </c>
      <c r="T66" s="124"/>
      <c r="U66" s="123"/>
      <c r="V66" s="117"/>
      <c r="W66" s="125"/>
      <c r="X66" s="126"/>
      <c r="Y66" s="120"/>
      <c r="Z66" s="127"/>
      <c r="AA66" s="126"/>
      <c r="AB66" s="122"/>
      <c r="AC66" s="98">
        <v>0</v>
      </c>
      <c r="AG66" s="40" t="str">
        <f t="shared" si="4"/>
        <v/>
      </c>
      <c r="AH66" s="376"/>
      <c r="AI66" s="376"/>
      <c r="AJ66" s="365"/>
      <c r="AK66" s="1008"/>
      <c r="AL66" s="1008"/>
      <c r="AM66" s="1008"/>
      <c r="AN66" s="1008"/>
      <c r="AO66" s="1008"/>
      <c r="AP66" s="1008"/>
      <c r="AQ66" s="1008"/>
      <c r="AR66" s="1008"/>
      <c r="AS66" s="1008"/>
      <c r="AT66" s="1008"/>
    </row>
    <row r="67" spans="2:46">
      <c r="B67" s="389">
        <f>名簿!E64</f>
        <v>0</v>
      </c>
      <c r="C67" s="390" t="str">
        <f>名簿!CM64</f>
        <v/>
      </c>
      <c r="D67" s="390" t="str">
        <f>名簿!CM64</f>
        <v/>
      </c>
      <c r="E67" s="390" t="str">
        <f>名簿!Z64</f>
        <v/>
      </c>
      <c r="F67" s="390" t="str">
        <f>名簿!P64</f>
        <v/>
      </c>
      <c r="G67" s="390" t="str">
        <f>名簿!Q64</f>
        <v/>
      </c>
      <c r="H67" s="391" t="str">
        <f>名簿!Y64</f>
        <v/>
      </c>
      <c r="I67" s="391" t="str">
        <f>名簿!CN64</f>
        <v/>
      </c>
      <c r="J67" s="900">
        <f>名簿!CP64</f>
        <v>0</v>
      </c>
      <c r="K67" s="900" t="str">
        <f>名簿!CU64</f>
        <v>00</v>
      </c>
      <c r="L67" s="900" t="str">
        <f>名簿!CU64</f>
        <v>00</v>
      </c>
      <c r="M67" s="1328">
        <f>名簿!D64</f>
        <v>0</v>
      </c>
      <c r="N67" s="1326"/>
      <c r="O67" s="258" t="str">
        <f>IF(N67="","",IF(H67=1,VLOOKUP(N67,男子種目コード!$V$23:$W$25,2,FALSE),IF(H67=2,VLOOKUP(N67,女子種目コード!$V$23:$W$25,2,FALSE))))</f>
        <v/>
      </c>
      <c r="P67" s="540" t="str">
        <f>IF(N67="","",HLOOKUP(N67,名簿!$AH$3:$CH$118,62,FALSE))</f>
        <v/>
      </c>
      <c r="Q67" s="114">
        <f t="shared" si="0"/>
        <v>0</v>
      </c>
      <c r="R67" s="115" t="s">
        <v>486</v>
      </c>
      <c r="S67" s="116" t="str">
        <f t="shared" si="1"/>
        <v>0中学</v>
      </c>
      <c r="T67" s="124"/>
      <c r="U67" s="123"/>
      <c r="V67" s="117"/>
      <c r="W67" s="125"/>
      <c r="X67" s="126"/>
      <c r="Y67" s="120"/>
      <c r="Z67" s="127"/>
      <c r="AA67" s="126"/>
      <c r="AB67" s="122"/>
      <c r="AC67" s="98">
        <v>0</v>
      </c>
      <c r="AG67" s="40" t="str">
        <f t="shared" si="4"/>
        <v/>
      </c>
      <c r="AH67" s="376"/>
      <c r="AI67" s="376"/>
      <c r="AJ67" s="365"/>
      <c r="AK67" s="1008"/>
      <c r="AL67" s="1008"/>
      <c r="AM67" s="1008"/>
      <c r="AN67" s="1008"/>
      <c r="AO67" s="1008"/>
      <c r="AP67" s="1008"/>
      <c r="AQ67" s="1008"/>
      <c r="AR67" s="1008"/>
      <c r="AS67" s="1008"/>
      <c r="AT67" s="1008"/>
    </row>
    <row r="68" spans="2:46">
      <c r="B68" s="389">
        <f>名簿!E65</f>
        <v>0</v>
      </c>
      <c r="C68" s="390" t="str">
        <f>名簿!CM65</f>
        <v/>
      </c>
      <c r="D68" s="390" t="str">
        <f>名簿!CM65</f>
        <v/>
      </c>
      <c r="E68" s="390" t="str">
        <f>名簿!Z65</f>
        <v/>
      </c>
      <c r="F68" s="390" t="str">
        <f>名簿!P65</f>
        <v/>
      </c>
      <c r="G68" s="390" t="str">
        <f>名簿!Q65</f>
        <v/>
      </c>
      <c r="H68" s="391" t="str">
        <f>名簿!Y65</f>
        <v/>
      </c>
      <c r="I68" s="391" t="str">
        <f>名簿!CN65</f>
        <v/>
      </c>
      <c r="J68" s="900">
        <f>名簿!CP65</f>
        <v>0</v>
      </c>
      <c r="K68" s="900" t="str">
        <f>名簿!CU65</f>
        <v>00</v>
      </c>
      <c r="L68" s="900" t="str">
        <f>名簿!CU65</f>
        <v>00</v>
      </c>
      <c r="M68" s="1328">
        <f>名簿!D65</f>
        <v>0</v>
      </c>
      <c r="N68" s="1326"/>
      <c r="O68" s="258" t="str">
        <f>IF(N68="","",IF(H68=1,VLOOKUP(N68,男子種目コード!$V$23:$W$25,2,FALSE),IF(H68=2,VLOOKUP(N68,女子種目コード!$V$23:$W$25,2,FALSE))))</f>
        <v/>
      </c>
      <c r="P68" s="540" t="str">
        <f>IF(N68="","",HLOOKUP(N68,名簿!$AH$3:$CH$118,63,FALSE))</f>
        <v/>
      </c>
      <c r="Q68" s="114">
        <f t="shared" si="0"/>
        <v>0</v>
      </c>
      <c r="R68" s="115" t="s">
        <v>486</v>
      </c>
      <c r="S68" s="116" t="str">
        <f t="shared" si="1"/>
        <v>0中学</v>
      </c>
      <c r="T68" s="124"/>
      <c r="U68" s="123"/>
      <c r="V68" s="117"/>
      <c r="W68" s="125"/>
      <c r="X68" s="126"/>
      <c r="Y68" s="120"/>
      <c r="Z68" s="127"/>
      <c r="AA68" s="126"/>
      <c r="AB68" s="122"/>
      <c r="AC68" s="98">
        <v>0</v>
      </c>
      <c r="AG68" s="40" t="str">
        <f t="shared" si="4"/>
        <v/>
      </c>
      <c r="AH68" s="376"/>
      <c r="AI68" s="376"/>
      <c r="AJ68" s="365"/>
      <c r="AK68" s="1008"/>
      <c r="AL68" s="1008"/>
      <c r="AM68" s="1008"/>
      <c r="AN68" s="1008"/>
      <c r="AO68" s="1008"/>
      <c r="AP68" s="1008"/>
      <c r="AQ68" s="1008"/>
      <c r="AR68" s="1008"/>
      <c r="AS68" s="1008"/>
      <c r="AT68" s="1008"/>
    </row>
    <row r="69" spans="2:46">
      <c r="B69" s="389">
        <f>名簿!E66</f>
        <v>0</v>
      </c>
      <c r="C69" s="390" t="str">
        <f>名簿!CM66</f>
        <v/>
      </c>
      <c r="D69" s="390" t="str">
        <f>名簿!CM66</f>
        <v/>
      </c>
      <c r="E69" s="390" t="str">
        <f>名簿!Z66</f>
        <v/>
      </c>
      <c r="F69" s="390" t="str">
        <f>名簿!P66</f>
        <v/>
      </c>
      <c r="G69" s="390" t="str">
        <f>名簿!Q66</f>
        <v/>
      </c>
      <c r="H69" s="391" t="str">
        <f>名簿!Y66</f>
        <v/>
      </c>
      <c r="I69" s="391" t="str">
        <f>名簿!CN66</f>
        <v/>
      </c>
      <c r="J69" s="900">
        <f>名簿!CP66</f>
        <v>0</v>
      </c>
      <c r="K69" s="900" t="str">
        <f>名簿!CU66</f>
        <v>00</v>
      </c>
      <c r="L69" s="900" t="str">
        <f>名簿!CU66</f>
        <v>00</v>
      </c>
      <c r="M69" s="1328">
        <f>名簿!D66</f>
        <v>0</v>
      </c>
      <c r="N69" s="1326"/>
      <c r="O69" s="258" t="str">
        <f>IF(N69="","",IF(H69=1,VLOOKUP(N69,男子種目コード!$V$23:$W$25,2,FALSE),IF(H69=2,VLOOKUP(N69,女子種目コード!$V$23:$W$25,2,FALSE))))</f>
        <v/>
      </c>
      <c r="P69" s="540" t="str">
        <f>IF(N69="","",HLOOKUP(N69,名簿!$AH$3:$CH$118,64,FALSE))</f>
        <v/>
      </c>
      <c r="Q69" s="114">
        <f t="shared" si="0"/>
        <v>0</v>
      </c>
      <c r="R69" s="115" t="s">
        <v>486</v>
      </c>
      <c r="S69" s="116" t="str">
        <f t="shared" si="1"/>
        <v>0中学</v>
      </c>
      <c r="T69" s="124"/>
      <c r="U69" s="123"/>
      <c r="V69" s="117"/>
      <c r="W69" s="125"/>
      <c r="X69" s="126"/>
      <c r="Y69" s="120"/>
      <c r="Z69" s="127"/>
      <c r="AA69" s="126"/>
      <c r="AB69" s="122"/>
      <c r="AC69" s="98">
        <v>0</v>
      </c>
      <c r="AG69" s="40" t="str">
        <f t="shared" si="4"/>
        <v/>
      </c>
      <c r="AH69" s="376"/>
      <c r="AI69" s="376"/>
      <c r="AJ69" s="365"/>
      <c r="AK69" s="1008"/>
      <c r="AL69" s="1008"/>
      <c r="AM69" s="1008"/>
      <c r="AN69" s="1008"/>
      <c r="AO69" s="1008"/>
      <c r="AP69" s="1008"/>
      <c r="AQ69" s="1008"/>
      <c r="AR69" s="1008"/>
      <c r="AS69" s="1008"/>
      <c r="AT69" s="1008"/>
    </row>
    <row r="70" spans="2:46">
      <c r="B70" s="389">
        <f>名簿!E67</f>
        <v>0</v>
      </c>
      <c r="C70" s="390" t="str">
        <f>名簿!CM67</f>
        <v/>
      </c>
      <c r="D70" s="390" t="str">
        <f>名簿!CM67</f>
        <v/>
      </c>
      <c r="E70" s="390" t="str">
        <f>名簿!Z67</f>
        <v/>
      </c>
      <c r="F70" s="390" t="str">
        <f>名簿!P67</f>
        <v/>
      </c>
      <c r="G70" s="390" t="str">
        <f>名簿!Q67</f>
        <v/>
      </c>
      <c r="H70" s="391" t="str">
        <f>名簿!Y67</f>
        <v/>
      </c>
      <c r="I70" s="391" t="str">
        <f>名簿!CN67</f>
        <v/>
      </c>
      <c r="J70" s="900">
        <f>名簿!CP67</f>
        <v>0</v>
      </c>
      <c r="K70" s="900" t="str">
        <f>名簿!CU67</f>
        <v>00</v>
      </c>
      <c r="L70" s="900" t="str">
        <f>名簿!CU67</f>
        <v>00</v>
      </c>
      <c r="M70" s="1328">
        <f>名簿!D67</f>
        <v>0</v>
      </c>
      <c r="N70" s="1326"/>
      <c r="O70" s="258" t="str">
        <f>IF(N70="","",IF(H70=1,VLOOKUP(N70,男子種目コード!$V$23:$W$25,2,FALSE),IF(H70=2,VLOOKUP(N70,女子種目コード!$V$23:$W$25,2,FALSE))))</f>
        <v/>
      </c>
      <c r="P70" s="540" t="str">
        <f>IF(N70="","",HLOOKUP(N70,名簿!$AH$3:$CH$118,65,FALSE))</f>
        <v/>
      </c>
      <c r="Q70" s="114">
        <f t="shared" si="0"/>
        <v>0</v>
      </c>
      <c r="R70" s="115" t="s">
        <v>486</v>
      </c>
      <c r="S70" s="116" t="str">
        <f t="shared" si="1"/>
        <v>0中学</v>
      </c>
      <c r="T70" s="124"/>
      <c r="U70" s="123"/>
      <c r="V70" s="117"/>
      <c r="W70" s="125"/>
      <c r="X70" s="126"/>
      <c r="Y70" s="120"/>
      <c r="Z70" s="127"/>
      <c r="AA70" s="126"/>
      <c r="AB70" s="122"/>
      <c r="AC70" s="98">
        <v>0</v>
      </c>
      <c r="AG70" s="40" t="str">
        <f t="shared" si="4"/>
        <v/>
      </c>
      <c r="AH70" s="376"/>
      <c r="AI70" s="376"/>
      <c r="AJ70" s="365"/>
      <c r="AK70" s="1008"/>
      <c r="AL70" s="1008"/>
      <c r="AM70" s="1008"/>
      <c r="AN70" s="1008"/>
      <c r="AO70" s="1008"/>
      <c r="AP70" s="1008"/>
      <c r="AQ70" s="1008"/>
      <c r="AR70" s="1008"/>
      <c r="AS70" s="1008"/>
      <c r="AT70" s="1008"/>
    </row>
    <row r="71" spans="2:46">
      <c r="B71" s="389">
        <f>名簿!E68</f>
        <v>0</v>
      </c>
      <c r="C71" s="390" t="str">
        <f>名簿!CM68</f>
        <v/>
      </c>
      <c r="D71" s="390" t="str">
        <f>名簿!CM68</f>
        <v/>
      </c>
      <c r="E71" s="390" t="str">
        <f>名簿!Z68</f>
        <v/>
      </c>
      <c r="F71" s="390" t="str">
        <f>名簿!P68</f>
        <v/>
      </c>
      <c r="G71" s="390" t="str">
        <f>名簿!Q68</f>
        <v/>
      </c>
      <c r="H71" s="391" t="str">
        <f>名簿!Y68</f>
        <v/>
      </c>
      <c r="I71" s="391" t="str">
        <f>名簿!CN68</f>
        <v/>
      </c>
      <c r="J71" s="900">
        <f>名簿!CP68</f>
        <v>0</v>
      </c>
      <c r="K71" s="900" t="str">
        <f>名簿!CU68</f>
        <v>00</v>
      </c>
      <c r="L71" s="900" t="str">
        <f>名簿!CU68</f>
        <v>00</v>
      </c>
      <c r="M71" s="1328">
        <f>名簿!D68</f>
        <v>0</v>
      </c>
      <c r="N71" s="1326"/>
      <c r="O71" s="258" t="str">
        <f>IF(N71="","",IF(H71=1,VLOOKUP(N71,男子種目コード!$V$23:$W$25,2,FALSE),IF(H71=2,VLOOKUP(N71,女子種目コード!$V$23:$W$25,2,FALSE))))</f>
        <v/>
      </c>
      <c r="P71" s="540" t="str">
        <f>IF(N71="","",HLOOKUP(N71,名簿!$AH$3:$CH$118,66,FALSE))</f>
        <v/>
      </c>
      <c r="Q71" s="114">
        <f t="shared" si="0"/>
        <v>0</v>
      </c>
      <c r="R71" s="115" t="s">
        <v>486</v>
      </c>
      <c r="S71" s="116" t="str">
        <f t="shared" si="1"/>
        <v>0中学</v>
      </c>
      <c r="T71" s="124"/>
      <c r="U71" s="123"/>
      <c r="V71" s="117"/>
      <c r="W71" s="125"/>
      <c r="X71" s="126"/>
      <c r="Y71" s="120"/>
      <c r="Z71" s="127"/>
      <c r="AA71" s="126"/>
      <c r="AB71" s="122"/>
      <c r="AC71" s="98">
        <v>0</v>
      </c>
      <c r="AG71" s="40" t="str">
        <f t="shared" ref="AG71:AG102" si="5">IF(N71="","",1)</f>
        <v/>
      </c>
      <c r="AH71" s="376"/>
      <c r="AI71" s="376"/>
      <c r="AJ71" s="365"/>
      <c r="AK71" s="1008"/>
      <c r="AL71" s="1008"/>
      <c r="AM71" s="1008"/>
      <c r="AN71" s="1008"/>
      <c r="AO71" s="1008"/>
      <c r="AP71" s="1008"/>
      <c r="AQ71" s="1008"/>
      <c r="AR71" s="1008"/>
      <c r="AS71" s="1008"/>
      <c r="AT71" s="1008"/>
    </row>
    <row r="72" spans="2:46">
      <c r="B72" s="389">
        <f>名簿!E69</f>
        <v>0</v>
      </c>
      <c r="C72" s="390" t="str">
        <f>名簿!CM69</f>
        <v/>
      </c>
      <c r="D72" s="390" t="str">
        <f>名簿!CM69</f>
        <v/>
      </c>
      <c r="E72" s="390" t="str">
        <f>名簿!Z69</f>
        <v/>
      </c>
      <c r="F72" s="390" t="str">
        <f>名簿!P69</f>
        <v/>
      </c>
      <c r="G72" s="390" t="str">
        <f>名簿!Q69</f>
        <v/>
      </c>
      <c r="H72" s="391" t="str">
        <f>名簿!Y69</f>
        <v/>
      </c>
      <c r="I72" s="391" t="str">
        <f>名簿!CN69</f>
        <v/>
      </c>
      <c r="J72" s="900">
        <f>名簿!CP69</f>
        <v>0</v>
      </c>
      <c r="K72" s="900" t="str">
        <f>名簿!CU69</f>
        <v>00</v>
      </c>
      <c r="L72" s="900" t="str">
        <f>名簿!CU69</f>
        <v>00</v>
      </c>
      <c r="M72" s="1328">
        <f>名簿!D69</f>
        <v>0</v>
      </c>
      <c r="N72" s="1326"/>
      <c r="O72" s="258" t="str">
        <f>IF(N72="","",IF(H72=1,VLOOKUP(N72,男子種目コード!$V$23:$W$25,2,FALSE),IF(H72=2,VLOOKUP(N72,女子種目コード!$V$23:$W$25,2,FALSE))))</f>
        <v/>
      </c>
      <c r="P72" s="540" t="str">
        <f>IF(N72="","",HLOOKUP(N72,名簿!$AH$3:$CH$118,67,FALSE))</f>
        <v/>
      </c>
      <c r="Q72" s="114">
        <f t="shared" ref="Q72:Q116" si="6">$C$1</f>
        <v>0</v>
      </c>
      <c r="R72" s="115" t="s">
        <v>486</v>
      </c>
      <c r="S72" s="116" t="str">
        <f t="shared" ref="S72:S116" si="7">CONCATENATE(Q72,R72)</f>
        <v>0中学</v>
      </c>
      <c r="T72" s="124"/>
      <c r="U72" s="123"/>
      <c r="V72" s="117"/>
      <c r="W72" s="125"/>
      <c r="X72" s="126"/>
      <c r="Y72" s="120"/>
      <c r="Z72" s="127"/>
      <c r="AA72" s="126"/>
      <c r="AB72" s="122"/>
      <c r="AC72" s="98">
        <v>0</v>
      </c>
      <c r="AG72" s="40" t="str">
        <f t="shared" si="5"/>
        <v/>
      </c>
      <c r="AH72" s="376"/>
      <c r="AI72" s="376"/>
      <c r="AJ72" s="365"/>
      <c r="AK72" s="1008"/>
      <c r="AL72" s="1008"/>
      <c r="AM72" s="1008"/>
      <c r="AN72" s="1008"/>
      <c r="AO72" s="1008"/>
      <c r="AP72" s="1008"/>
      <c r="AQ72" s="1008"/>
      <c r="AR72" s="1008"/>
      <c r="AS72" s="1008"/>
      <c r="AT72" s="1008"/>
    </row>
    <row r="73" spans="2:46">
      <c r="B73" s="389">
        <f>名簿!E70</f>
        <v>0</v>
      </c>
      <c r="C73" s="390" t="str">
        <f>名簿!CM70</f>
        <v/>
      </c>
      <c r="D73" s="390" t="str">
        <f>名簿!CM70</f>
        <v/>
      </c>
      <c r="E73" s="390" t="str">
        <f>名簿!Z70</f>
        <v/>
      </c>
      <c r="F73" s="390" t="str">
        <f>名簿!P70</f>
        <v/>
      </c>
      <c r="G73" s="390" t="str">
        <f>名簿!Q70</f>
        <v/>
      </c>
      <c r="H73" s="391" t="str">
        <f>名簿!Y70</f>
        <v/>
      </c>
      <c r="I73" s="391" t="str">
        <f>名簿!CN70</f>
        <v/>
      </c>
      <c r="J73" s="900">
        <f>名簿!CP70</f>
        <v>0</v>
      </c>
      <c r="K73" s="900" t="str">
        <f>名簿!CU70</f>
        <v>00</v>
      </c>
      <c r="L73" s="900" t="str">
        <f>名簿!CU70</f>
        <v>00</v>
      </c>
      <c r="M73" s="1328">
        <f>名簿!D70</f>
        <v>0</v>
      </c>
      <c r="N73" s="1326"/>
      <c r="O73" s="258" t="str">
        <f>IF(N73="","",IF(H73=1,VLOOKUP(N73,男子種目コード!$V$23:$W$25,2,FALSE),IF(H73=2,VLOOKUP(N73,女子種目コード!$V$23:$W$25,2,FALSE))))</f>
        <v/>
      </c>
      <c r="P73" s="540" t="str">
        <f>IF(N73="","",HLOOKUP(N73,名簿!$AH$3:$CH$118,68,FALSE))</f>
        <v/>
      </c>
      <c r="Q73" s="114">
        <f t="shared" si="6"/>
        <v>0</v>
      </c>
      <c r="R73" s="115" t="s">
        <v>486</v>
      </c>
      <c r="S73" s="116" t="str">
        <f t="shared" si="7"/>
        <v>0中学</v>
      </c>
      <c r="T73" s="124"/>
      <c r="U73" s="123"/>
      <c r="V73" s="117"/>
      <c r="W73" s="125"/>
      <c r="X73" s="126"/>
      <c r="Y73" s="120"/>
      <c r="Z73" s="127"/>
      <c r="AA73" s="126"/>
      <c r="AB73" s="122"/>
      <c r="AC73" s="98">
        <v>0</v>
      </c>
      <c r="AG73" s="40" t="str">
        <f t="shared" si="5"/>
        <v/>
      </c>
      <c r="AH73" s="376"/>
      <c r="AI73" s="376"/>
      <c r="AJ73" s="365"/>
      <c r="AK73" s="1008"/>
      <c r="AL73" s="1008"/>
      <c r="AM73" s="1008"/>
      <c r="AN73" s="1008"/>
      <c r="AO73" s="1008"/>
      <c r="AP73" s="1008"/>
      <c r="AQ73" s="1008"/>
      <c r="AR73" s="1008"/>
      <c r="AS73" s="1008"/>
      <c r="AT73" s="1008"/>
    </row>
    <row r="74" spans="2:46">
      <c r="B74" s="389">
        <f>名簿!E71</f>
        <v>0</v>
      </c>
      <c r="C74" s="390" t="str">
        <f>名簿!CM71</f>
        <v/>
      </c>
      <c r="D74" s="390" t="str">
        <f>名簿!CM71</f>
        <v/>
      </c>
      <c r="E74" s="390" t="str">
        <f>名簿!Z71</f>
        <v/>
      </c>
      <c r="F74" s="390" t="str">
        <f>名簿!P71</f>
        <v/>
      </c>
      <c r="G74" s="390" t="str">
        <f>名簿!Q71</f>
        <v/>
      </c>
      <c r="H74" s="391" t="str">
        <f>名簿!Y71</f>
        <v/>
      </c>
      <c r="I74" s="391" t="str">
        <f>名簿!CN71</f>
        <v/>
      </c>
      <c r="J74" s="900">
        <f>名簿!CP71</f>
        <v>0</v>
      </c>
      <c r="K74" s="900" t="str">
        <f>名簿!CU71</f>
        <v>00</v>
      </c>
      <c r="L74" s="900" t="str">
        <f>名簿!CU71</f>
        <v>00</v>
      </c>
      <c r="M74" s="1328">
        <f>名簿!D71</f>
        <v>0</v>
      </c>
      <c r="N74" s="1326"/>
      <c r="O74" s="258" t="str">
        <f>IF(N74="","",IF(H74=1,VLOOKUP(N74,男子種目コード!$V$23:$W$25,2,FALSE),IF(H74=2,VLOOKUP(N74,女子種目コード!$V$23:$W$25,2,FALSE))))</f>
        <v/>
      </c>
      <c r="P74" s="540" t="str">
        <f>IF(N74="","",HLOOKUP(N74,名簿!$AH$3:$CH$118,69,FALSE))</f>
        <v/>
      </c>
      <c r="Q74" s="114">
        <f t="shared" si="6"/>
        <v>0</v>
      </c>
      <c r="R74" s="115" t="s">
        <v>486</v>
      </c>
      <c r="S74" s="116" t="str">
        <f t="shared" si="7"/>
        <v>0中学</v>
      </c>
      <c r="T74" s="124"/>
      <c r="U74" s="123"/>
      <c r="V74" s="117"/>
      <c r="W74" s="125"/>
      <c r="X74" s="126"/>
      <c r="Y74" s="120"/>
      <c r="Z74" s="127"/>
      <c r="AA74" s="126"/>
      <c r="AB74" s="122"/>
      <c r="AC74" s="98">
        <v>0</v>
      </c>
      <c r="AG74" s="40" t="str">
        <f t="shared" si="5"/>
        <v/>
      </c>
      <c r="AH74" s="376"/>
      <c r="AI74" s="376"/>
      <c r="AJ74" s="365"/>
      <c r="AK74" s="1008"/>
      <c r="AL74" s="1008"/>
      <c r="AM74" s="1008"/>
      <c r="AN74" s="1008"/>
      <c r="AO74" s="1008"/>
      <c r="AP74" s="1008"/>
      <c r="AQ74" s="1008"/>
      <c r="AR74" s="1008"/>
      <c r="AS74" s="1008"/>
      <c r="AT74" s="1008"/>
    </row>
    <row r="75" spans="2:46">
      <c r="B75" s="389">
        <f>名簿!E72</f>
        <v>0</v>
      </c>
      <c r="C75" s="390" t="str">
        <f>名簿!CM72</f>
        <v/>
      </c>
      <c r="D75" s="390" t="str">
        <f>名簿!CM72</f>
        <v/>
      </c>
      <c r="E75" s="390" t="str">
        <f>名簿!Z72</f>
        <v/>
      </c>
      <c r="F75" s="390" t="str">
        <f>名簿!P72</f>
        <v/>
      </c>
      <c r="G75" s="390" t="str">
        <f>名簿!Q72</f>
        <v/>
      </c>
      <c r="H75" s="391" t="str">
        <f>名簿!Y72</f>
        <v/>
      </c>
      <c r="I75" s="391" t="str">
        <f>名簿!CN72</f>
        <v/>
      </c>
      <c r="J75" s="900">
        <f>名簿!CP72</f>
        <v>0</v>
      </c>
      <c r="K75" s="900" t="str">
        <f>名簿!CU72</f>
        <v>00</v>
      </c>
      <c r="L75" s="900" t="str">
        <f>名簿!CU72</f>
        <v>00</v>
      </c>
      <c r="M75" s="1328">
        <f>名簿!D72</f>
        <v>0</v>
      </c>
      <c r="N75" s="1326"/>
      <c r="O75" s="258" t="str">
        <f>IF(N75="","",IF(H75=1,VLOOKUP(N75,男子種目コード!$V$23:$W$25,2,FALSE),IF(H75=2,VLOOKUP(N75,女子種目コード!$V$23:$W$25,2,FALSE))))</f>
        <v/>
      </c>
      <c r="P75" s="540" t="str">
        <f>IF(N75="","",HLOOKUP(N75,名簿!$AH$3:$CH$118,70,FALSE))</f>
        <v/>
      </c>
      <c r="Q75" s="114">
        <f t="shared" si="6"/>
        <v>0</v>
      </c>
      <c r="R75" s="115" t="s">
        <v>486</v>
      </c>
      <c r="S75" s="116" t="str">
        <f t="shared" si="7"/>
        <v>0中学</v>
      </c>
      <c r="T75" s="124"/>
      <c r="U75" s="123"/>
      <c r="V75" s="117"/>
      <c r="W75" s="125"/>
      <c r="X75" s="126"/>
      <c r="Y75" s="120"/>
      <c r="Z75" s="127"/>
      <c r="AA75" s="126"/>
      <c r="AB75" s="122"/>
      <c r="AC75" s="98">
        <v>0</v>
      </c>
      <c r="AG75" s="40" t="str">
        <f t="shared" si="5"/>
        <v/>
      </c>
      <c r="AH75" s="376"/>
      <c r="AI75" s="376"/>
      <c r="AJ75" s="365"/>
      <c r="AK75" s="1008"/>
      <c r="AL75" s="1008"/>
      <c r="AM75" s="1008"/>
      <c r="AN75" s="1008"/>
      <c r="AO75" s="1008"/>
      <c r="AP75" s="1008"/>
      <c r="AQ75" s="1008"/>
      <c r="AR75" s="1008"/>
      <c r="AS75" s="1008"/>
      <c r="AT75" s="1008"/>
    </row>
    <row r="76" spans="2:46">
      <c r="B76" s="389">
        <f>名簿!E73</f>
        <v>0</v>
      </c>
      <c r="C76" s="390" t="str">
        <f>名簿!CM73</f>
        <v/>
      </c>
      <c r="D76" s="390" t="str">
        <f>名簿!CM73</f>
        <v/>
      </c>
      <c r="E76" s="390" t="str">
        <f>名簿!Z73</f>
        <v/>
      </c>
      <c r="F76" s="390" t="str">
        <f>名簿!P73</f>
        <v/>
      </c>
      <c r="G76" s="390" t="str">
        <f>名簿!Q73</f>
        <v/>
      </c>
      <c r="H76" s="391" t="str">
        <f>名簿!Y73</f>
        <v/>
      </c>
      <c r="I76" s="391" t="str">
        <f>名簿!CN73</f>
        <v/>
      </c>
      <c r="J76" s="900">
        <f>名簿!CP73</f>
        <v>0</v>
      </c>
      <c r="K76" s="900" t="str">
        <f>名簿!CU73</f>
        <v>00</v>
      </c>
      <c r="L76" s="900" t="str">
        <f>名簿!CU73</f>
        <v>00</v>
      </c>
      <c r="M76" s="1328">
        <f>名簿!D73</f>
        <v>0</v>
      </c>
      <c r="N76" s="1326"/>
      <c r="O76" s="258" t="str">
        <f>IF(N76="","",IF(H76=1,VLOOKUP(N76,男子種目コード!$V$23:$W$25,2,FALSE),IF(H76=2,VLOOKUP(N76,女子種目コード!$V$23:$W$25,2,FALSE))))</f>
        <v/>
      </c>
      <c r="P76" s="540" t="str">
        <f>IF(N76="","",HLOOKUP(N76,名簿!$AH$3:$CH$118,71,FALSE))</f>
        <v/>
      </c>
      <c r="Q76" s="114">
        <f t="shared" si="6"/>
        <v>0</v>
      </c>
      <c r="R76" s="115" t="s">
        <v>486</v>
      </c>
      <c r="S76" s="116" t="str">
        <f t="shared" si="7"/>
        <v>0中学</v>
      </c>
      <c r="T76" s="124"/>
      <c r="U76" s="123"/>
      <c r="V76" s="117"/>
      <c r="W76" s="125"/>
      <c r="X76" s="126"/>
      <c r="Y76" s="120"/>
      <c r="Z76" s="127"/>
      <c r="AA76" s="126"/>
      <c r="AB76" s="122"/>
      <c r="AC76" s="98">
        <v>0</v>
      </c>
      <c r="AG76" s="40" t="str">
        <f t="shared" si="5"/>
        <v/>
      </c>
      <c r="AH76" s="376"/>
      <c r="AI76" s="376"/>
      <c r="AJ76" s="365"/>
      <c r="AK76" s="1008"/>
      <c r="AL76" s="1008"/>
      <c r="AM76" s="1008"/>
      <c r="AN76" s="1008"/>
      <c r="AO76" s="1008"/>
      <c r="AP76" s="1008"/>
      <c r="AQ76" s="1008"/>
      <c r="AR76" s="1008"/>
      <c r="AS76" s="1008"/>
      <c r="AT76" s="1008"/>
    </row>
    <row r="77" spans="2:46">
      <c r="B77" s="389">
        <f>名簿!E74</f>
        <v>0</v>
      </c>
      <c r="C77" s="390" t="str">
        <f>名簿!CM74</f>
        <v/>
      </c>
      <c r="D77" s="390" t="str">
        <f>名簿!CM74</f>
        <v/>
      </c>
      <c r="E77" s="390" t="str">
        <f>名簿!Z74</f>
        <v/>
      </c>
      <c r="F77" s="390" t="str">
        <f>名簿!P74</f>
        <v/>
      </c>
      <c r="G77" s="390" t="str">
        <f>名簿!Q74</f>
        <v/>
      </c>
      <c r="H77" s="391" t="str">
        <f>名簿!Y74</f>
        <v/>
      </c>
      <c r="I77" s="391" t="str">
        <f>名簿!CN74</f>
        <v/>
      </c>
      <c r="J77" s="900">
        <f>名簿!CP74</f>
        <v>0</v>
      </c>
      <c r="K77" s="900" t="str">
        <f>名簿!CU74</f>
        <v>00</v>
      </c>
      <c r="L77" s="900" t="str">
        <f>名簿!CU74</f>
        <v>00</v>
      </c>
      <c r="M77" s="1328">
        <f>名簿!D74</f>
        <v>0</v>
      </c>
      <c r="N77" s="1326"/>
      <c r="O77" s="258" t="str">
        <f>IF(N77="","",IF(H77=1,VLOOKUP(N77,男子種目コード!$V$23:$W$25,2,FALSE),IF(H77=2,VLOOKUP(N77,女子種目コード!$V$23:$W$25,2,FALSE))))</f>
        <v/>
      </c>
      <c r="P77" s="540" t="str">
        <f>IF(N77="","",HLOOKUP(N77,名簿!$AH$3:$CH$118,72,FALSE))</f>
        <v/>
      </c>
      <c r="Q77" s="114">
        <f t="shared" si="6"/>
        <v>0</v>
      </c>
      <c r="R77" s="115" t="s">
        <v>486</v>
      </c>
      <c r="S77" s="116" t="str">
        <f t="shared" si="7"/>
        <v>0中学</v>
      </c>
      <c r="T77" s="124"/>
      <c r="U77" s="123"/>
      <c r="V77" s="117"/>
      <c r="W77" s="125"/>
      <c r="X77" s="126"/>
      <c r="Y77" s="120"/>
      <c r="Z77" s="127"/>
      <c r="AA77" s="126"/>
      <c r="AB77" s="122"/>
      <c r="AC77" s="98">
        <v>0</v>
      </c>
      <c r="AG77" s="40" t="str">
        <f t="shared" si="5"/>
        <v/>
      </c>
      <c r="AH77" s="376"/>
      <c r="AI77" s="376"/>
      <c r="AJ77" s="365"/>
      <c r="AK77" s="1008"/>
      <c r="AL77" s="1008"/>
      <c r="AM77" s="1008"/>
      <c r="AN77" s="1008"/>
      <c r="AO77" s="1008"/>
      <c r="AP77" s="1008"/>
      <c r="AQ77" s="1008"/>
      <c r="AR77" s="1008"/>
      <c r="AS77" s="1008"/>
      <c r="AT77" s="1008"/>
    </row>
    <row r="78" spans="2:46">
      <c r="B78" s="389">
        <f>名簿!E75</f>
        <v>0</v>
      </c>
      <c r="C78" s="390" t="str">
        <f>名簿!CM75</f>
        <v/>
      </c>
      <c r="D78" s="390" t="str">
        <f>名簿!CM75</f>
        <v/>
      </c>
      <c r="E78" s="390" t="str">
        <f>名簿!Z75</f>
        <v/>
      </c>
      <c r="F78" s="390" t="str">
        <f>名簿!P75</f>
        <v/>
      </c>
      <c r="G78" s="390" t="str">
        <f>名簿!Q75</f>
        <v/>
      </c>
      <c r="H78" s="391" t="str">
        <f>名簿!Y75</f>
        <v/>
      </c>
      <c r="I78" s="391" t="str">
        <f>名簿!CN75</f>
        <v/>
      </c>
      <c r="J78" s="900">
        <f>名簿!CP75</f>
        <v>0</v>
      </c>
      <c r="K78" s="900" t="str">
        <f>名簿!CU75</f>
        <v>00</v>
      </c>
      <c r="L78" s="900" t="str">
        <f>名簿!CU75</f>
        <v>00</v>
      </c>
      <c r="M78" s="1328">
        <f>名簿!D75</f>
        <v>0</v>
      </c>
      <c r="N78" s="1326"/>
      <c r="O78" s="258" t="str">
        <f>IF(N78="","",IF(H78=1,VLOOKUP(N78,男子種目コード!$V$23:$W$25,2,FALSE),IF(H78=2,VLOOKUP(N78,女子種目コード!$V$23:$W$25,2,FALSE))))</f>
        <v/>
      </c>
      <c r="P78" s="540" t="str">
        <f>IF(N78="","",HLOOKUP(N78,名簿!$AH$3:$CH$118,73,FALSE))</f>
        <v/>
      </c>
      <c r="Q78" s="114">
        <f t="shared" si="6"/>
        <v>0</v>
      </c>
      <c r="R78" s="115" t="s">
        <v>486</v>
      </c>
      <c r="S78" s="116" t="str">
        <f t="shared" si="7"/>
        <v>0中学</v>
      </c>
      <c r="T78" s="124"/>
      <c r="U78" s="123"/>
      <c r="V78" s="117"/>
      <c r="W78" s="125"/>
      <c r="X78" s="126"/>
      <c r="Y78" s="120"/>
      <c r="Z78" s="127"/>
      <c r="AA78" s="126"/>
      <c r="AB78" s="122"/>
      <c r="AC78" s="98">
        <v>0</v>
      </c>
      <c r="AG78" s="40" t="str">
        <f t="shared" si="5"/>
        <v/>
      </c>
      <c r="AH78" s="376"/>
      <c r="AI78" s="376"/>
      <c r="AJ78" s="365"/>
      <c r="AK78" s="1008"/>
      <c r="AL78" s="1008"/>
      <c r="AM78" s="1008"/>
      <c r="AN78" s="1008"/>
      <c r="AO78" s="1008"/>
      <c r="AP78" s="1008"/>
      <c r="AQ78" s="1008"/>
      <c r="AR78" s="1008"/>
      <c r="AS78" s="1008"/>
      <c r="AT78" s="1008"/>
    </row>
    <row r="79" spans="2:46">
      <c r="B79" s="389">
        <f>名簿!E76</f>
        <v>0</v>
      </c>
      <c r="C79" s="390" t="str">
        <f>名簿!CM76</f>
        <v/>
      </c>
      <c r="D79" s="390" t="str">
        <f>名簿!CM76</f>
        <v/>
      </c>
      <c r="E79" s="390" t="str">
        <f>名簿!Z76</f>
        <v/>
      </c>
      <c r="F79" s="390" t="str">
        <f>名簿!P76</f>
        <v/>
      </c>
      <c r="G79" s="390" t="str">
        <f>名簿!Q76</f>
        <v/>
      </c>
      <c r="H79" s="391" t="str">
        <f>名簿!Y76</f>
        <v/>
      </c>
      <c r="I79" s="391" t="str">
        <f>名簿!CN76</f>
        <v/>
      </c>
      <c r="J79" s="900">
        <f>名簿!CP76</f>
        <v>0</v>
      </c>
      <c r="K79" s="900" t="str">
        <f>名簿!CU76</f>
        <v>00</v>
      </c>
      <c r="L79" s="900" t="str">
        <f>名簿!CU76</f>
        <v>00</v>
      </c>
      <c r="M79" s="1328">
        <f>名簿!D76</f>
        <v>0</v>
      </c>
      <c r="N79" s="1326"/>
      <c r="O79" s="258" t="str">
        <f>IF(N79="","",IF(H79=1,VLOOKUP(N79,男子種目コード!$V$23:$W$25,2,FALSE),IF(H79=2,VLOOKUP(N79,女子種目コード!$V$23:$W$25,2,FALSE))))</f>
        <v/>
      </c>
      <c r="P79" s="540" t="str">
        <f>IF(N79="","",HLOOKUP(N79,名簿!$AH$3:$CH$118,74,FALSE))</f>
        <v/>
      </c>
      <c r="Q79" s="114">
        <f t="shared" si="6"/>
        <v>0</v>
      </c>
      <c r="R79" s="115" t="s">
        <v>486</v>
      </c>
      <c r="S79" s="116" t="str">
        <f t="shared" si="7"/>
        <v>0中学</v>
      </c>
      <c r="T79" s="124"/>
      <c r="U79" s="123"/>
      <c r="V79" s="117"/>
      <c r="W79" s="125"/>
      <c r="X79" s="126"/>
      <c r="Y79" s="120"/>
      <c r="Z79" s="127"/>
      <c r="AA79" s="126"/>
      <c r="AB79" s="122"/>
      <c r="AC79" s="98">
        <v>0</v>
      </c>
      <c r="AG79" s="40" t="str">
        <f t="shared" si="5"/>
        <v/>
      </c>
      <c r="AH79" s="376"/>
      <c r="AI79" s="376"/>
      <c r="AJ79" s="365"/>
      <c r="AK79" s="1008"/>
      <c r="AL79" s="1008"/>
      <c r="AM79" s="1008"/>
      <c r="AN79" s="1008"/>
      <c r="AO79" s="1008"/>
      <c r="AP79" s="1008"/>
      <c r="AQ79" s="1008"/>
      <c r="AR79" s="1008"/>
      <c r="AS79" s="1008"/>
      <c r="AT79" s="1008"/>
    </row>
    <row r="80" spans="2:46">
      <c r="B80" s="389">
        <f>名簿!E77</f>
        <v>0</v>
      </c>
      <c r="C80" s="390" t="str">
        <f>名簿!CM77</f>
        <v/>
      </c>
      <c r="D80" s="390" t="str">
        <f>名簿!CM77</f>
        <v/>
      </c>
      <c r="E80" s="390" t="str">
        <f>名簿!Z77</f>
        <v/>
      </c>
      <c r="F80" s="390" t="str">
        <f>名簿!P77</f>
        <v/>
      </c>
      <c r="G80" s="390" t="str">
        <f>名簿!Q77</f>
        <v/>
      </c>
      <c r="H80" s="391" t="str">
        <f>名簿!Y77</f>
        <v/>
      </c>
      <c r="I80" s="391" t="str">
        <f>名簿!CN77</f>
        <v/>
      </c>
      <c r="J80" s="900">
        <f>名簿!CP77</f>
        <v>0</v>
      </c>
      <c r="K80" s="900" t="str">
        <f>名簿!CU77</f>
        <v>00</v>
      </c>
      <c r="L80" s="900" t="str">
        <f>名簿!CU77</f>
        <v>00</v>
      </c>
      <c r="M80" s="1328">
        <f>名簿!D77</f>
        <v>0</v>
      </c>
      <c r="N80" s="1326"/>
      <c r="O80" s="258" t="str">
        <f>IF(N80="","",IF(H80=1,VLOOKUP(N80,男子種目コード!$V$23:$W$25,2,FALSE),IF(H80=2,VLOOKUP(N80,女子種目コード!$V$23:$W$25,2,FALSE))))</f>
        <v/>
      </c>
      <c r="P80" s="540" t="str">
        <f>IF(N80="","",HLOOKUP(N80,名簿!$AH$3:$CH$118,75,FALSE))</f>
        <v/>
      </c>
      <c r="Q80" s="114">
        <f t="shared" si="6"/>
        <v>0</v>
      </c>
      <c r="R80" s="115" t="s">
        <v>486</v>
      </c>
      <c r="S80" s="116" t="str">
        <f t="shared" si="7"/>
        <v>0中学</v>
      </c>
      <c r="T80" s="124"/>
      <c r="U80" s="123"/>
      <c r="V80" s="117"/>
      <c r="W80" s="125"/>
      <c r="X80" s="126"/>
      <c r="Y80" s="120"/>
      <c r="Z80" s="127"/>
      <c r="AA80" s="126"/>
      <c r="AB80" s="122"/>
      <c r="AC80" s="98">
        <v>0</v>
      </c>
      <c r="AG80" s="40" t="str">
        <f t="shared" si="5"/>
        <v/>
      </c>
      <c r="AH80" s="376"/>
      <c r="AI80" s="376"/>
      <c r="AJ80" s="365"/>
      <c r="AK80" s="1008"/>
      <c r="AL80" s="1008"/>
      <c r="AM80" s="1008"/>
      <c r="AN80" s="1008"/>
      <c r="AO80" s="1008"/>
      <c r="AP80" s="1008"/>
      <c r="AQ80" s="1008"/>
      <c r="AR80" s="1008"/>
      <c r="AS80" s="1008"/>
      <c r="AT80" s="1008"/>
    </row>
    <row r="81" spans="2:46">
      <c r="B81" s="389">
        <f>名簿!E78</f>
        <v>0</v>
      </c>
      <c r="C81" s="390" t="str">
        <f>名簿!CM78</f>
        <v/>
      </c>
      <c r="D81" s="390" t="str">
        <f>名簿!CM78</f>
        <v/>
      </c>
      <c r="E81" s="390" t="str">
        <f>名簿!Z78</f>
        <v/>
      </c>
      <c r="F81" s="390" t="str">
        <f>名簿!P78</f>
        <v/>
      </c>
      <c r="G81" s="390" t="str">
        <f>名簿!Q78</f>
        <v/>
      </c>
      <c r="H81" s="391" t="str">
        <f>名簿!Y78</f>
        <v/>
      </c>
      <c r="I81" s="391" t="str">
        <f>名簿!CN78</f>
        <v/>
      </c>
      <c r="J81" s="900">
        <f>名簿!CP78</f>
        <v>0</v>
      </c>
      <c r="K81" s="900" t="str">
        <f>名簿!CU78</f>
        <v>00</v>
      </c>
      <c r="L81" s="900" t="str">
        <f>名簿!CU78</f>
        <v>00</v>
      </c>
      <c r="M81" s="1328">
        <f>名簿!D78</f>
        <v>0</v>
      </c>
      <c r="N81" s="1326"/>
      <c r="O81" s="258" t="str">
        <f>IF(N81="","",IF(H81=1,VLOOKUP(N81,男子種目コード!$V$23:$W$25,2,FALSE),IF(H81=2,VLOOKUP(N81,女子種目コード!$V$23:$W$25,2,FALSE))))</f>
        <v/>
      </c>
      <c r="P81" s="540" t="str">
        <f>IF(N81="","",HLOOKUP(N81,名簿!$AH$3:$CH$118,76,FALSE))</f>
        <v/>
      </c>
      <c r="Q81" s="114">
        <f t="shared" si="6"/>
        <v>0</v>
      </c>
      <c r="R81" s="115" t="s">
        <v>486</v>
      </c>
      <c r="S81" s="116" t="str">
        <f t="shared" si="7"/>
        <v>0中学</v>
      </c>
      <c r="T81" s="124"/>
      <c r="U81" s="123"/>
      <c r="V81" s="117"/>
      <c r="W81" s="125"/>
      <c r="X81" s="126"/>
      <c r="Y81" s="120"/>
      <c r="Z81" s="127"/>
      <c r="AA81" s="126"/>
      <c r="AB81" s="122"/>
      <c r="AC81" s="98">
        <v>0</v>
      </c>
      <c r="AG81" s="40" t="str">
        <f t="shared" si="5"/>
        <v/>
      </c>
      <c r="AH81" s="376"/>
      <c r="AI81" s="376"/>
      <c r="AJ81" s="365"/>
      <c r="AK81" s="1008"/>
      <c r="AL81" s="1008"/>
      <c r="AM81" s="1008"/>
      <c r="AN81" s="1008"/>
      <c r="AO81" s="1008"/>
      <c r="AP81" s="1008"/>
      <c r="AQ81" s="1008"/>
      <c r="AR81" s="1008"/>
      <c r="AS81" s="1008"/>
      <c r="AT81" s="1008"/>
    </row>
    <row r="82" spans="2:46">
      <c r="B82" s="389">
        <f>名簿!E79</f>
        <v>0</v>
      </c>
      <c r="C82" s="390" t="str">
        <f>名簿!CM79</f>
        <v/>
      </c>
      <c r="D82" s="390" t="str">
        <f>名簿!CM79</f>
        <v/>
      </c>
      <c r="E82" s="390" t="str">
        <f>名簿!Z79</f>
        <v/>
      </c>
      <c r="F82" s="390" t="str">
        <f>名簿!P79</f>
        <v/>
      </c>
      <c r="G82" s="390" t="str">
        <f>名簿!Q79</f>
        <v/>
      </c>
      <c r="H82" s="391" t="str">
        <f>名簿!Y79</f>
        <v/>
      </c>
      <c r="I82" s="391" t="str">
        <f>名簿!CN79</f>
        <v/>
      </c>
      <c r="J82" s="900">
        <f>名簿!CP79</f>
        <v>0</v>
      </c>
      <c r="K82" s="900" t="str">
        <f>名簿!CU79</f>
        <v>00</v>
      </c>
      <c r="L82" s="900" t="str">
        <f>名簿!CU79</f>
        <v>00</v>
      </c>
      <c r="M82" s="1328">
        <f>名簿!D79</f>
        <v>0</v>
      </c>
      <c r="N82" s="1326"/>
      <c r="O82" s="258" t="str">
        <f>IF(N82="","",IF(H82=1,VLOOKUP(N82,男子種目コード!$V$23:$W$25,2,FALSE),IF(H82=2,VLOOKUP(N82,女子種目コード!$V$23:$W$25,2,FALSE))))</f>
        <v/>
      </c>
      <c r="P82" s="540" t="str">
        <f>IF(N82="","",HLOOKUP(N82,名簿!$AH$3:$CH$118,77,FALSE))</f>
        <v/>
      </c>
      <c r="Q82" s="114">
        <f t="shared" si="6"/>
        <v>0</v>
      </c>
      <c r="R82" s="115" t="s">
        <v>486</v>
      </c>
      <c r="S82" s="116" t="str">
        <f t="shared" si="7"/>
        <v>0中学</v>
      </c>
      <c r="T82" s="124"/>
      <c r="U82" s="123"/>
      <c r="V82" s="117"/>
      <c r="W82" s="125"/>
      <c r="X82" s="126"/>
      <c r="Y82" s="120"/>
      <c r="Z82" s="127"/>
      <c r="AA82" s="126"/>
      <c r="AB82" s="122"/>
      <c r="AC82" s="98">
        <v>0</v>
      </c>
      <c r="AG82" s="40" t="str">
        <f t="shared" si="5"/>
        <v/>
      </c>
      <c r="AH82" s="376"/>
      <c r="AI82" s="376"/>
      <c r="AJ82" s="365"/>
      <c r="AK82" s="1008"/>
      <c r="AL82" s="1008"/>
      <c r="AM82" s="1008"/>
      <c r="AN82" s="1008"/>
      <c r="AO82" s="1008"/>
      <c r="AP82" s="1008"/>
      <c r="AQ82" s="1008"/>
      <c r="AR82" s="1008"/>
      <c r="AS82" s="1008"/>
      <c r="AT82" s="1008"/>
    </row>
    <row r="83" spans="2:46">
      <c r="B83" s="389">
        <f>名簿!E80</f>
        <v>0</v>
      </c>
      <c r="C83" s="390" t="str">
        <f>名簿!CM80</f>
        <v/>
      </c>
      <c r="D83" s="390" t="str">
        <f>名簿!CM80</f>
        <v/>
      </c>
      <c r="E83" s="390" t="str">
        <f>名簿!Z80</f>
        <v/>
      </c>
      <c r="F83" s="390" t="str">
        <f>名簿!P80</f>
        <v/>
      </c>
      <c r="G83" s="390" t="str">
        <f>名簿!Q80</f>
        <v/>
      </c>
      <c r="H83" s="391" t="str">
        <f>名簿!Y80</f>
        <v/>
      </c>
      <c r="I83" s="391" t="str">
        <f>名簿!CN80</f>
        <v/>
      </c>
      <c r="J83" s="900">
        <f>名簿!CP80</f>
        <v>0</v>
      </c>
      <c r="K83" s="900" t="str">
        <f>名簿!CU80</f>
        <v>00</v>
      </c>
      <c r="L83" s="900" t="str">
        <f>名簿!CU80</f>
        <v>00</v>
      </c>
      <c r="M83" s="1328">
        <f>名簿!D80</f>
        <v>0</v>
      </c>
      <c r="N83" s="1326"/>
      <c r="O83" s="258" t="str">
        <f>IF(N83="","",IF(H83=1,VLOOKUP(N83,男子種目コード!$V$23:$W$25,2,FALSE),IF(H83=2,VLOOKUP(N83,女子種目コード!$V$23:$W$25,2,FALSE))))</f>
        <v/>
      </c>
      <c r="P83" s="540" t="str">
        <f>IF(N83="","",HLOOKUP(N83,名簿!$AH$3:$CH$118,78,FALSE))</f>
        <v/>
      </c>
      <c r="Q83" s="114">
        <f t="shared" si="6"/>
        <v>0</v>
      </c>
      <c r="R83" s="115" t="s">
        <v>486</v>
      </c>
      <c r="S83" s="116" t="str">
        <f t="shared" si="7"/>
        <v>0中学</v>
      </c>
      <c r="T83" s="124"/>
      <c r="U83" s="123"/>
      <c r="V83" s="117"/>
      <c r="W83" s="125"/>
      <c r="X83" s="126"/>
      <c r="Y83" s="120"/>
      <c r="Z83" s="127"/>
      <c r="AA83" s="126"/>
      <c r="AB83" s="122"/>
      <c r="AC83" s="98">
        <v>0</v>
      </c>
      <c r="AG83" s="40" t="str">
        <f t="shared" si="5"/>
        <v/>
      </c>
      <c r="AH83" s="376"/>
      <c r="AI83" s="376"/>
      <c r="AJ83" s="365"/>
      <c r="AK83" s="1008"/>
      <c r="AL83" s="1008"/>
      <c r="AM83" s="1008"/>
      <c r="AN83" s="1008"/>
      <c r="AO83" s="1008"/>
      <c r="AP83" s="1008"/>
      <c r="AQ83" s="1008"/>
      <c r="AR83" s="1008"/>
      <c r="AS83" s="1008"/>
      <c r="AT83" s="1008"/>
    </row>
    <row r="84" spans="2:46">
      <c r="B84" s="389">
        <f>名簿!E81</f>
        <v>0</v>
      </c>
      <c r="C84" s="390" t="str">
        <f>名簿!CM81</f>
        <v/>
      </c>
      <c r="D84" s="390" t="str">
        <f>名簿!CM81</f>
        <v/>
      </c>
      <c r="E84" s="390" t="str">
        <f>名簿!Z81</f>
        <v/>
      </c>
      <c r="F84" s="390" t="str">
        <f>名簿!P81</f>
        <v/>
      </c>
      <c r="G84" s="390" t="str">
        <f>名簿!Q81</f>
        <v/>
      </c>
      <c r="H84" s="391" t="str">
        <f>名簿!Y81</f>
        <v/>
      </c>
      <c r="I84" s="391" t="str">
        <f>名簿!CN81</f>
        <v/>
      </c>
      <c r="J84" s="900">
        <f>名簿!CP81</f>
        <v>0</v>
      </c>
      <c r="K84" s="900" t="str">
        <f>名簿!CU81</f>
        <v>00</v>
      </c>
      <c r="L84" s="900" t="str">
        <f>名簿!CU81</f>
        <v>00</v>
      </c>
      <c r="M84" s="1328">
        <f>名簿!D81</f>
        <v>0</v>
      </c>
      <c r="N84" s="1326"/>
      <c r="O84" s="258" t="str">
        <f>IF(N84="","",IF(H84=1,VLOOKUP(N84,男子種目コード!$V$23:$W$25,2,FALSE),IF(H84=2,VLOOKUP(N84,女子種目コード!$V$23:$W$25,2,FALSE))))</f>
        <v/>
      </c>
      <c r="P84" s="540" t="str">
        <f>IF(N84="","",HLOOKUP(N84,名簿!$AH$3:$CH$118,79,FALSE))</f>
        <v/>
      </c>
      <c r="Q84" s="114">
        <f t="shared" si="6"/>
        <v>0</v>
      </c>
      <c r="R84" s="115" t="s">
        <v>486</v>
      </c>
      <c r="S84" s="116" t="str">
        <f t="shared" si="7"/>
        <v>0中学</v>
      </c>
      <c r="T84" s="124"/>
      <c r="U84" s="123"/>
      <c r="V84" s="117"/>
      <c r="W84" s="125"/>
      <c r="X84" s="126"/>
      <c r="Y84" s="120"/>
      <c r="Z84" s="127"/>
      <c r="AA84" s="126"/>
      <c r="AB84" s="122"/>
      <c r="AC84" s="98">
        <v>0</v>
      </c>
      <c r="AG84" s="40" t="str">
        <f t="shared" si="5"/>
        <v/>
      </c>
      <c r="AH84" s="376"/>
      <c r="AI84" s="376"/>
      <c r="AJ84" s="365"/>
      <c r="AK84" s="1008"/>
      <c r="AL84" s="1008"/>
      <c r="AM84" s="1008"/>
      <c r="AN84" s="1008"/>
      <c r="AO84" s="1008"/>
      <c r="AP84" s="1008"/>
      <c r="AQ84" s="1008"/>
      <c r="AR84" s="1008"/>
      <c r="AS84" s="1008"/>
      <c r="AT84" s="1008"/>
    </row>
    <row r="85" spans="2:46">
      <c r="B85" s="389">
        <f>名簿!E82</f>
        <v>0</v>
      </c>
      <c r="C85" s="390" t="str">
        <f>名簿!CM82</f>
        <v/>
      </c>
      <c r="D85" s="390" t="str">
        <f>名簿!CM82</f>
        <v/>
      </c>
      <c r="E85" s="390" t="str">
        <f>名簿!Z82</f>
        <v/>
      </c>
      <c r="F85" s="390" t="str">
        <f>名簿!P82</f>
        <v/>
      </c>
      <c r="G85" s="390" t="str">
        <f>名簿!Q82</f>
        <v/>
      </c>
      <c r="H85" s="391" t="str">
        <f>名簿!Y82</f>
        <v/>
      </c>
      <c r="I85" s="391" t="str">
        <f>名簿!CN82</f>
        <v/>
      </c>
      <c r="J85" s="900">
        <f>名簿!CP82</f>
        <v>0</v>
      </c>
      <c r="K85" s="900" t="str">
        <f>名簿!CU82</f>
        <v>00</v>
      </c>
      <c r="L85" s="900" t="str">
        <f>名簿!CU82</f>
        <v>00</v>
      </c>
      <c r="M85" s="1328">
        <f>名簿!D82</f>
        <v>0</v>
      </c>
      <c r="N85" s="1326"/>
      <c r="O85" s="258" t="str">
        <f>IF(N85="","",IF(H85=1,VLOOKUP(N85,男子種目コード!$V$23:$W$25,2,FALSE),IF(H85=2,VLOOKUP(N85,女子種目コード!$V$23:$W$25,2,FALSE))))</f>
        <v/>
      </c>
      <c r="P85" s="540" t="str">
        <f>IF(N85="","",HLOOKUP(N85,名簿!$AH$3:$CH$118,80,FALSE))</f>
        <v/>
      </c>
      <c r="Q85" s="114">
        <f t="shared" si="6"/>
        <v>0</v>
      </c>
      <c r="R85" s="115" t="s">
        <v>486</v>
      </c>
      <c r="S85" s="116" t="str">
        <f t="shared" si="7"/>
        <v>0中学</v>
      </c>
      <c r="T85" s="124"/>
      <c r="U85" s="123"/>
      <c r="V85" s="117"/>
      <c r="W85" s="125"/>
      <c r="X85" s="126"/>
      <c r="Y85" s="120"/>
      <c r="Z85" s="127"/>
      <c r="AA85" s="126"/>
      <c r="AB85" s="122"/>
      <c r="AC85" s="98">
        <v>0</v>
      </c>
      <c r="AG85" s="40" t="str">
        <f t="shared" si="5"/>
        <v/>
      </c>
      <c r="AH85" s="376"/>
      <c r="AI85" s="376"/>
      <c r="AJ85" s="365"/>
      <c r="AK85" s="1008"/>
      <c r="AL85" s="1008"/>
      <c r="AM85" s="1008"/>
      <c r="AN85" s="1008"/>
      <c r="AO85" s="1008"/>
      <c r="AP85" s="1008"/>
      <c r="AQ85" s="1008"/>
      <c r="AR85" s="1008"/>
      <c r="AS85" s="1008"/>
      <c r="AT85" s="1008"/>
    </row>
    <row r="86" spans="2:46">
      <c r="B86" s="389">
        <f>名簿!E83</f>
        <v>0</v>
      </c>
      <c r="C86" s="390" t="str">
        <f>名簿!CM83</f>
        <v/>
      </c>
      <c r="D86" s="390" t="str">
        <f>名簿!CM83</f>
        <v/>
      </c>
      <c r="E86" s="390" t="str">
        <f>名簿!Z83</f>
        <v/>
      </c>
      <c r="F86" s="390" t="str">
        <f>名簿!P83</f>
        <v/>
      </c>
      <c r="G86" s="390" t="str">
        <f>名簿!Q83</f>
        <v/>
      </c>
      <c r="H86" s="391" t="str">
        <f>名簿!Y83</f>
        <v/>
      </c>
      <c r="I86" s="391" t="str">
        <f>名簿!CN83</f>
        <v/>
      </c>
      <c r="J86" s="900">
        <f>名簿!CP83</f>
        <v>0</v>
      </c>
      <c r="K86" s="900" t="str">
        <f>名簿!CU83</f>
        <v>00</v>
      </c>
      <c r="L86" s="900" t="str">
        <f>名簿!CU83</f>
        <v>00</v>
      </c>
      <c r="M86" s="1328">
        <f>名簿!D83</f>
        <v>0</v>
      </c>
      <c r="N86" s="1326"/>
      <c r="O86" s="258" t="str">
        <f>IF(N86="","",IF(H86=1,VLOOKUP(N86,男子種目コード!$V$23:$W$25,2,FALSE),IF(H86=2,VLOOKUP(N86,女子種目コード!$V$23:$W$25,2,FALSE))))</f>
        <v/>
      </c>
      <c r="P86" s="540" t="str">
        <f>IF(N86="","",HLOOKUP(N86,名簿!$AH$3:$CH$118,81,FALSE))</f>
        <v/>
      </c>
      <c r="Q86" s="114">
        <f t="shared" si="6"/>
        <v>0</v>
      </c>
      <c r="R86" s="115" t="s">
        <v>486</v>
      </c>
      <c r="S86" s="116" t="str">
        <f t="shared" si="7"/>
        <v>0中学</v>
      </c>
      <c r="T86" s="124"/>
      <c r="U86" s="123"/>
      <c r="V86" s="117"/>
      <c r="W86" s="125"/>
      <c r="X86" s="126"/>
      <c r="Y86" s="120"/>
      <c r="Z86" s="127"/>
      <c r="AA86" s="126"/>
      <c r="AB86" s="122"/>
      <c r="AC86" s="98">
        <v>0</v>
      </c>
      <c r="AG86" s="40" t="str">
        <f t="shared" si="5"/>
        <v/>
      </c>
      <c r="AH86" s="376"/>
      <c r="AI86" s="376"/>
      <c r="AJ86" s="365"/>
      <c r="AK86" s="1008"/>
      <c r="AL86" s="1008"/>
      <c r="AM86" s="1008"/>
      <c r="AN86" s="1008"/>
      <c r="AO86" s="1008"/>
      <c r="AP86" s="1008"/>
      <c r="AQ86" s="1008"/>
      <c r="AR86" s="1008"/>
      <c r="AS86" s="1008"/>
      <c r="AT86" s="1008"/>
    </row>
    <row r="87" spans="2:46">
      <c r="B87" s="389">
        <f>名簿!E84</f>
        <v>0</v>
      </c>
      <c r="C87" s="390" t="str">
        <f>名簿!CM84</f>
        <v/>
      </c>
      <c r="D87" s="390" t="str">
        <f>名簿!CM84</f>
        <v/>
      </c>
      <c r="E87" s="390" t="str">
        <f>名簿!Z84</f>
        <v/>
      </c>
      <c r="F87" s="390" t="str">
        <f>名簿!P84</f>
        <v/>
      </c>
      <c r="G87" s="390" t="str">
        <f>名簿!Q84</f>
        <v/>
      </c>
      <c r="H87" s="391" t="str">
        <f>名簿!Y84</f>
        <v/>
      </c>
      <c r="I87" s="391" t="str">
        <f>名簿!CN84</f>
        <v/>
      </c>
      <c r="J87" s="900">
        <f>名簿!CP84</f>
        <v>0</v>
      </c>
      <c r="K87" s="900" t="str">
        <f>名簿!CU84</f>
        <v>00</v>
      </c>
      <c r="L87" s="900" t="str">
        <f>名簿!CU84</f>
        <v>00</v>
      </c>
      <c r="M87" s="1328">
        <f>名簿!D84</f>
        <v>0</v>
      </c>
      <c r="N87" s="1326"/>
      <c r="O87" s="258" t="str">
        <f>IF(N87="","",IF(H87=1,VLOOKUP(N87,男子種目コード!$V$23:$W$25,2,FALSE),IF(H87=2,VLOOKUP(N87,女子種目コード!$V$23:$W$25,2,FALSE))))</f>
        <v/>
      </c>
      <c r="P87" s="540" t="str">
        <f>IF(N87="","",HLOOKUP(N87,名簿!$AH$3:$CH$118,82,FALSE))</f>
        <v/>
      </c>
      <c r="Q87" s="114">
        <f t="shared" si="6"/>
        <v>0</v>
      </c>
      <c r="R87" s="115" t="s">
        <v>486</v>
      </c>
      <c r="S87" s="116" t="str">
        <f t="shared" si="7"/>
        <v>0中学</v>
      </c>
      <c r="T87" s="124"/>
      <c r="U87" s="123"/>
      <c r="V87" s="117"/>
      <c r="W87" s="125"/>
      <c r="X87" s="126"/>
      <c r="Y87" s="120"/>
      <c r="Z87" s="127"/>
      <c r="AA87" s="126"/>
      <c r="AB87" s="122"/>
      <c r="AC87" s="98">
        <v>0</v>
      </c>
      <c r="AG87" s="40" t="str">
        <f t="shared" si="5"/>
        <v/>
      </c>
      <c r="AH87" s="376"/>
      <c r="AI87" s="376"/>
      <c r="AJ87" s="365"/>
      <c r="AK87" s="1008"/>
      <c r="AL87" s="1008"/>
      <c r="AM87" s="1008"/>
      <c r="AN87" s="1008"/>
      <c r="AO87" s="1008"/>
      <c r="AP87" s="1008"/>
      <c r="AQ87" s="1008"/>
      <c r="AR87" s="1008"/>
      <c r="AS87" s="1008"/>
      <c r="AT87" s="1008"/>
    </row>
    <row r="88" spans="2:46">
      <c r="B88" s="389">
        <f>名簿!E85</f>
        <v>0</v>
      </c>
      <c r="C88" s="390" t="str">
        <f>名簿!CM85</f>
        <v/>
      </c>
      <c r="D88" s="390" t="str">
        <f>名簿!CM85</f>
        <v/>
      </c>
      <c r="E88" s="390" t="str">
        <f>名簿!Z85</f>
        <v/>
      </c>
      <c r="F88" s="390" t="str">
        <f>名簿!P85</f>
        <v/>
      </c>
      <c r="G88" s="390" t="str">
        <f>名簿!Q85</f>
        <v/>
      </c>
      <c r="H88" s="391" t="str">
        <f>名簿!Y85</f>
        <v/>
      </c>
      <c r="I88" s="391" t="str">
        <f>名簿!CN85</f>
        <v/>
      </c>
      <c r="J88" s="900">
        <f>名簿!CP85</f>
        <v>0</v>
      </c>
      <c r="K88" s="900" t="str">
        <f>名簿!CU85</f>
        <v>00</v>
      </c>
      <c r="L88" s="900" t="str">
        <f>名簿!CU85</f>
        <v>00</v>
      </c>
      <c r="M88" s="1328">
        <f>名簿!D85</f>
        <v>0</v>
      </c>
      <c r="N88" s="1326"/>
      <c r="O88" s="258" t="str">
        <f>IF(N88="","",IF(H88=1,VLOOKUP(N88,男子種目コード!$V$23:$W$25,2,FALSE),IF(H88=2,VLOOKUP(N88,女子種目コード!$V$23:$W$25,2,FALSE))))</f>
        <v/>
      </c>
      <c r="P88" s="540" t="str">
        <f>IF(N88="","",HLOOKUP(N88,名簿!$AH$3:$CH$118,83,FALSE))</f>
        <v/>
      </c>
      <c r="Q88" s="114">
        <f t="shared" si="6"/>
        <v>0</v>
      </c>
      <c r="R88" s="115" t="s">
        <v>486</v>
      </c>
      <c r="S88" s="116" t="str">
        <f t="shared" si="7"/>
        <v>0中学</v>
      </c>
      <c r="T88" s="124"/>
      <c r="U88" s="123"/>
      <c r="V88" s="117"/>
      <c r="W88" s="125"/>
      <c r="X88" s="126"/>
      <c r="Y88" s="120"/>
      <c r="Z88" s="127"/>
      <c r="AA88" s="126"/>
      <c r="AB88" s="122"/>
      <c r="AC88" s="98">
        <v>0</v>
      </c>
      <c r="AG88" s="40" t="str">
        <f t="shared" si="5"/>
        <v/>
      </c>
      <c r="AH88" s="376"/>
      <c r="AI88" s="376"/>
      <c r="AJ88" s="365"/>
      <c r="AK88" s="1008"/>
      <c r="AL88" s="1008"/>
      <c r="AM88" s="1008"/>
      <c r="AN88" s="1008"/>
      <c r="AO88" s="1008"/>
      <c r="AP88" s="1008"/>
      <c r="AQ88" s="1008"/>
      <c r="AR88" s="1008"/>
      <c r="AS88" s="1008"/>
      <c r="AT88" s="1008"/>
    </row>
    <row r="89" spans="2:46">
      <c r="B89" s="389">
        <f>名簿!E86</f>
        <v>0</v>
      </c>
      <c r="C89" s="390" t="str">
        <f>名簿!CM86</f>
        <v/>
      </c>
      <c r="D89" s="390" t="str">
        <f>名簿!CM86</f>
        <v/>
      </c>
      <c r="E89" s="390" t="str">
        <f>名簿!Z86</f>
        <v/>
      </c>
      <c r="F89" s="390" t="str">
        <f>名簿!P86</f>
        <v/>
      </c>
      <c r="G89" s="390" t="str">
        <f>名簿!Q86</f>
        <v/>
      </c>
      <c r="H89" s="391" t="str">
        <f>名簿!Y86</f>
        <v/>
      </c>
      <c r="I89" s="391" t="str">
        <f>名簿!CN86</f>
        <v/>
      </c>
      <c r="J89" s="900">
        <f>名簿!CP86</f>
        <v>0</v>
      </c>
      <c r="K89" s="900" t="str">
        <f>名簿!CU86</f>
        <v>00</v>
      </c>
      <c r="L89" s="900" t="str">
        <f>名簿!CU86</f>
        <v>00</v>
      </c>
      <c r="M89" s="1328">
        <f>名簿!D86</f>
        <v>0</v>
      </c>
      <c r="N89" s="1326"/>
      <c r="O89" s="258" t="str">
        <f>IF(N89="","",IF(H89=1,VLOOKUP(N89,男子種目コード!$V$23:$W$25,2,FALSE),IF(H89=2,VLOOKUP(N89,女子種目コード!$V$23:$W$25,2,FALSE))))</f>
        <v/>
      </c>
      <c r="P89" s="540" t="str">
        <f>IF(N89="","",HLOOKUP(N89,名簿!$AH$3:$CH$118,84,FALSE))</f>
        <v/>
      </c>
      <c r="Q89" s="114">
        <f t="shared" si="6"/>
        <v>0</v>
      </c>
      <c r="R89" s="115" t="s">
        <v>486</v>
      </c>
      <c r="S89" s="116" t="str">
        <f t="shared" si="7"/>
        <v>0中学</v>
      </c>
      <c r="T89" s="124"/>
      <c r="U89" s="123"/>
      <c r="V89" s="117"/>
      <c r="W89" s="125"/>
      <c r="X89" s="126"/>
      <c r="Y89" s="120"/>
      <c r="Z89" s="127"/>
      <c r="AA89" s="126"/>
      <c r="AB89" s="122"/>
      <c r="AC89" s="98">
        <v>0</v>
      </c>
      <c r="AG89" s="40" t="str">
        <f t="shared" si="5"/>
        <v/>
      </c>
      <c r="AH89" s="376"/>
      <c r="AI89" s="376"/>
      <c r="AJ89" s="365"/>
      <c r="AK89" s="1008"/>
      <c r="AL89" s="1008"/>
      <c r="AM89" s="1008"/>
      <c r="AN89" s="1008"/>
      <c r="AO89" s="1008"/>
      <c r="AP89" s="1008"/>
      <c r="AQ89" s="1008"/>
      <c r="AR89" s="1008"/>
      <c r="AS89" s="1008"/>
      <c r="AT89" s="1008"/>
    </row>
    <row r="90" spans="2:46">
      <c r="B90" s="389">
        <f>名簿!E87</f>
        <v>0</v>
      </c>
      <c r="C90" s="390" t="str">
        <f>名簿!CM87</f>
        <v/>
      </c>
      <c r="D90" s="390" t="str">
        <f>名簿!CM87</f>
        <v/>
      </c>
      <c r="E90" s="390" t="str">
        <f>名簿!Z87</f>
        <v/>
      </c>
      <c r="F90" s="390" t="str">
        <f>名簿!P87</f>
        <v/>
      </c>
      <c r="G90" s="390" t="str">
        <f>名簿!Q87</f>
        <v/>
      </c>
      <c r="H90" s="391" t="str">
        <f>名簿!Y87</f>
        <v/>
      </c>
      <c r="I90" s="391" t="str">
        <f>名簿!CN87</f>
        <v/>
      </c>
      <c r="J90" s="900">
        <f>名簿!CP87</f>
        <v>0</v>
      </c>
      <c r="K90" s="900" t="str">
        <f>名簿!CU87</f>
        <v>00</v>
      </c>
      <c r="L90" s="900" t="str">
        <f>名簿!CU87</f>
        <v>00</v>
      </c>
      <c r="M90" s="1328">
        <f>名簿!D87</f>
        <v>0</v>
      </c>
      <c r="N90" s="1326"/>
      <c r="O90" s="258" t="str">
        <f>IF(N90="","",IF(H90=1,VLOOKUP(N90,男子種目コード!$V$23:$W$25,2,FALSE),IF(H90=2,VLOOKUP(N90,女子種目コード!$V$23:$W$25,2,FALSE))))</f>
        <v/>
      </c>
      <c r="P90" s="540" t="str">
        <f>IF(N90="","",HLOOKUP(N90,名簿!$AH$3:$CH$118,85,FALSE))</f>
        <v/>
      </c>
      <c r="Q90" s="114">
        <f t="shared" si="6"/>
        <v>0</v>
      </c>
      <c r="R90" s="115" t="s">
        <v>486</v>
      </c>
      <c r="S90" s="116" t="str">
        <f t="shared" si="7"/>
        <v>0中学</v>
      </c>
      <c r="T90" s="124"/>
      <c r="U90" s="123"/>
      <c r="V90" s="117"/>
      <c r="W90" s="125"/>
      <c r="X90" s="126"/>
      <c r="Y90" s="120"/>
      <c r="Z90" s="127"/>
      <c r="AA90" s="126"/>
      <c r="AB90" s="122"/>
      <c r="AC90" s="98">
        <v>0</v>
      </c>
      <c r="AG90" s="40" t="str">
        <f t="shared" si="5"/>
        <v/>
      </c>
      <c r="AH90" s="376"/>
      <c r="AI90" s="376"/>
      <c r="AJ90" s="365"/>
      <c r="AK90" s="1008"/>
      <c r="AL90" s="1008"/>
      <c r="AM90" s="1008"/>
      <c r="AN90" s="1008"/>
      <c r="AO90" s="1008"/>
      <c r="AP90" s="1008"/>
      <c r="AQ90" s="1008"/>
      <c r="AR90" s="1008"/>
      <c r="AS90" s="1008"/>
      <c r="AT90" s="1008"/>
    </row>
    <row r="91" spans="2:46">
      <c r="B91" s="389">
        <f>名簿!E88</f>
        <v>0</v>
      </c>
      <c r="C91" s="390" t="str">
        <f>名簿!CM88</f>
        <v/>
      </c>
      <c r="D91" s="390" t="str">
        <f>名簿!CM88</f>
        <v/>
      </c>
      <c r="E91" s="390" t="str">
        <f>名簿!Z88</f>
        <v/>
      </c>
      <c r="F91" s="390" t="str">
        <f>名簿!P88</f>
        <v/>
      </c>
      <c r="G91" s="390" t="str">
        <f>名簿!Q88</f>
        <v/>
      </c>
      <c r="H91" s="391" t="str">
        <f>名簿!Y88</f>
        <v/>
      </c>
      <c r="I91" s="391" t="str">
        <f>名簿!CN88</f>
        <v/>
      </c>
      <c r="J91" s="900">
        <f>名簿!CP88</f>
        <v>0</v>
      </c>
      <c r="K91" s="900" t="str">
        <f>名簿!CU88</f>
        <v>00</v>
      </c>
      <c r="L91" s="900" t="str">
        <f>名簿!CU88</f>
        <v>00</v>
      </c>
      <c r="M91" s="1328">
        <f>名簿!D88</f>
        <v>0</v>
      </c>
      <c r="N91" s="1326"/>
      <c r="O91" s="258" t="str">
        <f>IF(N91="","",IF(H91=1,VLOOKUP(N91,男子種目コード!$V$23:$W$25,2,FALSE),IF(H91=2,VLOOKUP(N91,女子種目コード!$V$23:$W$25,2,FALSE))))</f>
        <v/>
      </c>
      <c r="P91" s="540" t="str">
        <f>IF(N91="","",HLOOKUP(N91,名簿!$AH$3:$CH$118,86,FALSE))</f>
        <v/>
      </c>
      <c r="Q91" s="114">
        <f t="shared" si="6"/>
        <v>0</v>
      </c>
      <c r="R91" s="115" t="s">
        <v>486</v>
      </c>
      <c r="S91" s="116" t="str">
        <f t="shared" si="7"/>
        <v>0中学</v>
      </c>
      <c r="T91" s="124"/>
      <c r="U91" s="123"/>
      <c r="V91" s="117"/>
      <c r="W91" s="125"/>
      <c r="X91" s="126"/>
      <c r="Y91" s="120"/>
      <c r="Z91" s="127"/>
      <c r="AA91" s="126"/>
      <c r="AB91" s="122"/>
      <c r="AC91" s="98">
        <v>0</v>
      </c>
      <c r="AG91" s="40" t="str">
        <f t="shared" si="5"/>
        <v/>
      </c>
      <c r="AH91" s="376"/>
      <c r="AI91" s="376"/>
      <c r="AJ91" s="365"/>
      <c r="AK91" s="1008"/>
      <c r="AL91" s="1008"/>
      <c r="AM91" s="1008"/>
      <c r="AN91" s="1008"/>
      <c r="AO91" s="1008"/>
      <c r="AP91" s="1008"/>
      <c r="AQ91" s="1008"/>
      <c r="AR91" s="1008"/>
      <c r="AS91" s="1008"/>
      <c r="AT91" s="1008"/>
    </row>
    <row r="92" spans="2:46">
      <c r="B92" s="389">
        <f>名簿!E89</f>
        <v>0</v>
      </c>
      <c r="C92" s="390" t="str">
        <f>名簿!CM89</f>
        <v/>
      </c>
      <c r="D92" s="390" t="str">
        <f>名簿!CM89</f>
        <v/>
      </c>
      <c r="E92" s="390" t="str">
        <f>名簿!Z89</f>
        <v/>
      </c>
      <c r="F92" s="390" t="str">
        <f>名簿!P89</f>
        <v/>
      </c>
      <c r="G92" s="390" t="str">
        <f>名簿!Q89</f>
        <v/>
      </c>
      <c r="H92" s="391" t="str">
        <f>名簿!Y89</f>
        <v/>
      </c>
      <c r="I92" s="391" t="str">
        <f>名簿!CN89</f>
        <v/>
      </c>
      <c r="J92" s="900">
        <f>名簿!CP89</f>
        <v>0</v>
      </c>
      <c r="K92" s="900" t="str">
        <f>名簿!CU89</f>
        <v>00</v>
      </c>
      <c r="L92" s="900" t="str">
        <f>名簿!CU89</f>
        <v>00</v>
      </c>
      <c r="M92" s="1328">
        <f>名簿!D89</f>
        <v>0</v>
      </c>
      <c r="N92" s="1326"/>
      <c r="O92" s="258" t="str">
        <f>IF(N92="","",IF(H92=1,VLOOKUP(N92,男子種目コード!$V$23:$W$25,2,FALSE),IF(H92=2,VLOOKUP(N92,女子種目コード!$V$23:$W$25,2,FALSE))))</f>
        <v/>
      </c>
      <c r="P92" s="540" t="str">
        <f>IF(N92="","",HLOOKUP(N92,名簿!$AH$3:$CH$118,87,FALSE))</f>
        <v/>
      </c>
      <c r="Q92" s="114">
        <f t="shared" si="6"/>
        <v>0</v>
      </c>
      <c r="R92" s="115" t="s">
        <v>486</v>
      </c>
      <c r="S92" s="116" t="str">
        <f t="shared" si="7"/>
        <v>0中学</v>
      </c>
      <c r="T92" s="124"/>
      <c r="U92" s="123"/>
      <c r="V92" s="117"/>
      <c r="W92" s="125"/>
      <c r="X92" s="126"/>
      <c r="Y92" s="120"/>
      <c r="Z92" s="127"/>
      <c r="AA92" s="126"/>
      <c r="AB92" s="122"/>
      <c r="AC92" s="98">
        <v>0</v>
      </c>
      <c r="AG92" s="40" t="str">
        <f t="shared" si="5"/>
        <v/>
      </c>
      <c r="AH92" s="376"/>
      <c r="AI92" s="376"/>
      <c r="AJ92" s="365"/>
      <c r="AK92" s="1008"/>
      <c r="AL92" s="1008"/>
      <c r="AM92" s="1008"/>
      <c r="AN92" s="1008"/>
      <c r="AO92" s="1008"/>
      <c r="AP92" s="1008"/>
      <c r="AQ92" s="1008"/>
      <c r="AR92" s="1008"/>
      <c r="AS92" s="1008"/>
      <c r="AT92" s="1008"/>
    </row>
    <row r="93" spans="2:46">
      <c r="B93" s="389">
        <f>名簿!E90</f>
        <v>0</v>
      </c>
      <c r="C93" s="390" t="str">
        <f>名簿!CM90</f>
        <v/>
      </c>
      <c r="D93" s="390" t="str">
        <f>名簿!CM90</f>
        <v/>
      </c>
      <c r="E93" s="390" t="str">
        <f>名簿!Z90</f>
        <v/>
      </c>
      <c r="F93" s="390" t="str">
        <f>名簿!P90</f>
        <v/>
      </c>
      <c r="G93" s="390" t="str">
        <f>名簿!Q90</f>
        <v/>
      </c>
      <c r="H93" s="391" t="str">
        <f>名簿!Y90</f>
        <v/>
      </c>
      <c r="I93" s="391" t="str">
        <f>名簿!CN90</f>
        <v/>
      </c>
      <c r="J93" s="900">
        <f>名簿!CP90</f>
        <v>0</v>
      </c>
      <c r="K93" s="900" t="str">
        <f>名簿!CU90</f>
        <v>00</v>
      </c>
      <c r="L93" s="900" t="str">
        <f>名簿!CU90</f>
        <v>00</v>
      </c>
      <c r="M93" s="1328">
        <f>名簿!D90</f>
        <v>0</v>
      </c>
      <c r="N93" s="1326"/>
      <c r="O93" s="258" t="str">
        <f>IF(N93="","",IF(H93=1,VLOOKUP(N93,男子種目コード!$V$23:$W$25,2,FALSE),IF(H93=2,VLOOKUP(N93,女子種目コード!$V$23:$W$25,2,FALSE))))</f>
        <v/>
      </c>
      <c r="P93" s="540" t="str">
        <f>IF(N93="","",HLOOKUP(N93,名簿!$AH$3:$CH$118,88,FALSE))</f>
        <v/>
      </c>
      <c r="Q93" s="114">
        <f t="shared" si="6"/>
        <v>0</v>
      </c>
      <c r="R93" s="115" t="s">
        <v>486</v>
      </c>
      <c r="S93" s="116" t="str">
        <f t="shared" si="7"/>
        <v>0中学</v>
      </c>
      <c r="T93" s="124"/>
      <c r="U93" s="123"/>
      <c r="V93" s="117"/>
      <c r="W93" s="125"/>
      <c r="X93" s="126"/>
      <c r="Y93" s="120"/>
      <c r="Z93" s="127"/>
      <c r="AA93" s="126"/>
      <c r="AB93" s="122"/>
      <c r="AC93" s="98">
        <v>0</v>
      </c>
      <c r="AG93" s="40" t="str">
        <f t="shared" si="5"/>
        <v/>
      </c>
      <c r="AH93" s="376"/>
      <c r="AI93" s="376"/>
      <c r="AJ93" s="365"/>
      <c r="AK93" s="1008"/>
      <c r="AL93" s="1008"/>
      <c r="AM93" s="1008"/>
      <c r="AN93" s="1008"/>
      <c r="AO93" s="1008"/>
      <c r="AP93" s="1008"/>
      <c r="AQ93" s="1008"/>
      <c r="AR93" s="1008"/>
      <c r="AS93" s="1008"/>
      <c r="AT93" s="1008"/>
    </row>
    <row r="94" spans="2:46">
      <c r="B94" s="389">
        <f>名簿!E91</f>
        <v>0</v>
      </c>
      <c r="C94" s="390" t="str">
        <f>名簿!CM91</f>
        <v/>
      </c>
      <c r="D94" s="390" t="str">
        <f>名簿!CM91</f>
        <v/>
      </c>
      <c r="E94" s="390" t="str">
        <f>名簿!Z91</f>
        <v/>
      </c>
      <c r="F94" s="390" t="str">
        <f>名簿!P91</f>
        <v/>
      </c>
      <c r="G94" s="390" t="str">
        <f>名簿!Q91</f>
        <v/>
      </c>
      <c r="H94" s="391" t="str">
        <f>名簿!Y91</f>
        <v/>
      </c>
      <c r="I94" s="391" t="str">
        <f>名簿!CN91</f>
        <v/>
      </c>
      <c r="J94" s="900">
        <f>名簿!CP91</f>
        <v>0</v>
      </c>
      <c r="K94" s="900" t="str">
        <f>名簿!CU91</f>
        <v>00</v>
      </c>
      <c r="L94" s="900" t="str">
        <f>名簿!CU91</f>
        <v>00</v>
      </c>
      <c r="M94" s="1328">
        <f>名簿!D91</f>
        <v>0</v>
      </c>
      <c r="N94" s="1326"/>
      <c r="O94" s="258" t="str">
        <f>IF(N94="","",IF(H94=1,VLOOKUP(N94,男子種目コード!$V$23:$W$25,2,FALSE),IF(H94=2,VLOOKUP(N94,女子種目コード!$V$23:$W$25,2,FALSE))))</f>
        <v/>
      </c>
      <c r="P94" s="540" t="str">
        <f>IF(N94="","",HLOOKUP(N94,名簿!$AH$3:$CH$118,89,FALSE))</f>
        <v/>
      </c>
      <c r="Q94" s="114">
        <f t="shared" si="6"/>
        <v>0</v>
      </c>
      <c r="R94" s="115" t="s">
        <v>486</v>
      </c>
      <c r="S94" s="116" t="str">
        <f t="shared" si="7"/>
        <v>0中学</v>
      </c>
      <c r="T94" s="124"/>
      <c r="U94" s="123"/>
      <c r="V94" s="117"/>
      <c r="W94" s="125"/>
      <c r="X94" s="126"/>
      <c r="Y94" s="120"/>
      <c r="Z94" s="127"/>
      <c r="AA94" s="126"/>
      <c r="AB94" s="122"/>
      <c r="AC94" s="98">
        <v>0</v>
      </c>
      <c r="AG94" s="40" t="str">
        <f t="shared" si="5"/>
        <v/>
      </c>
      <c r="AH94" s="376"/>
      <c r="AI94" s="376"/>
      <c r="AJ94" s="365"/>
      <c r="AK94" s="1008"/>
      <c r="AL94" s="1008"/>
      <c r="AM94" s="1008"/>
      <c r="AN94" s="1008"/>
      <c r="AO94" s="1008"/>
      <c r="AP94" s="1008"/>
      <c r="AQ94" s="1008"/>
      <c r="AR94" s="1008"/>
      <c r="AS94" s="1008"/>
      <c r="AT94" s="1008"/>
    </row>
    <row r="95" spans="2:46">
      <c r="B95" s="389">
        <f>名簿!E92</f>
        <v>0</v>
      </c>
      <c r="C95" s="390" t="str">
        <f>名簿!CM92</f>
        <v/>
      </c>
      <c r="D95" s="390" t="str">
        <f>名簿!CM92</f>
        <v/>
      </c>
      <c r="E95" s="390" t="str">
        <f>名簿!Z92</f>
        <v/>
      </c>
      <c r="F95" s="390" t="str">
        <f>名簿!P92</f>
        <v/>
      </c>
      <c r="G95" s="390" t="str">
        <f>名簿!Q92</f>
        <v/>
      </c>
      <c r="H95" s="391" t="str">
        <f>名簿!Y92</f>
        <v/>
      </c>
      <c r="I95" s="391" t="str">
        <f>名簿!CN92</f>
        <v/>
      </c>
      <c r="J95" s="900">
        <f>名簿!CP92</f>
        <v>0</v>
      </c>
      <c r="K95" s="900" t="str">
        <f>名簿!CU92</f>
        <v>00</v>
      </c>
      <c r="L95" s="900" t="str">
        <f>名簿!CU92</f>
        <v>00</v>
      </c>
      <c r="M95" s="1328">
        <f>名簿!D92</f>
        <v>0</v>
      </c>
      <c r="N95" s="1326"/>
      <c r="O95" s="258" t="str">
        <f>IF(N95="","",IF(H95=1,VLOOKUP(N95,男子種目コード!$V$23:$W$25,2,FALSE),IF(H95=2,VLOOKUP(N95,女子種目コード!$V$23:$W$25,2,FALSE))))</f>
        <v/>
      </c>
      <c r="P95" s="540" t="str">
        <f>IF(N95="","",HLOOKUP(N95,名簿!$AH$3:$CH$118,90,FALSE))</f>
        <v/>
      </c>
      <c r="Q95" s="114">
        <f t="shared" si="6"/>
        <v>0</v>
      </c>
      <c r="R95" s="115" t="s">
        <v>486</v>
      </c>
      <c r="S95" s="116" t="str">
        <f t="shared" si="7"/>
        <v>0中学</v>
      </c>
      <c r="T95" s="124"/>
      <c r="U95" s="123"/>
      <c r="V95" s="117"/>
      <c r="W95" s="125"/>
      <c r="X95" s="126"/>
      <c r="Y95" s="120"/>
      <c r="Z95" s="127"/>
      <c r="AA95" s="126"/>
      <c r="AB95" s="122"/>
      <c r="AC95" s="98">
        <v>0</v>
      </c>
      <c r="AG95" s="40" t="str">
        <f t="shared" si="5"/>
        <v/>
      </c>
      <c r="AH95" s="376"/>
      <c r="AI95" s="376"/>
      <c r="AJ95" s="365"/>
      <c r="AK95" s="1008"/>
      <c r="AL95" s="1008"/>
      <c r="AM95" s="1008"/>
      <c r="AN95" s="1008"/>
      <c r="AO95" s="1008"/>
      <c r="AP95" s="1008"/>
      <c r="AQ95" s="1008"/>
      <c r="AR95" s="1008"/>
      <c r="AS95" s="1008"/>
      <c r="AT95" s="1008"/>
    </row>
    <row r="96" spans="2:46">
      <c r="B96" s="389">
        <f>名簿!E93</f>
        <v>0</v>
      </c>
      <c r="C96" s="390" t="str">
        <f>名簿!CM93</f>
        <v/>
      </c>
      <c r="D96" s="390" t="str">
        <f>名簿!CM93</f>
        <v/>
      </c>
      <c r="E96" s="390" t="str">
        <f>名簿!Z93</f>
        <v/>
      </c>
      <c r="F96" s="390" t="str">
        <f>名簿!P93</f>
        <v/>
      </c>
      <c r="G96" s="390" t="str">
        <f>名簿!Q93</f>
        <v/>
      </c>
      <c r="H96" s="391" t="str">
        <f>名簿!Y93</f>
        <v/>
      </c>
      <c r="I96" s="391" t="str">
        <f>名簿!CN93</f>
        <v/>
      </c>
      <c r="J96" s="900">
        <f>名簿!CP93</f>
        <v>0</v>
      </c>
      <c r="K96" s="900" t="str">
        <f>名簿!CU93</f>
        <v>00</v>
      </c>
      <c r="L96" s="900" t="str">
        <f>名簿!CU93</f>
        <v>00</v>
      </c>
      <c r="M96" s="1328">
        <f>名簿!D93</f>
        <v>0</v>
      </c>
      <c r="N96" s="1326"/>
      <c r="O96" s="258" t="str">
        <f>IF(N96="","",IF(H96=1,VLOOKUP(N96,男子種目コード!$V$23:$W$25,2,FALSE),IF(H96=2,VLOOKUP(N96,女子種目コード!$V$23:$W$25,2,FALSE))))</f>
        <v/>
      </c>
      <c r="P96" s="540" t="str">
        <f>IF(N96="","",HLOOKUP(N96,名簿!$AH$3:$CH$118,91,FALSE))</f>
        <v/>
      </c>
      <c r="Q96" s="114">
        <f t="shared" si="6"/>
        <v>0</v>
      </c>
      <c r="R96" s="115" t="s">
        <v>486</v>
      </c>
      <c r="S96" s="116" t="str">
        <f t="shared" si="7"/>
        <v>0中学</v>
      </c>
      <c r="T96" s="124"/>
      <c r="U96" s="123"/>
      <c r="V96" s="117"/>
      <c r="W96" s="125"/>
      <c r="X96" s="126"/>
      <c r="Y96" s="120"/>
      <c r="Z96" s="127"/>
      <c r="AA96" s="126"/>
      <c r="AB96" s="122"/>
      <c r="AC96" s="98">
        <v>0</v>
      </c>
      <c r="AG96" s="40" t="str">
        <f t="shared" si="5"/>
        <v/>
      </c>
      <c r="AH96" s="376"/>
      <c r="AI96" s="376"/>
      <c r="AJ96" s="365"/>
      <c r="AK96" s="1008"/>
      <c r="AL96" s="1008"/>
      <c r="AM96" s="1008"/>
      <c r="AN96" s="1008"/>
      <c r="AO96" s="1008"/>
      <c r="AP96" s="1008"/>
      <c r="AQ96" s="1008"/>
      <c r="AR96" s="1008"/>
      <c r="AS96" s="1008"/>
      <c r="AT96" s="1008"/>
    </row>
    <row r="97" spans="2:46">
      <c r="B97" s="389">
        <f>名簿!E94</f>
        <v>0</v>
      </c>
      <c r="C97" s="390" t="str">
        <f>名簿!CM94</f>
        <v/>
      </c>
      <c r="D97" s="390" t="str">
        <f>名簿!CM94</f>
        <v/>
      </c>
      <c r="E97" s="390" t="str">
        <f>名簿!Z94</f>
        <v/>
      </c>
      <c r="F97" s="390" t="str">
        <f>名簿!P94</f>
        <v/>
      </c>
      <c r="G97" s="390" t="str">
        <f>名簿!Q94</f>
        <v/>
      </c>
      <c r="H97" s="391" t="str">
        <f>名簿!Y94</f>
        <v/>
      </c>
      <c r="I97" s="391" t="str">
        <f>名簿!CN94</f>
        <v/>
      </c>
      <c r="J97" s="900">
        <f>名簿!CP94</f>
        <v>0</v>
      </c>
      <c r="K97" s="900" t="str">
        <f>名簿!CU94</f>
        <v>00</v>
      </c>
      <c r="L97" s="900" t="str">
        <f>名簿!CU94</f>
        <v>00</v>
      </c>
      <c r="M97" s="1328">
        <f>名簿!D94</f>
        <v>0</v>
      </c>
      <c r="N97" s="1326"/>
      <c r="O97" s="258" t="str">
        <f>IF(N97="","",IF(H97=1,VLOOKUP(N97,男子種目コード!$V$23:$W$25,2,FALSE),IF(H97=2,VLOOKUP(N97,女子種目コード!$V$23:$W$25,2,FALSE))))</f>
        <v/>
      </c>
      <c r="P97" s="540" t="str">
        <f>IF(N97="","",HLOOKUP(N97,名簿!$AH$3:$CH$118,92,FALSE))</f>
        <v/>
      </c>
      <c r="Q97" s="114">
        <f t="shared" si="6"/>
        <v>0</v>
      </c>
      <c r="R97" s="115" t="s">
        <v>486</v>
      </c>
      <c r="S97" s="116" t="str">
        <f t="shared" si="7"/>
        <v>0中学</v>
      </c>
      <c r="T97" s="124"/>
      <c r="U97" s="123"/>
      <c r="V97" s="117"/>
      <c r="W97" s="125"/>
      <c r="X97" s="126"/>
      <c r="Y97" s="120"/>
      <c r="Z97" s="127"/>
      <c r="AA97" s="126"/>
      <c r="AB97" s="122"/>
      <c r="AC97" s="98">
        <v>0</v>
      </c>
      <c r="AG97" s="40" t="str">
        <f t="shared" si="5"/>
        <v/>
      </c>
      <c r="AH97" s="376"/>
      <c r="AI97" s="376"/>
      <c r="AJ97" s="365"/>
      <c r="AK97" s="1008"/>
      <c r="AL97" s="1008"/>
      <c r="AM97" s="1008"/>
      <c r="AN97" s="1008"/>
      <c r="AO97" s="1008"/>
      <c r="AP97" s="1008"/>
      <c r="AQ97" s="1008"/>
      <c r="AR97" s="1008"/>
      <c r="AS97" s="1008"/>
      <c r="AT97" s="1008"/>
    </row>
    <row r="98" spans="2:46">
      <c r="B98" s="389">
        <f>名簿!E95</f>
        <v>0</v>
      </c>
      <c r="C98" s="390" t="str">
        <f>名簿!CM95</f>
        <v/>
      </c>
      <c r="D98" s="390" t="str">
        <f>名簿!CM95</f>
        <v/>
      </c>
      <c r="E98" s="390" t="str">
        <f>名簿!Z95</f>
        <v/>
      </c>
      <c r="F98" s="390" t="str">
        <f>名簿!P95</f>
        <v/>
      </c>
      <c r="G98" s="390" t="str">
        <f>名簿!Q95</f>
        <v/>
      </c>
      <c r="H98" s="391" t="str">
        <f>名簿!Y95</f>
        <v/>
      </c>
      <c r="I98" s="391" t="str">
        <f>名簿!CN95</f>
        <v/>
      </c>
      <c r="J98" s="900">
        <f>名簿!CP95</f>
        <v>0</v>
      </c>
      <c r="K98" s="900" t="str">
        <f>名簿!CU95</f>
        <v>00</v>
      </c>
      <c r="L98" s="900" t="str">
        <f>名簿!CU95</f>
        <v>00</v>
      </c>
      <c r="M98" s="1328">
        <f>名簿!D95</f>
        <v>0</v>
      </c>
      <c r="N98" s="1326"/>
      <c r="O98" s="258" t="str">
        <f>IF(N98="","",IF(H98=1,VLOOKUP(N98,男子種目コード!$V$23:$W$25,2,FALSE),IF(H98=2,VLOOKUP(N98,女子種目コード!$V$23:$W$25,2,FALSE))))</f>
        <v/>
      </c>
      <c r="P98" s="540" t="str">
        <f>IF(N98="","",HLOOKUP(N98,名簿!$AH$3:$CH$118,93,FALSE))</f>
        <v/>
      </c>
      <c r="Q98" s="114">
        <f t="shared" si="6"/>
        <v>0</v>
      </c>
      <c r="R98" s="115" t="s">
        <v>486</v>
      </c>
      <c r="S98" s="116" t="str">
        <f t="shared" si="7"/>
        <v>0中学</v>
      </c>
      <c r="T98" s="124"/>
      <c r="U98" s="123"/>
      <c r="V98" s="117"/>
      <c r="W98" s="125"/>
      <c r="X98" s="126"/>
      <c r="Y98" s="120"/>
      <c r="Z98" s="127"/>
      <c r="AA98" s="126"/>
      <c r="AB98" s="122"/>
      <c r="AC98" s="98">
        <v>0</v>
      </c>
      <c r="AG98" s="40" t="str">
        <f t="shared" si="5"/>
        <v/>
      </c>
      <c r="AH98" s="376"/>
      <c r="AI98" s="376"/>
      <c r="AJ98" s="365"/>
      <c r="AK98" s="1008"/>
      <c r="AL98" s="1008"/>
      <c r="AM98" s="1008"/>
      <c r="AN98" s="1008"/>
      <c r="AO98" s="1008"/>
      <c r="AP98" s="1008"/>
      <c r="AQ98" s="1008"/>
      <c r="AR98" s="1008"/>
      <c r="AS98" s="1008"/>
      <c r="AT98" s="1008"/>
    </row>
    <row r="99" spans="2:46">
      <c r="B99" s="389">
        <f>名簿!E96</f>
        <v>0</v>
      </c>
      <c r="C99" s="390" t="str">
        <f>名簿!CM96</f>
        <v/>
      </c>
      <c r="D99" s="390" t="str">
        <f>名簿!CM96</f>
        <v/>
      </c>
      <c r="E99" s="390" t="str">
        <f>名簿!Z96</f>
        <v/>
      </c>
      <c r="F99" s="390" t="str">
        <f>名簿!P96</f>
        <v/>
      </c>
      <c r="G99" s="390" t="str">
        <f>名簿!Q96</f>
        <v/>
      </c>
      <c r="H99" s="391" t="str">
        <f>名簿!Y96</f>
        <v/>
      </c>
      <c r="I99" s="391" t="str">
        <f>名簿!CN96</f>
        <v/>
      </c>
      <c r="J99" s="900">
        <f>名簿!CP96</f>
        <v>0</v>
      </c>
      <c r="K99" s="900" t="str">
        <f>名簿!CU96</f>
        <v>00</v>
      </c>
      <c r="L99" s="900" t="str">
        <f>名簿!CU96</f>
        <v>00</v>
      </c>
      <c r="M99" s="1328">
        <f>名簿!D96</f>
        <v>0</v>
      </c>
      <c r="N99" s="1326"/>
      <c r="O99" s="258" t="str">
        <f>IF(N99="","",IF(H99=1,VLOOKUP(N99,男子種目コード!$V$23:$W$25,2,FALSE),IF(H99=2,VLOOKUP(N99,女子種目コード!$V$23:$W$25,2,FALSE))))</f>
        <v/>
      </c>
      <c r="P99" s="540" t="str">
        <f>IF(N99="","",HLOOKUP(N99,名簿!$AH$3:$CH$118,94,FALSE))</f>
        <v/>
      </c>
      <c r="Q99" s="114">
        <f t="shared" si="6"/>
        <v>0</v>
      </c>
      <c r="R99" s="115" t="s">
        <v>486</v>
      </c>
      <c r="S99" s="116" t="str">
        <f t="shared" si="7"/>
        <v>0中学</v>
      </c>
      <c r="T99" s="124"/>
      <c r="U99" s="123"/>
      <c r="V99" s="117"/>
      <c r="W99" s="125"/>
      <c r="X99" s="126"/>
      <c r="Y99" s="120"/>
      <c r="Z99" s="127"/>
      <c r="AA99" s="126"/>
      <c r="AB99" s="122"/>
      <c r="AC99" s="98">
        <v>0</v>
      </c>
      <c r="AG99" s="40" t="str">
        <f t="shared" si="5"/>
        <v/>
      </c>
      <c r="AH99" s="376"/>
      <c r="AI99" s="376"/>
      <c r="AJ99" s="365"/>
      <c r="AK99" s="1008"/>
      <c r="AL99" s="1008"/>
      <c r="AM99" s="1008"/>
      <c r="AN99" s="1008"/>
      <c r="AO99" s="1008"/>
      <c r="AP99" s="1008"/>
      <c r="AQ99" s="1008"/>
      <c r="AR99" s="1008"/>
      <c r="AS99" s="1008"/>
      <c r="AT99" s="1008"/>
    </row>
    <row r="100" spans="2:46">
      <c r="B100" s="389">
        <f>名簿!E97</f>
        <v>0</v>
      </c>
      <c r="C100" s="390" t="str">
        <f>名簿!CM97</f>
        <v/>
      </c>
      <c r="D100" s="390" t="str">
        <f>名簿!CM97</f>
        <v/>
      </c>
      <c r="E100" s="390" t="str">
        <f>名簿!Z97</f>
        <v/>
      </c>
      <c r="F100" s="390" t="str">
        <f>名簿!P97</f>
        <v/>
      </c>
      <c r="G100" s="390" t="str">
        <f>名簿!Q97</f>
        <v/>
      </c>
      <c r="H100" s="391" t="str">
        <f>名簿!Y97</f>
        <v/>
      </c>
      <c r="I100" s="391" t="str">
        <f>名簿!CN97</f>
        <v/>
      </c>
      <c r="J100" s="900">
        <f>名簿!CP97</f>
        <v>0</v>
      </c>
      <c r="K100" s="900" t="str">
        <f>名簿!CU97</f>
        <v>00</v>
      </c>
      <c r="L100" s="900" t="str">
        <f>名簿!CU97</f>
        <v>00</v>
      </c>
      <c r="M100" s="1328">
        <f>名簿!D97</f>
        <v>0</v>
      </c>
      <c r="N100" s="1326"/>
      <c r="O100" s="258" t="str">
        <f>IF(N100="","",IF(H100=1,VLOOKUP(N100,男子種目コード!$V$23:$W$25,2,FALSE),IF(H100=2,VLOOKUP(N100,女子種目コード!$V$23:$W$25,2,FALSE))))</f>
        <v/>
      </c>
      <c r="P100" s="540" t="str">
        <f>IF(N100="","",HLOOKUP(N100,名簿!$AH$3:$CH$118,95,FALSE))</f>
        <v/>
      </c>
      <c r="Q100" s="114">
        <f t="shared" si="6"/>
        <v>0</v>
      </c>
      <c r="R100" s="115" t="s">
        <v>486</v>
      </c>
      <c r="S100" s="116" t="str">
        <f t="shared" si="7"/>
        <v>0中学</v>
      </c>
      <c r="T100" s="124"/>
      <c r="U100" s="123"/>
      <c r="V100" s="117"/>
      <c r="W100" s="125"/>
      <c r="X100" s="126"/>
      <c r="Y100" s="120"/>
      <c r="Z100" s="127"/>
      <c r="AA100" s="126"/>
      <c r="AB100" s="122"/>
      <c r="AC100" s="98">
        <v>0</v>
      </c>
      <c r="AG100" s="40" t="str">
        <f t="shared" si="5"/>
        <v/>
      </c>
      <c r="AH100" s="376"/>
      <c r="AI100" s="376"/>
      <c r="AJ100" s="365"/>
      <c r="AK100" s="1008"/>
      <c r="AL100" s="1008"/>
      <c r="AM100" s="1008"/>
      <c r="AN100" s="1008"/>
      <c r="AO100" s="1008"/>
      <c r="AP100" s="1008"/>
      <c r="AQ100" s="1008"/>
      <c r="AR100" s="1008"/>
      <c r="AS100" s="1008"/>
      <c r="AT100" s="1008"/>
    </row>
    <row r="101" spans="2:46">
      <c r="B101" s="389">
        <f>名簿!E98</f>
        <v>0</v>
      </c>
      <c r="C101" s="390" t="str">
        <f>名簿!CM98</f>
        <v/>
      </c>
      <c r="D101" s="390" t="str">
        <f>名簿!CM98</f>
        <v/>
      </c>
      <c r="E101" s="390" t="str">
        <f>名簿!Z98</f>
        <v/>
      </c>
      <c r="F101" s="390" t="str">
        <f>名簿!P98</f>
        <v/>
      </c>
      <c r="G101" s="390" t="str">
        <f>名簿!Q98</f>
        <v/>
      </c>
      <c r="H101" s="391" t="str">
        <f>名簿!Y98</f>
        <v/>
      </c>
      <c r="I101" s="391" t="str">
        <f>名簿!CN98</f>
        <v/>
      </c>
      <c r="J101" s="900">
        <f>名簿!CP98</f>
        <v>0</v>
      </c>
      <c r="K101" s="900" t="str">
        <f>名簿!CU98</f>
        <v>00</v>
      </c>
      <c r="L101" s="900" t="str">
        <f>名簿!CU98</f>
        <v>00</v>
      </c>
      <c r="M101" s="1328">
        <f>名簿!D98</f>
        <v>0</v>
      </c>
      <c r="N101" s="1326"/>
      <c r="O101" s="258" t="str">
        <f>IF(N101="","",IF(H101=1,VLOOKUP(N101,男子種目コード!$V$23:$W$25,2,FALSE),IF(H101=2,VLOOKUP(N101,女子種目コード!$V$23:$W$25,2,FALSE))))</f>
        <v/>
      </c>
      <c r="P101" s="540" t="str">
        <f>IF(N101="","",HLOOKUP(N101,名簿!$AH$3:$CH$118,96,FALSE))</f>
        <v/>
      </c>
      <c r="Q101" s="114">
        <f t="shared" si="6"/>
        <v>0</v>
      </c>
      <c r="R101" s="115" t="s">
        <v>486</v>
      </c>
      <c r="S101" s="116" t="str">
        <f t="shared" si="7"/>
        <v>0中学</v>
      </c>
      <c r="T101" s="124"/>
      <c r="U101" s="123"/>
      <c r="V101" s="117"/>
      <c r="W101" s="125"/>
      <c r="X101" s="126"/>
      <c r="Y101" s="120"/>
      <c r="Z101" s="127"/>
      <c r="AA101" s="126"/>
      <c r="AB101" s="122"/>
      <c r="AC101" s="98">
        <v>0</v>
      </c>
      <c r="AG101" s="40" t="str">
        <f t="shared" si="5"/>
        <v/>
      </c>
      <c r="AH101" s="376"/>
      <c r="AI101" s="376"/>
      <c r="AJ101" s="365"/>
      <c r="AK101" s="1008"/>
      <c r="AL101" s="1008"/>
      <c r="AM101" s="1008"/>
      <c r="AN101" s="1008"/>
      <c r="AO101" s="1008"/>
      <c r="AP101" s="1008"/>
      <c r="AQ101" s="1008"/>
      <c r="AR101" s="1008"/>
      <c r="AS101" s="1008"/>
      <c r="AT101" s="1008"/>
    </row>
    <row r="102" spans="2:46">
      <c r="B102" s="389">
        <f>名簿!E99</f>
        <v>0</v>
      </c>
      <c r="C102" s="390" t="str">
        <f>名簿!CM99</f>
        <v/>
      </c>
      <c r="D102" s="390" t="str">
        <f>名簿!CM99</f>
        <v/>
      </c>
      <c r="E102" s="390" t="str">
        <f>名簿!Z99</f>
        <v/>
      </c>
      <c r="F102" s="390" t="str">
        <f>名簿!P99</f>
        <v/>
      </c>
      <c r="G102" s="390" t="str">
        <f>名簿!Q99</f>
        <v/>
      </c>
      <c r="H102" s="391" t="str">
        <f>名簿!Y99</f>
        <v/>
      </c>
      <c r="I102" s="391" t="str">
        <f>名簿!CN99</f>
        <v/>
      </c>
      <c r="J102" s="900">
        <f>名簿!CP99</f>
        <v>0</v>
      </c>
      <c r="K102" s="900" t="str">
        <f>名簿!CU99</f>
        <v>00</v>
      </c>
      <c r="L102" s="900" t="str">
        <f>名簿!CU99</f>
        <v>00</v>
      </c>
      <c r="M102" s="1328">
        <f>名簿!D99</f>
        <v>0</v>
      </c>
      <c r="N102" s="1326"/>
      <c r="O102" s="258" t="str">
        <f>IF(N102="","",IF(H102=1,VLOOKUP(N102,男子種目コード!$V$23:$W$25,2,FALSE),IF(H102=2,VLOOKUP(N102,女子種目コード!$V$23:$W$25,2,FALSE))))</f>
        <v/>
      </c>
      <c r="P102" s="540" t="str">
        <f>IF(N102="","",HLOOKUP(N102,名簿!$AH$3:$CH$118,97,FALSE))</f>
        <v/>
      </c>
      <c r="Q102" s="114">
        <f t="shared" si="6"/>
        <v>0</v>
      </c>
      <c r="R102" s="115" t="s">
        <v>486</v>
      </c>
      <c r="S102" s="116" t="str">
        <f t="shared" si="7"/>
        <v>0中学</v>
      </c>
      <c r="T102" s="124"/>
      <c r="U102" s="123"/>
      <c r="V102" s="117"/>
      <c r="W102" s="125"/>
      <c r="X102" s="126"/>
      <c r="Y102" s="120"/>
      <c r="Z102" s="127"/>
      <c r="AA102" s="126"/>
      <c r="AB102" s="122"/>
      <c r="AC102" s="98">
        <v>0</v>
      </c>
      <c r="AG102" s="40" t="str">
        <f t="shared" si="5"/>
        <v/>
      </c>
      <c r="AH102" s="376"/>
      <c r="AI102" s="376"/>
      <c r="AJ102" s="365"/>
      <c r="AK102" s="1008"/>
      <c r="AL102" s="1008"/>
      <c r="AM102" s="1008"/>
      <c r="AN102" s="1008"/>
      <c r="AO102" s="1008"/>
      <c r="AP102" s="1008"/>
      <c r="AQ102" s="1008"/>
      <c r="AR102" s="1008"/>
      <c r="AS102" s="1008"/>
      <c r="AT102" s="1008"/>
    </row>
    <row r="103" spans="2:46">
      <c r="B103" s="389">
        <f>名簿!E100</f>
        <v>0</v>
      </c>
      <c r="C103" s="390" t="str">
        <f>名簿!CM100</f>
        <v/>
      </c>
      <c r="D103" s="390" t="str">
        <f>名簿!CM100</f>
        <v/>
      </c>
      <c r="E103" s="390" t="str">
        <f>名簿!Z100</f>
        <v/>
      </c>
      <c r="F103" s="390" t="str">
        <f>名簿!P100</f>
        <v/>
      </c>
      <c r="G103" s="390" t="str">
        <f>名簿!Q100</f>
        <v/>
      </c>
      <c r="H103" s="391" t="str">
        <f>名簿!Y100</f>
        <v/>
      </c>
      <c r="I103" s="391" t="str">
        <f>名簿!CN100</f>
        <v/>
      </c>
      <c r="J103" s="900">
        <f>名簿!CP100</f>
        <v>0</v>
      </c>
      <c r="K103" s="900" t="str">
        <f>名簿!CU100</f>
        <v>00</v>
      </c>
      <c r="L103" s="900" t="str">
        <f>名簿!CU100</f>
        <v>00</v>
      </c>
      <c r="M103" s="1328">
        <f>名簿!D100</f>
        <v>0</v>
      </c>
      <c r="N103" s="1326"/>
      <c r="O103" s="258" t="str">
        <f>IF(N103="","",IF(H103=1,VLOOKUP(N103,男子種目コード!$V$23:$W$25,2,FALSE),IF(H103=2,VLOOKUP(N103,女子種目コード!$V$23:$W$25,2,FALSE))))</f>
        <v/>
      </c>
      <c r="P103" s="540" t="str">
        <f>IF(N103="","",HLOOKUP(N103,名簿!$AH$3:$CH$118,98,FALSE))</f>
        <v/>
      </c>
      <c r="Q103" s="114">
        <f t="shared" si="6"/>
        <v>0</v>
      </c>
      <c r="R103" s="115" t="s">
        <v>486</v>
      </c>
      <c r="S103" s="116" t="str">
        <f t="shared" si="7"/>
        <v>0中学</v>
      </c>
      <c r="T103" s="124"/>
      <c r="U103" s="123"/>
      <c r="V103" s="117"/>
      <c r="W103" s="125"/>
      <c r="X103" s="126"/>
      <c r="Y103" s="120"/>
      <c r="Z103" s="127"/>
      <c r="AA103" s="126"/>
      <c r="AB103" s="122"/>
      <c r="AC103" s="98">
        <v>0</v>
      </c>
      <c r="AG103" s="40" t="str">
        <f t="shared" ref="AG103:AG116" si="8">IF(N103="","",1)</f>
        <v/>
      </c>
      <c r="AH103" s="376"/>
      <c r="AI103" s="376"/>
      <c r="AJ103" s="365"/>
      <c r="AK103" s="1008"/>
      <c r="AL103" s="1008"/>
      <c r="AM103" s="1008"/>
      <c r="AN103" s="1008"/>
      <c r="AO103" s="1008"/>
      <c r="AP103" s="1008"/>
      <c r="AQ103" s="1008"/>
      <c r="AR103" s="1008"/>
      <c r="AS103" s="1008"/>
      <c r="AT103" s="1008"/>
    </row>
    <row r="104" spans="2:46">
      <c r="B104" s="389">
        <f>名簿!E101</f>
        <v>0</v>
      </c>
      <c r="C104" s="390" t="str">
        <f>名簿!CM101</f>
        <v/>
      </c>
      <c r="D104" s="390" t="str">
        <f>名簿!CM101</f>
        <v/>
      </c>
      <c r="E104" s="390" t="str">
        <f>名簿!Z101</f>
        <v/>
      </c>
      <c r="F104" s="390" t="str">
        <f>名簿!P101</f>
        <v/>
      </c>
      <c r="G104" s="390" t="str">
        <f>名簿!Q101</f>
        <v/>
      </c>
      <c r="H104" s="391" t="str">
        <f>名簿!Y101</f>
        <v/>
      </c>
      <c r="I104" s="391" t="str">
        <f>名簿!CN101</f>
        <v/>
      </c>
      <c r="J104" s="900">
        <f>名簿!CP101</f>
        <v>0</v>
      </c>
      <c r="K104" s="900" t="str">
        <f>名簿!CU101</f>
        <v>00</v>
      </c>
      <c r="L104" s="900" t="str">
        <f>名簿!CU101</f>
        <v>00</v>
      </c>
      <c r="M104" s="1328">
        <f>名簿!D101</f>
        <v>0</v>
      </c>
      <c r="N104" s="1326"/>
      <c r="O104" s="258" t="str">
        <f>IF(N104="","",IF(H104=1,VLOOKUP(N104,男子種目コード!$V$23:$W$25,2,FALSE),IF(H104=2,VLOOKUP(N104,女子種目コード!$V$23:$W$25,2,FALSE))))</f>
        <v/>
      </c>
      <c r="P104" s="540" t="str">
        <f>IF(N104="","",HLOOKUP(N104,名簿!$AH$3:$CH$118,99,FALSE))</f>
        <v/>
      </c>
      <c r="Q104" s="114">
        <f t="shared" si="6"/>
        <v>0</v>
      </c>
      <c r="R104" s="115" t="s">
        <v>486</v>
      </c>
      <c r="S104" s="116" t="str">
        <f t="shared" si="7"/>
        <v>0中学</v>
      </c>
      <c r="T104" s="124"/>
      <c r="U104" s="123"/>
      <c r="V104" s="117"/>
      <c r="W104" s="125"/>
      <c r="X104" s="126"/>
      <c r="Y104" s="120"/>
      <c r="Z104" s="127"/>
      <c r="AA104" s="126"/>
      <c r="AB104" s="122"/>
      <c r="AC104" s="98">
        <v>0</v>
      </c>
      <c r="AG104" s="40" t="str">
        <f t="shared" si="8"/>
        <v/>
      </c>
      <c r="AH104" s="376"/>
      <c r="AI104" s="376"/>
      <c r="AJ104" s="365"/>
      <c r="AK104" s="1008"/>
      <c r="AL104" s="1008"/>
      <c r="AM104" s="1008"/>
      <c r="AN104" s="1008"/>
      <c r="AO104" s="1008"/>
      <c r="AP104" s="1008"/>
      <c r="AQ104" s="1008"/>
      <c r="AR104" s="1008"/>
      <c r="AS104" s="1008"/>
      <c r="AT104" s="1008"/>
    </row>
    <row r="105" spans="2:46">
      <c r="B105" s="389">
        <f>名簿!E102</f>
        <v>0</v>
      </c>
      <c r="C105" s="390" t="str">
        <f>名簿!CM102</f>
        <v/>
      </c>
      <c r="D105" s="390" t="str">
        <f>名簿!CM102</f>
        <v/>
      </c>
      <c r="E105" s="390" t="str">
        <f>名簿!Z102</f>
        <v/>
      </c>
      <c r="F105" s="390" t="str">
        <f>名簿!P102</f>
        <v/>
      </c>
      <c r="G105" s="390" t="str">
        <f>名簿!Q102</f>
        <v/>
      </c>
      <c r="H105" s="391" t="str">
        <f>名簿!Y102</f>
        <v/>
      </c>
      <c r="I105" s="391" t="str">
        <f>名簿!CN102</f>
        <v/>
      </c>
      <c r="J105" s="900">
        <f>名簿!CP102</f>
        <v>0</v>
      </c>
      <c r="K105" s="900" t="str">
        <f>名簿!CU102</f>
        <v>00</v>
      </c>
      <c r="L105" s="900" t="str">
        <f>名簿!CU102</f>
        <v>00</v>
      </c>
      <c r="M105" s="1328">
        <f>名簿!D102</f>
        <v>0</v>
      </c>
      <c r="N105" s="1326"/>
      <c r="O105" s="258" t="str">
        <f>IF(N105="","",IF(H105=1,VLOOKUP(N105,男子種目コード!$V$23:$W$25,2,FALSE),IF(H105=2,VLOOKUP(N105,女子種目コード!$V$23:$W$25,2,FALSE))))</f>
        <v/>
      </c>
      <c r="P105" s="540" t="str">
        <f>IF(N105="","",HLOOKUP(N105,名簿!$AH$3:$CH$118,100,FALSE))</f>
        <v/>
      </c>
      <c r="Q105" s="114">
        <f t="shared" si="6"/>
        <v>0</v>
      </c>
      <c r="R105" s="115" t="s">
        <v>486</v>
      </c>
      <c r="S105" s="116" t="str">
        <f t="shared" si="7"/>
        <v>0中学</v>
      </c>
      <c r="T105" s="124"/>
      <c r="U105" s="123"/>
      <c r="V105" s="117"/>
      <c r="W105" s="125"/>
      <c r="X105" s="126"/>
      <c r="Y105" s="120"/>
      <c r="Z105" s="127"/>
      <c r="AA105" s="126"/>
      <c r="AB105" s="122"/>
      <c r="AC105" s="98">
        <v>0</v>
      </c>
      <c r="AG105" s="40" t="str">
        <f t="shared" si="8"/>
        <v/>
      </c>
      <c r="AH105" s="376"/>
      <c r="AI105" s="376"/>
      <c r="AJ105" s="365"/>
      <c r="AK105" s="1008"/>
      <c r="AL105" s="1008"/>
      <c r="AM105" s="1008"/>
      <c r="AN105" s="1008"/>
      <c r="AO105" s="1008"/>
      <c r="AP105" s="1008"/>
      <c r="AQ105" s="1008"/>
      <c r="AR105" s="1008"/>
      <c r="AS105" s="1008"/>
      <c r="AT105" s="1008"/>
    </row>
    <row r="106" spans="2:46">
      <c r="B106" s="389">
        <f>名簿!E103</f>
        <v>0</v>
      </c>
      <c r="C106" s="390" t="str">
        <f>名簿!CM103</f>
        <v/>
      </c>
      <c r="D106" s="390" t="str">
        <f>名簿!CM103</f>
        <v/>
      </c>
      <c r="E106" s="390" t="str">
        <f>名簿!Z103</f>
        <v/>
      </c>
      <c r="F106" s="390" t="str">
        <f>名簿!P103</f>
        <v/>
      </c>
      <c r="G106" s="390" t="str">
        <f>名簿!Q103</f>
        <v/>
      </c>
      <c r="H106" s="391" t="str">
        <f>名簿!Y103</f>
        <v/>
      </c>
      <c r="I106" s="391" t="str">
        <f>名簿!CN103</f>
        <v/>
      </c>
      <c r="J106" s="900">
        <f>名簿!CP103</f>
        <v>0</v>
      </c>
      <c r="K106" s="900" t="str">
        <f>名簿!CU103</f>
        <v>00</v>
      </c>
      <c r="L106" s="900" t="str">
        <f>名簿!CU103</f>
        <v>00</v>
      </c>
      <c r="M106" s="1328">
        <f>名簿!D103</f>
        <v>0</v>
      </c>
      <c r="N106" s="1326"/>
      <c r="O106" s="258" t="str">
        <f>IF(N106="","",IF(H106=1,VLOOKUP(N106,男子種目コード!$V$23:$W$25,2,FALSE),IF(H106=2,VLOOKUP(N106,女子種目コード!$V$23:$W$25,2,FALSE))))</f>
        <v/>
      </c>
      <c r="P106" s="540" t="str">
        <f>IF(N106="","",HLOOKUP(N106,名簿!$AH$3:$CH$118,101,FALSE))</f>
        <v/>
      </c>
      <c r="Q106" s="114">
        <f t="shared" si="6"/>
        <v>0</v>
      </c>
      <c r="R106" s="115" t="s">
        <v>486</v>
      </c>
      <c r="S106" s="116" t="str">
        <f t="shared" si="7"/>
        <v>0中学</v>
      </c>
      <c r="T106" s="124"/>
      <c r="U106" s="123"/>
      <c r="V106" s="117"/>
      <c r="W106" s="125"/>
      <c r="X106" s="126"/>
      <c r="Y106" s="120"/>
      <c r="Z106" s="127"/>
      <c r="AA106" s="126"/>
      <c r="AB106" s="122"/>
      <c r="AC106" s="98">
        <v>0</v>
      </c>
      <c r="AG106" s="40" t="str">
        <f t="shared" si="8"/>
        <v/>
      </c>
      <c r="AH106" s="376"/>
      <c r="AI106" s="376"/>
      <c r="AJ106" s="365"/>
      <c r="AK106" s="1008"/>
      <c r="AL106" s="1008"/>
      <c r="AM106" s="1008"/>
      <c r="AN106" s="1008"/>
      <c r="AO106" s="1008"/>
      <c r="AP106" s="1008"/>
      <c r="AQ106" s="1008"/>
      <c r="AR106" s="1008"/>
      <c r="AS106" s="1008"/>
      <c r="AT106" s="1008"/>
    </row>
    <row r="107" spans="2:46">
      <c r="B107" s="389">
        <f>名簿!E104</f>
        <v>0</v>
      </c>
      <c r="C107" s="390" t="str">
        <f>名簿!CM104</f>
        <v/>
      </c>
      <c r="D107" s="390" t="str">
        <f>名簿!CM104</f>
        <v/>
      </c>
      <c r="E107" s="390" t="str">
        <f>名簿!Z104</f>
        <v/>
      </c>
      <c r="F107" s="390" t="str">
        <f>名簿!P104</f>
        <v/>
      </c>
      <c r="G107" s="390" t="str">
        <f>名簿!Q104</f>
        <v/>
      </c>
      <c r="H107" s="391" t="str">
        <f>名簿!Y104</f>
        <v/>
      </c>
      <c r="I107" s="391" t="str">
        <f>名簿!CN104</f>
        <v/>
      </c>
      <c r="J107" s="900">
        <f>名簿!CP104</f>
        <v>0</v>
      </c>
      <c r="K107" s="900" t="str">
        <f>名簿!CU104</f>
        <v>00</v>
      </c>
      <c r="L107" s="900" t="str">
        <f>名簿!CU104</f>
        <v>00</v>
      </c>
      <c r="M107" s="1328">
        <f>名簿!D104</f>
        <v>0</v>
      </c>
      <c r="N107" s="1326"/>
      <c r="O107" s="258" t="str">
        <f>IF(N107="","",IF(H107=1,VLOOKUP(N107,男子種目コード!$V$23:$W$25,2,FALSE),IF(H107=2,VLOOKUP(N107,女子種目コード!$V$23:$W$25,2,FALSE))))</f>
        <v/>
      </c>
      <c r="P107" s="540" t="str">
        <f>IF(N107="","",HLOOKUP(N107,名簿!$AH$3:$CH$118,102,FALSE))</f>
        <v/>
      </c>
      <c r="Q107" s="114">
        <f t="shared" si="6"/>
        <v>0</v>
      </c>
      <c r="R107" s="115" t="s">
        <v>486</v>
      </c>
      <c r="S107" s="116" t="str">
        <f t="shared" si="7"/>
        <v>0中学</v>
      </c>
      <c r="T107" s="124"/>
      <c r="U107" s="123"/>
      <c r="V107" s="117"/>
      <c r="W107" s="125"/>
      <c r="X107" s="126"/>
      <c r="Y107" s="120"/>
      <c r="Z107" s="127"/>
      <c r="AA107" s="126"/>
      <c r="AB107" s="122"/>
      <c r="AC107" s="98">
        <v>0</v>
      </c>
      <c r="AG107" s="40" t="str">
        <f t="shared" si="8"/>
        <v/>
      </c>
      <c r="AH107" s="376"/>
      <c r="AI107" s="376"/>
      <c r="AJ107" s="365"/>
      <c r="AK107" s="1008"/>
      <c r="AL107" s="1008"/>
      <c r="AM107" s="1008"/>
      <c r="AN107" s="1008"/>
      <c r="AO107" s="1008"/>
      <c r="AP107" s="1008"/>
      <c r="AQ107" s="1008"/>
      <c r="AR107" s="1008"/>
      <c r="AS107" s="1008"/>
      <c r="AT107" s="1008"/>
    </row>
    <row r="108" spans="2:46">
      <c r="B108" s="389">
        <f>名簿!E105</f>
        <v>0</v>
      </c>
      <c r="C108" s="390" t="str">
        <f>名簿!CM105</f>
        <v/>
      </c>
      <c r="D108" s="390" t="str">
        <f>名簿!CM105</f>
        <v/>
      </c>
      <c r="E108" s="390" t="str">
        <f>名簿!Z105</f>
        <v/>
      </c>
      <c r="F108" s="390" t="str">
        <f>名簿!P105</f>
        <v/>
      </c>
      <c r="G108" s="390" t="str">
        <f>名簿!Q105</f>
        <v/>
      </c>
      <c r="H108" s="391" t="str">
        <f>名簿!Y105</f>
        <v/>
      </c>
      <c r="I108" s="391" t="str">
        <f>名簿!CN105</f>
        <v/>
      </c>
      <c r="J108" s="900">
        <f>名簿!CP105</f>
        <v>0</v>
      </c>
      <c r="K108" s="900" t="str">
        <f>名簿!CU105</f>
        <v>00</v>
      </c>
      <c r="L108" s="900" t="str">
        <f>名簿!CU105</f>
        <v>00</v>
      </c>
      <c r="M108" s="1328">
        <f>名簿!D105</f>
        <v>0</v>
      </c>
      <c r="N108" s="1326"/>
      <c r="O108" s="258" t="str">
        <f>IF(N108="","",IF(H108=1,VLOOKUP(N108,男子種目コード!$V$23:$W$25,2,FALSE),IF(H108=2,VLOOKUP(N108,女子種目コード!$V$23:$W$25,2,FALSE))))</f>
        <v/>
      </c>
      <c r="P108" s="540" t="str">
        <f>IF(N108="","",HLOOKUP(N108,名簿!$AH$3:$CH$118,103,FALSE))</f>
        <v/>
      </c>
      <c r="Q108" s="114">
        <f t="shared" si="6"/>
        <v>0</v>
      </c>
      <c r="R108" s="115" t="s">
        <v>486</v>
      </c>
      <c r="S108" s="116" t="str">
        <f t="shared" si="7"/>
        <v>0中学</v>
      </c>
      <c r="T108" s="124"/>
      <c r="U108" s="123"/>
      <c r="V108" s="117"/>
      <c r="W108" s="125"/>
      <c r="X108" s="126"/>
      <c r="Y108" s="120"/>
      <c r="Z108" s="127"/>
      <c r="AA108" s="126"/>
      <c r="AB108" s="122"/>
      <c r="AC108" s="98">
        <v>0</v>
      </c>
      <c r="AG108" s="40" t="str">
        <f t="shared" si="8"/>
        <v/>
      </c>
      <c r="AH108" s="376"/>
      <c r="AI108" s="376"/>
      <c r="AJ108" s="365"/>
      <c r="AK108" s="1008"/>
      <c r="AL108" s="1008"/>
      <c r="AM108" s="1008"/>
      <c r="AN108" s="1008"/>
      <c r="AO108" s="1008"/>
      <c r="AP108" s="1008"/>
      <c r="AQ108" s="1008"/>
      <c r="AR108" s="1008"/>
      <c r="AS108" s="1008"/>
      <c r="AT108" s="1008"/>
    </row>
    <row r="109" spans="2:46">
      <c r="B109" s="389">
        <f>名簿!E106</f>
        <v>0</v>
      </c>
      <c r="C109" s="390" t="str">
        <f>名簿!CM106</f>
        <v/>
      </c>
      <c r="D109" s="390" t="str">
        <f>名簿!CM106</f>
        <v/>
      </c>
      <c r="E109" s="390" t="str">
        <f>名簿!Z106</f>
        <v/>
      </c>
      <c r="F109" s="390" t="str">
        <f>名簿!P106</f>
        <v/>
      </c>
      <c r="G109" s="390" t="str">
        <f>名簿!Q106</f>
        <v/>
      </c>
      <c r="H109" s="391" t="str">
        <f>名簿!Y106</f>
        <v/>
      </c>
      <c r="I109" s="391" t="str">
        <f>名簿!CN106</f>
        <v/>
      </c>
      <c r="J109" s="900">
        <f>名簿!CP106</f>
        <v>0</v>
      </c>
      <c r="K109" s="900" t="str">
        <f>名簿!CU106</f>
        <v>00</v>
      </c>
      <c r="L109" s="900" t="str">
        <f>名簿!CU106</f>
        <v>00</v>
      </c>
      <c r="M109" s="1328">
        <f>名簿!D106</f>
        <v>0</v>
      </c>
      <c r="N109" s="1326"/>
      <c r="O109" s="258" t="str">
        <f>IF(N109="","",IF(H109=1,VLOOKUP(N109,男子種目コード!$V$23:$W$25,2,FALSE),IF(H109=2,VLOOKUP(N109,女子種目コード!$V$23:$W$25,2,FALSE))))</f>
        <v/>
      </c>
      <c r="P109" s="540" t="str">
        <f>IF(N109="","",HLOOKUP(N109,名簿!$AH$3:$CH$118,104,FALSE))</f>
        <v/>
      </c>
      <c r="Q109" s="114">
        <f t="shared" si="6"/>
        <v>0</v>
      </c>
      <c r="R109" s="115" t="s">
        <v>486</v>
      </c>
      <c r="S109" s="116" t="str">
        <f t="shared" si="7"/>
        <v>0中学</v>
      </c>
      <c r="T109" s="124"/>
      <c r="U109" s="123"/>
      <c r="V109" s="117"/>
      <c r="W109" s="125"/>
      <c r="X109" s="126"/>
      <c r="Y109" s="120"/>
      <c r="Z109" s="127"/>
      <c r="AA109" s="126"/>
      <c r="AB109" s="122"/>
      <c r="AC109" s="98">
        <v>0</v>
      </c>
      <c r="AG109" s="40" t="str">
        <f t="shared" si="8"/>
        <v/>
      </c>
      <c r="AH109" s="376"/>
      <c r="AI109" s="376"/>
      <c r="AJ109" s="365"/>
      <c r="AK109" s="1008"/>
      <c r="AL109" s="1008"/>
      <c r="AM109" s="1008"/>
      <c r="AN109" s="1008"/>
      <c r="AO109" s="1008"/>
      <c r="AP109" s="1008"/>
      <c r="AQ109" s="1008"/>
      <c r="AR109" s="1008"/>
      <c r="AS109" s="1008"/>
      <c r="AT109" s="1008"/>
    </row>
    <row r="110" spans="2:46">
      <c r="B110" s="389">
        <f>名簿!E107</f>
        <v>0</v>
      </c>
      <c r="C110" s="390" t="str">
        <f>名簿!CM107</f>
        <v/>
      </c>
      <c r="D110" s="390" t="str">
        <f>名簿!CM107</f>
        <v/>
      </c>
      <c r="E110" s="390" t="str">
        <f>名簿!Z107</f>
        <v/>
      </c>
      <c r="F110" s="390" t="str">
        <f>名簿!P107</f>
        <v/>
      </c>
      <c r="G110" s="390" t="str">
        <f>名簿!Q107</f>
        <v/>
      </c>
      <c r="H110" s="391" t="str">
        <f>名簿!Y107</f>
        <v/>
      </c>
      <c r="I110" s="391" t="str">
        <f>名簿!CN107</f>
        <v/>
      </c>
      <c r="J110" s="900">
        <f>名簿!CP107</f>
        <v>0</v>
      </c>
      <c r="K110" s="900" t="str">
        <f>名簿!CU107</f>
        <v>00</v>
      </c>
      <c r="L110" s="900" t="str">
        <f>名簿!CU107</f>
        <v>00</v>
      </c>
      <c r="M110" s="1328">
        <f>名簿!D107</f>
        <v>0</v>
      </c>
      <c r="N110" s="1326"/>
      <c r="O110" s="258" t="str">
        <f>IF(N110="","",IF(H110=1,VLOOKUP(N110,男子種目コード!$V$23:$W$25,2,FALSE),IF(H110=2,VLOOKUP(N110,女子種目コード!$V$23:$W$25,2,FALSE))))</f>
        <v/>
      </c>
      <c r="P110" s="540" t="str">
        <f>IF(N110="","",HLOOKUP(N110,名簿!$AH$3:$CH$118,105,FALSE))</f>
        <v/>
      </c>
      <c r="Q110" s="114">
        <f t="shared" si="6"/>
        <v>0</v>
      </c>
      <c r="R110" s="115" t="s">
        <v>486</v>
      </c>
      <c r="S110" s="116" t="str">
        <f t="shared" si="7"/>
        <v>0中学</v>
      </c>
      <c r="T110" s="124"/>
      <c r="U110" s="123"/>
      <c r="V110" s="117"/>
      <c r="W110" s="125"/>
      <c r="X110" s="126"/>
      <c r="Y110" s="120"/>
      <c r="Z110" s="127"/>
      <c r="AA110" s="126"/>
      <c r="AB110" s="122"/>
      <c r="AC110" s="98">
        <v>0</v>
      </c>
      <c r="AG110" s="40" t="str">
        <f t="shared" si="8"/>
        <v/>
      </c>
      <c r="AH110" s="376"/>
      <c r="AI110" s="376"/>
      <c r="AJ110" s="365"/>
      <c r="AK110" s="1008"/>
      <c r="AL110" s="1008"/>
      <c r="AM110" s="1008"/>
      <c r="AN110" s="1008"/>
      <c r="AO110" s="1008"/>
      <c r="AP110" s="1008"/>
      <c r="AQ110" s="1008"/>
      <c r="AR110" s="1008"/>
      <c r="AS110" s="1008"/>
      <c r="AT110" s="1008"/>
    </row>
    <row r="111" spans="2:46">
      <c r="B111" s="389">
        <f>名簿!E108</f>
        <v>0</v>
      </c>
      <c r="C111" s="390" t="str">
        <f>名簿!CM108</f>
        <v/>
      </c>
      <c r="D111" s="390" t="str">
        <f>名簿!CM108</f>
        <v/>
      </c>
      <c r="E111" s="390" t="str">
        <f>名簿!Z108</f>
        <v/>
      </c>
      <c r="F111" s="390" t="str">
        <f>名簿!P108</f>
        <v/>
      </c>
      <c r="G111" s="390" t="str">
        <f>名簿!Q108</f>
        <v/>
      </c>
      <c r="H111" s="391" t="str">
        <f>名簿!Y108</f>
        <v/>
      </c>
      <c r="I111" s="391" t="str">
        <f>名簿!CN108</f>
        <v/>
      </c>
      <c r="J111" s="900">
        <f>名簿!CP108</f>
        <v>0</v>
      </c>
      <c r="K111" s="900" t="str">
        <f>名簿!CU108</f>
        <v>00</v>
      </c>
      <c r="L111" s="900" t="str">
        <f>名簿!CU108</f>
        <v>00</v>
      </c>
      <c r="M111" s="1328">
        <f>名簿!D108</f>
        <v>0</v>
      </c>
      <c r="N111" s="1326"/>
      <c r="O111" s="258" t="str">
        <f>IF(N111="","",IF(H111=1,VLOOKUP(N111,男子種目コード!$V$23:$W$25,2,FALSE),IF(H111=2,VLOOKUP(N111,女子種目コード!$V$23:$W$25,2,FALSE))))</f>
        <v/>
      </c>
      <c r="P111" s="540" t="str">
        <f>IF(N111="","",HLOOKUP(N111,名簿!$AH$3:$CH$118,106,FALSE))</f>
        <v/>
      </c>
      <c r="Q111" s="114">
        <f t="shared" si="6"/>
        <v>0</v>
      </c>
      <c r="R111" s="115" t="s">
        <v>486</v>
      </c>
      <c r="S111" s="116" t="str">
        <f t="shared" si="7"/>
        <v>0中学</v>
      </c>
      <c r="T111" s="124"/>
      <c r="U111" s="123"/>
      <c r="V111" s="117"/>
      <c r="W111" s="125"/>
      <c r="X111" s="126"/>
      <c r="Y111" s="120"/>
      <c r="Z111" s="127"/>
      <c r="AA111" s="126"/>
      <c r="AB111" s="122"/>
      <c r="AC111" s="98">
        <v>0</v>
      </c>
      <c r="AG111" s="40" t="str">
        <f t="shared" si="8"/>
        <v/>
      </c>
      <c r="AH111" s="376"/>
      <c r="AI111" s="376"/>
      <c r="AJ111" s="365"/>
      <c r="AK111" s="1008"/>
      <c r="AL111" s="1008"/>
      <c r="AM111" s="1008"/>
      <c r="AN111" s="1008"/>
      <c r="AO111" s="1008"/>
      <c r="AP111" s="1008"/>
      <c r="AQ111" s="1008"/>
      <c r="AR111" s="1008"/>
      <c r="AS111" s="1008"/>
      <c r="AT111" s="1008"/>
    </row>
    <row r="112" spans="2:46">
      <c r="B112" s="389">
        <f>名簿!E109</f>
        <v>0</v>
      </c>
      <c r="C112" s="390" t="str">
        <f>名簿!CM109</f>
        <v/>
      </c>
      <c r="D112" s="390" t="str">
        <f>名簿!CM109</f>
        <v/>
      </c>
      <c r="E112" s="390" t="str">
        <f>名簿!Z109</f>
        <v/>
      </c>
      <c r="F112" s="390" t="str">
        <f>名簿!P109</f>
        <v/>
      </c>
      <c r="G112" s="390" t="str">
        <f>名簿!Q109</f>
        <v/>
      </c>
      <c r="H112" s="391" t="str">
        <f>名簿!Y109</f>
        <v/>
      </c>
      <c r="I112" s="391" t="str">
        <f>名簿!CN109</f>
        <v/>
      </c>
      <c r="J112" s="900">
        <f>名簿!CP109</f>
        <v>0</v>
      </c>
      <c r="K112" s="900" t="str">
        <f>名簿!CU109</f>
        <v>00</v>
      </c>
      <c r="L112" s="900" t="str">
        <f>名簿!CU109</f>
        <v>00</v>
      </c>
      <c r="M112" s="1328">
        <f>名簿!D109</f>
        <v>0</v>
      </c>
      <c r="N112" s="1326"/>
      <c r="O112" s="258" t="str">
        <f>IF(N112="","",IF(H112=1,VLOOKUP(N112,男子種目コード!$V$23:$W$25,2,FALSE),IF(H112=2,VLOOKUP(N112,女子種目コード!$V$23:$W$25,2,FALSE))))</f>
        <v/>
      </c>
      <c r="P112" s="540" t="str">
        <f>IF(N112="","",HLOOKUP(N112,名簿!$AH$3:$CH$118,107,FALSE))</f>
        <v/>
      </c>
      <c r="Q112" s="114">
        <f t="shared" si="6"/>
        <v>0</v>
      </c>
      <c r="R112" s="115" t="s">
        <v>486</v>
      </c>
      <c r="S112" s="116" t="str">
        <f t="shared" si="7"/>
        <v>0中学</v>
      </c>
      <c r="T112" s="124"/>
      <c r="U112" s="123"/>
      <c r="V112" s="117"/>
      <c r="W112" s="125"/>
      <c r="X112" s="126"/>
      <c r="Y112" s="120"/>
      <c r="Z112" s="127"/>
      <c r="AA112" s="126"/>
      <c r="AB112" s="122"/>
      <c r="AC112" s="98">
        <v>0</v>
      </c>
      <c r="AG112" s="40" t="str">
        <f t="shared" si="8"/>
        <v/>
      </c>
      <c r="AH112" s="376"/>
      <c r="AI112" s="376"/>
      <c r="AJ112" s="365"/>
      <c r="AK112" s="1008"/>
      <c r="AL112" s="1008"/>
      <c r="AM112" s="1008"/>
      <c r="AN112" s="1008"/>
      <c r="AO112" s="1008"/>
      <c r="AP112" s="1008"/>
      <c r="AQ112" s="1008"/>
      <c r="AR112" s="1008"/>
      <c r="AS112" s="1008"/>
      <c r="AT112" s="1008"/>
    </row>
    <row r="113" spans="2:46">
      <c r="B113" s="389">
        <f>名簿!E110</f>
        <v>0</v>
      </c>
      <c r="C113" s="390" t="str">
        <f>名簿!CM110</f>
        <v/>
      </c>
      <c r="D113" s="390" t="str">
        <f>名簿!CM110</f>
        <v/>
      </c>
      <c r="E113" s="390" t="str">
        <f>名簿!Z110</f>
        <v/>
      </c>
      <c r="F113" s="390" t="str">
        <f>名簿!P110</f>
        <v/>
      </c>
      <c r="G113" s="390" t="str">
        <f>名簿!Q110</f>
        <v/>
      </c>
      <c r="H113" s="391" t="str">
        <f>名簿!Y110</f>
        <v/>
      </c>
      <c r="I113" s="391" t="str">
        <f>名簿!CN110</f>
        <v/>
      </c>
      <c r="J113" s="900">
        <f>名簿!CP110</f>
        <v>0</v>
      </c>
      <c r="K113" s="900" t="str">
        <f>名簿!CU110</f>
        <v>00</v>
      </c>
      <c r="L113" s="900" t="str">
        <f>名簿!CU110</f>
        <v>00</v>
      </c>
      <c r="M113" s="1328">
        <f>名簿!D110</f>
        <v>0</v>
      </c>
      <c r="N113" s="1326"/>
      <c r="O113" s="258" t="str">
        <f>IF(N113="","",IF(H113=1,VLOOKUP(N113,男子種目コード!$V$23:$W$25,2,FALSE),IF(H113=2,VLOOKUP(N113,女子種目コード!$V$23:$W$25,2,FALSE))))</f>
        <v/>
      </c>
      <c r="P113" s="540" t="str">
        <f>IF(N113="","",HLOOKUP(N113,名簿!$AH$3:$CH$118,108,FALSE))</f>
        <v/>
      </c>
      <c r="Q113" s="114">
        <f t="shared" si="6"/>
        <v>0</v>
      </c>
      <c r="R113" s="115" t="s">
        <v>486</v>
      </c>
      <c r="S113" s="116" t="str">
        <f t="shared" si="7"/>
        <v>0中学</v>
      </c>
      <c r="T113" s="124"/>
      <c r="U113" s="123"/>
      <c r="V113" s="117"/>
      <c r="W113" s="125"/>
      <c r="X113" s="126"/>
      <c r="Y113" s="120"/>
      <c r="Z113" s="127"/>
      <c r="AA113" s="126"/>
      <c r="AB113" s="122"/>
      <c r="AC113" s="98">
        <v>0</v>
      </c>
      <c r="AG113" s="40" t="str">
        <f t="shared" si="8"/>
        <v/>
      </c>
      <c r="AH113" s="376"/>
      <c r="AI113" s="376"/>
      <c r="AJ113" s="365"/>
      <c r="AK113" s="1008"/>
      <c r="AL113" s="1008"/>
      <c r="AM113" s="1008"/>
      <c r="AN113" s="1008"/>
      <c r="AO113" s="1008"/>
      <c r="AP113" s="1008"/>
      <c r="AQ113" s="1008"/>
      <c r="AR113" s="1008"/>
      <c r="AS113" s="1008"/>
      <c r="AT113" s="1008"/>
    </row>
    <row r="114" spans="2:46">
      <c r="B114" s="389">
        <f>名簿!E111</f>
        <v>0</v>
      </c>
      <c r="C114" s="390" t="str">
        <f>名簿!CM111</f>
        <v/>
      </c>
      <c r="D114" s="390" t="str">
        <f>名簿!CM111</f>
        <v/>
      </c>
      <c r="E114" s="390" t="str">
        <f>名簿!Z111</f>
        <v/>
      </c>
      <c r="F114" s="390" t="str">
        <f>名簿!P111</f>
        <v/>
      </c>
      <c r="G114" s="390" t="str">
        <f>名簿!Q111</f>
        <v/>
      </c>
      <c r="H114" s="391" t="str">
        <f>名簿!Y111</f>
        <v/>
      </c>
      <c r="I114" s="391" t="str">
        <f>名簿!CN111</f>
        <v/>
      </c>
      <c r="J114" s="900">
        <f>名簿!CP111</f>
        <v>0</v>
      </c>
      <c r="K114" s="900" t="str">
        <f>名簿!CU111</f>
        <v>00</v>
      </c>
      <c r="L114" s="900" t="str">
        <f>名簿!CU111</f>
        <v>00</v>
      </c>
      <c r="M114" s="1328">
        <f>名簿!D111</f>
        <v>0</v>
      </c>
      <c r="N114" s="1326"/>
      <c r="O114" s="258" t="str">
        <f>IF(N114="","",IF(H114=1,VLOOKUP(N114,男子種目コード!$V$23:$W$25,2,FALSE),IF(H114=2,VLOOKUP(N114,女子種目コード!$V$23:$W$25,2,FALSE))))</f>
        <v/>
      </c>
      <c r="P114" s="540" t="str">
        <f>IF(N114="","",HLOOKUP(N114,名簿!$AH$3:$CH$118,109,FALSE))</f>
        <v/>
      </c>
      <c r="Q114" s="114">
        <f t="shared" si="6"/>
        <v>0</v>
      </c>
      <c r="R114" s="115" t="s">
        <v>486</v>
      </c>
      <c r="S114" s="116" t="str">
        <f t="shared" si="7"/>
        <v>0中学</v>
      </c>
      <c r="T114" s="124"/>
      <c r="U114" s="123"/>
      <c r="V114" s="117"/>
      <c r="W114" s="125"/>
      <c r="X114" s="126"/>
      <c r="Y114" s="120"/>
      <c r="Z114" s="127"/>
      <c r="AA114" s="126"/>
      <c r="AB114" s="122"/>
      <c r="AC114" s="98">
        <v>0</v>
      </c>
      <c r="AG114" s="40" t="str">
        <f t="shared" si="8"/>
        <v/>
      </c>
      <c r="AH114" s="376"/>
      <c r="AI114" s="376"/>
      <c r="AJ114" s="365"/>
      <c r="AK114" s="1008"/>
      <c r="AL114" s="1008"/>
      <c r="AM114" s="1008"/>
      <c r="AN114" s="1008"/>
      <c r="AO114" s="1008"/>
      <c r="AP114" s="1008"/>
      <c r="AQ114" s="1008"/>
      <c r="AR114" s="1008"/>
      <c r="AS114" s="1008"/>
      <c r="AT114" s="1008"/>
    </row>
    <row r="115" spans="2:46">
      <c r="B115" s="389">
        <f>名簿!E112</f>
        <v>0</v>
      </c>
      <c r="C115" s="390" t="str">
        <f>名簿!CM112</f>
        <v/>
      </c>
      <c r="D115" s="390" t="str">
        <f>名簿!CM112</f>
        <v/>
      </c>
      <c r="E115" s="390" t="str">
        <f>名簿!Z112</f>
        <v/>
      </c>
      <c r="F115" s="390" t="str">
        <f>名簿!P112</f>
        <v/>
      </c>
      <c r="G115" s="390" t="str">
        <f>名簿!Q112</f>
        <v/>
      </c>
      <c r="H115" s="391" t="str">
        <f>名簿!Y112</f>
        <v/>
      </c>
      <c r="I115" s="391" t="str">
        <f>名簿!CN112</f>
        <v/>
      </c>
      <c r="J115" s="900">
        <f>名簿!CP112</f>
        <v>0</v>
      </c>
      <c r="K115" s="900" t="str">
        <f>名簿!CU112</f>
        <v>00</v>
      </c>
      <c r="L115" s="900" t="str">
        <f>名簿!CU112</f>
        <v>00</v>
      </c>
      <c r="M115" s="1328">
        <f>名簿!D112</f>
        <v>0</v>
      </c>
      <c r="N115" s="1326"/>
      <c r="O115" s="258" t="str">
        <f>IF(N115="","",IF(H115=1,VLOOKUP(N115,男子種目コード!$V$23:$W$25,2,FALSE),IF(H115=2,VLOOKUP(N115,女子種目コード!$V$23:$W$25,2,FALSE))))</f>
        <v/>
      </c>
      <c r="P115" s="540" t="str">
        <f>IF(N115="","",HLOOKUP(N115,名簿!$AH$3:$CH$118,110,FALSE))</f>
        <v/>
      </c>
      <c r="Q115" s="114">
        <f t="shared" si="6"/>
        <v>0</v>
      </c>
      <c r="R115" s="115" t="s">
        <v>486</v>
      </c>
      <c r="S115" s="116" t="str">
        <f t="shared" si="7"/>
        <v>0中学</v>
      </c>
      <c r="T115" s="124"/>
      <c r="U115" s="123"/>
      <c r="V115" s="117"/>
      <c r="W115" s="125"/>
      <c r="X115" s="126"/>
      <c r="Y115" s="120"/>
      <c r="Z115" s="127"/>
      <c r="AA115" s="126"/>
      <c r="AB115" s="122"/>
      <c r="AC115" s="98">
        <v>0</v>
      </c>
      <c r="AG115" s="40" t="str">
        <f t="shared" si="8"/>
        <v/>
      </c>
      <c r="AH115" s="376"/>
      <c r="AI115" s="376"/>
      <c r="AJ115" s="365"/>
      <c r="AK115" s="1008"/>
      <c r="AL115" s="1008"/>
      <c r="AM115" s="1008"/>
      <c r="AN115" s="1008"/>
      <c r="AO115" s="1008"/>
      <c r="AP115" s="1008"/>
      <c r="AQ115" s="1008"/>
      <c r="AR115" s="1008"/>
      <c r="AS115" s="1008"/>
      <c r="AT115" s="1008"/>
    </row>
    <row r="116" spans="2:46" ht="14.25" thickBot="1">
      <c r="B116" s="392">
        <f>名簿!E113</f>
        <v>0</v>
      </c>
      <c r="C116" s="393" t="str">
        <f>名簿!CM113</f>
        <v/>
      </c>
      <c r="D116" s="393" t="str">
        <f>名簿!CM113</f>
        <v/>
      </c>
      <c r="E116" s="393" t="str">
        <f>名簿!Z113</f>
        <v/>
      </c>
      <c r="F116" s="393" t="str">
        <f>名簿!P113</f>
        <v/>
      </c>
      <c r="G116" s="393" t="str">
        <f>名簿!Q113</f>
        <v/>
      </c>
      <c r="H116" s="394" t="str">
        <f>名簿!Y113</f>
        <v/>
      </c>
      <c r="I116" s="394" t="str">
        <f>名簿!CN113</f>
        <v/>
      </c>
      <c r="J116" s="902">
        <f>名簿!CP113</f>
        <v>0</v>
      </c>
      <c r="K116" s="902" t="str">
        <f>名簿!CU113</f>
        <v>00</v>
      </c>
      <c r="L116" s="902" t="str">
        <f>名簿!CU113</f>
        <v>00</v>
      </c>
      <c r="M116" s="1329">
        <f>名簿!D113</f>
        <v>0</v>
      </c>
      <c r="N116" s="1327"/>
      <c r="O116" s="260" t="str">
        <f>IF(N116="","",IF(H116=1,VLOOKUP(N116,男子種目コード!$V$23:$W$25,2,FALSE),IF(H116=2,VLOOKUP(N116,女子種目コード!$V$23:$W$25,2,FALSE))))</f>
        <v/>
      </c>
      <c r="P116" s="541" t="str">
        <f>IF(N116="","",HLOOKUP(N116,名簿!$AH$3:$CH$118,111,FALSE))</f>
        <v/>
      </c>
      <c r="Q116" s="114">
        <f t="shared" si="6"/>
        <v>0</v>
      </c>
      <c r="R116" s="115" t="s">
        <v>486</v>
      </c>
      <c r="S116" s="116" t="str">
        <f t="shared" si="7"/>
        <v>0中学</v>
      </c>
      <c r="T116" s="124"/>
      <c r="U116" s="123"/>
      <c r="V116" s="117"/>
      <c r="W116" s="125"/>
      <c r="X116" s="126"/>
      <c r="Y116" s="120"/>
      <c r="Z116" s="127"/>
      <c r="AA116" s="126"/>
      <c r="AB116" s="122"/>
      <c r="AC116" s="98">
        <v>0</v>
      </c>
      <c r="AG116" s="40" t="str">
        <f t="shared" si="8"/>
        <v/>
      </c>
      <c r="AH116" s="376"/>
      <c r="AI116" s="376"/>
      <c r="AJ116" s="365"/>
      <c r="AK116" s="1008"/>
      <c r="AL116" s="1008"/>
      <c r="AM116" s="1008"/>
      <c r="AN116" s="1008"/>
      <c r="AO116" s="1008"/>
      <c r="AP116" s="1008"/>
      <c r="AQ116" s="1008"/>
      <c r="AR116" s="1008"/>
      <c r="AS116" s="1008"/>
      <c r="AT116" s="1008"/>
    </row>
    <row r="117" spans="2:46">
      <c r="B117" s="365"/>
      <c r="C117" s="365"/>
      <c r="D117" s="365"/>
      <c r="E117" s="365"/>
      <c r="F117" s="365"/>
      <c r="G117" s="365"/>
      <c r="H117" s="365"/>
      <c r="I117" s="365"/>
      <c r="J117" s="375"/>
      <c r="K117" s="375"/>
      <c r="L117" s="375"/>
      <c r="M117" s="365"/>
      <c r="N117" s="370"/>
      <c r="O117" s="387"/>
      <c r="P117" s="372"/>
      <c r="Q117" s="370"/>
      <c r="R117" s="371"/>
      <c r="S117" s="372"/>
      <c r="T117" s="370"/>
      <c r="U117" s="371"/>
      <c r="V117" s="372"/>
      <c r="W117" s="373"/>
      <c r="X117" s="365"/>
      <c r="Y117" s="374"/>
      <c r="Z117" s="373"/>
      <c r="AA117" s="365"/>
      <c r="AB117" s="374"/>
      <c r="AC117" s="375"/>
      <c r="AD117" s="375"/>
      <c r="AE117" s="365"/>
      <c r="AF117" s="365"/>
      <c r="AG117" s="365">
        <f>SUM(AG7:AG116)</f>
        <v>0</v>
      </c>
      <c r="AH117" s="376"/>
      <c r="AI117" s="376"/>
      <c r="AJ117" s="365"/>
      <c r="AK117" s="1008"/>
      <c r="AL117" s="1008"/>
      <c r="AM117" s="1008"/>
      <c r="AN117" s="1008"/>
      <c r="AO117" s="1008"/>
      <c r="AP117" s="1008"/>
      <c r="AQ117" s="1008"/>
      <c r="AR117" s="1008"/>
      <c r="AS117" s="1008"/>
      <c r="AT117" s="1008"/>
    </row>
    <row r="118" spans="2:46">
      <c r="B118" s="365"/>
      <c r="C118" s="365"/>
      <c r="D118" s="365"/>
      <c r="E118" s="365"/>
      <c r="F118" s="365"/>
      <c r="G118" s="365"/>
      <c r="H118" s="365"/>
      <c r="I118" s="365"/>
      <c r="J118" s="375"/>
      <c r="K118" s="375"/>
      <c r="L118" s="375"/>
      <c r="M118" s="365"/>
      <c r="N118" s="370"/>
      <c r="O118" s="387"/>
      <c r="P118" s="372"/>
      <c r="Q118" s="370"/>
      <c r="R118" s="371"/>
      <c r="S118" s="372"/>
      <c r="T118" s="370"/>
      <c r="U118" s="371"/>
      <c r="V118" s="372"/>
      <c r="W118" s="373"/>
      <c r="X118" s="365"/>
      <c r="Y118" s="374"/>
      <c r="Z118" s="373"/>
      <c r="AA118" s="365"/>
      <c r="AB118" s="374"/>
      <c r="AC118" s="375"/>
      <c r="AD118" s="375"/>
      <c r="AE118" s="365"/>
      <c r="AF118" s="365"/>
      <c r="AG118" s="365"/>
      <c r="AH118" s="376"/>
      <c r="AI118" s="376"/>
      <c r="AJ118" s="365"/>
      <c r="AK118" s="1008"/>
      <c r="AL118" s="1008"/>
      <c r="AM118" s="1008"/>
      <c r="AN118" s="1008"/>
      <c r="AO118" s="1008"/>
      <c r="AP118" s="1008"/>
      <c r="AQ118" s="1008"/>
      <c r="AR118" s="1008"/>
      <c r="AS118" s="1008"/>
      <c r="AT118" s="1008"/>
    </row>
    <row r="119" spans="2:46">
      <c r="B119" s="365"/>
      <c r="C119" s="365"/>
      <c r="D119" s="365"/>
      <c r="E119" s="365"/>
      <c r="F119" s="365"/>
      <c r="G119" s="365"/>
      <c r="H119" s="365"/>
      <c r="I119" s="365"/>
      <c r="J119" s="375"/>
      <c r="K119" s="375"/>
      <c r="L119" s="375"/>
      <c r="M119" s="365"/>
      <c r="N119" s="370"/>
      <c r="O119" s="387"/>
      <c r="P119" s="372"/>
      <c r="Q119" s="370"/>
      <c r="R119" s="371"/>
      <c r="S119" s="372"/>
      <c r="T119" s="370"/>
      <c r="U119" s="371"/>
      <c r="V119" s="372"/>
      <c r="W119" s="373"/>
      <c r="X119" s="365"/>
      <c r="Y119" s="374"/>
      <c r="Z119" s="373"/>
      <c r="AA119" s="365"/>
      <c r="AB119" s="374"/>
      <c r="AC119" s="375"/>
      <c r="AD119" s="375"/>
      <c r="AE119" s="365"/>
      <c r="AF119" s="365"/>
      <c r="AG119" s="365"/>
      <c r="AH119" s="376"/>
      <c r="AI119" s="376"/>
      <c r="AJ119" s="365"/>
      <c r="AK119" s="1008"/>
      <c r="AL119" s="1008"/>
      <c r="AM119" s="1008"/>
      <c r="AN119" s="1008"/>
      <c r="AO119" s="1008"/>
      <c r="AP119" s="1008"/>
      <c r="AQ119" s="1008"/>
      <c r="AR119" s="1008"/>
      <c r="AS119" s="1008"/>
      <c r="AT119" s="1008"/>
    </row>
    <row r="120" spans="2:46">
      <c r="B120" s="365"/>
      <c r="C120" s="365"/>
      <c r="D120" s="365"/>
      <c r="E120" s="365"/>
      <c r="F120" s="365"/>
      <c r="G120" s="365"/>
      <c r="H120" s="365"/>
      <c r="I120" s="365"/>
      <c r="J120" s="375"/>
      <c r="K120" s="375"/>
      <c r="L120" s="375"/>
      <c r="M120" s="365"/>
      <c r="N120" s="370"/>
      <c r="O120" s="387"/>
      <c r="P120" s="372"/>
      <c r="Q120" s="370"/>
      <c r="R120" s="371"/>
      <c r="S120" s="372"/>
      <c r="T120" s="370"/>
      <c r="U120" s="371"/>
      <c r="V120" s="372"/>
      <c r="W120" s="373"/>
      <c r="X120" s="365"/>
      <c r="Y120" s="374"/>
      <c r="Z120" s="373"/>
      <c r="AA120" s="365"/>
      <c r="AB120" s="374"/>
      <c r="AC120" s="375"/>
      <c r="AD120" s="375"/>
      <c r="AE120" s="365"/>
      <c r="AF120" s="365"/>
      <c r="AG120" s="365"/>
      <c r="AH120" s="376"/>
      <c r="AI120" s="376"/>
      <c r="AJ120" s="365"/>
      <c r="AK120" s="1008"/>
      <c r="AL120" s="1008"/>
      <c r="AM120" s="1008"/>
      <c r="AN120" s="1008"/>
      <c r="AO120" s="1008"/>
      <c r="AP120" s="1008"/>
      <c r="AQ120" s="1008"/>
      <c r="AR120" s="1008"/>
      <c r="AS120" s="1008"/>
      <c r="AT120" s="1008"/>
    </row>
    <row r="121" spans="2:46">
      <c r="B121" s="365"/>
      <c r="C121" s="365"/>
      <c r="D121" s="365"/>
      <c r="E121" s="365"/>
      <c r="F121" s="365"/>
      <c r="G121" s="365"/>
      <c r="H121" s="365"/>
      <c r="I121" s="365"/>
      <c r="J121" s="375"/>
      <c r="K121" s="375"/>
      <c r="L121" s="375"/>
      <c r="M121" s="365"/>
      <c r="N121" s="370"/>
      <c r="O121" s="387"/>
      <c r="P121" s="372"/>
      <c r="Q121" s="370"/>
      <c r="R121" s="371"/>
      <c r="S121" s="372"/>
      <c r="T121" s="370"/>
      <c r="U121" s="371"/>
      <c r="V121" s="372"/>
      <c r="W121" s="373"/>
      <c r="X121" s="365"/>
      <c r="Y121" s="374"/>
      <c r="Z121" s="373"/>
      <c r="AA121" s="365"/>
      <c r="AB121" s="374"/>
      <c r="AC121" s="375"/>
      <c r="AD121" s="375"/>
      <c r="AE121" s="365"/>
      <c r="AF121" s="365"/>
      <c r="AG121" s="365"/>
      <c r="AH121" s="376"/>
      <c r="AI121" s="376"/>
      <c r="AJ121" s="365"/>
      <c r="AK121" s="1008"/>
      <c r="AL121" s="1008"/>
      <c r="AM121" s="1008"/>
      <c r="AN121" s="1008"/>
      <c r="AO121" s="1008"/>
      <c r="AP121" s="1008"/>
      <c r="AQ121" s="1008"/>
      <c r="AR121" s="1008"/>
      <c r="AS121" s="1008"/>
      <c r="AT121" s="1008"/>
    </row>
    <row r="122" spans="2:46">
      <c r="B122" s="365"/>
      <c r="C122" s="365"/>
      <c r="D122" s="365"/>
      <c r="E122" s="365"/>
      <c r="F122" s="365"/>
      <c r="G122" s="365"/>
      <c r="H122" s="365"/>
      <c r="I122" s="365"/>
      <c r="J122" s="375"/>
      <c r="K122" s="375"/>
      <c r="L122" s="375"/>
      <c r="M122" s="365"/>
      <c r="N122" s="370"/>
      <c r="O122" s="387"/>
      <c r="P122" s="372"/>
      <c r="Q122" s="370"/>
      <c r="R122" s="371"/>
      <c r="S122" s="372"/>
      <c r="T122" s="370"/>
      <c r="U122" s="371"/>
      <c r="V122" s="372"/>
      <c r="W122" s="373"/>
      <c r="X122" s="365"/>
      <c r="Y122" s="374"/>
      <c r="Z122" s="373"/>
      <c r="AA122" s="365"/>
      <c r="AB122" s="374"/>
      <c r="AC122" s="375"/>
      <c r="AD122" s="375"/>
      <c r="AE122" s="365"/>
      <c r="AF122" s="365"/>
      <c r="AG122" s="365"/>
      <c r="AH122" s="376"/>
      <c r="AI122" s="376"/>
      <c r="AJ122" s="365"/>
      <c r="AK122" s="1008"/>
      <c r="AL122" s="1008"/>
      <c r="AM122" s="1008"/>
      <c r="AN122" s="1008"/>
      <c r="AO122" s="1008"/>
      <c r="AP122" s="1008"/>
      <c r="AQ122" s="1008"/>
      <c r="AR122" s="1008"/>
      <c r="AS122" s="1008"/>
      <c r="AT122" s="1008"/>
    </row>
    <row r="123" spans="2:46">
      <c r="B123" s="365"/>
      <c r="C123" s="365"/>
      <c r="D123" s="365"/>
      <c r="E123" s="365"/>
      <c r="F123" s="365"/>
      <c r="G123" s="365"/>
      <c r="H123" s="365"/>
      <c r="I123" s="365"/>
      <c r="J123" s="375"/>
      <c r="K123" s="375"/>
      <c r="L123" s="375"/>
      <c r="M123" s="365"/>
      <c r="N123" s="370"/>
      <c r="O123" s="387"/>
      <c r="P123" s="372"/>
      <c r="Q123" s="370"/>
      <c r="R123" s="371"/>
      <c r="S123" s="372"/>
      <c r="T123" s="370"/>
      <c r="U123" s="371"/>
      <c r="V123" s="372"/>
      <c r="W123" s="373"/>
      <c r="X123" s="365"/>
      <c r="Y123" s="374"/>
      <c r="Z123" s="373"/>
      <c r="AA123" s="365"/>
      <c r="AB123" s="374"/>
      <c r="AC123" s="375"/>
      <c r="AD123" s="375"/>
      <c r="AE123" s="365"/>
      <c r="AF123" s="365"/>
      <c r="AG123" s="365"/>
      <c r="AH123" s="376"/>
      <c r="AI123" s="376"/>
      <c r="AJ123" s="365"/>
      <c r="AK123" s="1008"/>
      <c r="AL123" s="1008"/>
      <c r="AM123" s="1008"/>
      <c r="AN123" s="1008"/>
      <c r="AO123" s="1008"/>
      <c r="AP123" s="1008"/>
      <c r="AQ123" s="1008"/>
      <c r="AR123" s="1008"/>
      <c r="AS123" s="1008"/>
      <c r="AT123" s="1008"/>
    </row>
    <row r="124" spans="2:46">
      <c r="B124" s="365"/>
      <c r="C124" s="365"/>
      <c r="D124" s="365"/>
      <c r="E124" s="365"/>
      <c r="F124" s="365"/>
      <c r="G124" s="365"/>
      <c r="H124" s="365"/>
      <c r="I124" s="365"/>
      <c r="J124" s="375"/>
      <c r="K124" s="375"/>
      <c r="L124" s="375"/>
      <c r="M124" s="365"/>
      <c r="N124" s="370"/>
      <c r="O124" s="387"/>
      <c r="P124" s="372"/>
      <c r="Q124" s="370"/>
      <c r="R124" s="371"/>
      <c r="S124" s="372"/>
      <c r="T124" s="370"/>
      <c r="U124" s="371"/>
      <c r="V124" s="372"/>
      <c r="W124" s="373"/>
      <c r="X124" s="365"/>
      <c r="Y124" s="374"/>
      <c r="Z124" s="373"/>
      <c r="AA124" s="365"/>
      <c r="AB124" s="374"/>
      <c r="AC124" s="375"/>
      <c r="AD124" s="375"/>
      <c r="AE124" s="365"/>
      <c r="AF124" s="365"/>
      <c r="AG124" s="365"/>
      <c r="AH124" s="376"/>
      <c r="AI124" s="376"/>
      <c r="AJ124" s="365"/>
      <c r="AK124" s="1008"/>
      <c r="AL124" s="1008"/>
      <c r="AM124" s="1008"/>
      <c r="AN124" s="1008"/>
      <c r="AO124" s="1008"/>
      <c r="AP124" s="1008"/>
      <c r="AQ124" s="1008"/>
      <c r="AR124" s="1008"/>
      <c r="AS124" s="1008"/>
      <c r="AT124" s="1008"/>
    </row>
    <row r="125" spans="2:46">
      <c r="B125" s="365"/>
      <c r="C125" s="365"/>
      <c r="D125" s="365"/>
      <c r="E125" s="365"/>
      <c r="F125" s="365"/>
      <c r="G125" s="365"/>
      <c r="H125" s="365"/>
      <c r="I125" s="365"/>
      <c r="J125" s="375"/>
      <c r="K125" s="375"/>
      <c r="L125" s="375"/>
      <c r="M125" s="365"/>
      <c r="N125" s="370"/>
      <c r="O125" s="387"/>
      <c r="P125" s="372"/>
      <c r="Q125" s="370"/>
      <c r="R125" s="371"/>
      <c r="S125" s="372"/>
      <c r="T125" s="370"/>
      <c r="U125" s="371"/>
      <c r="V125" s="372"/>
      <c r="W125" s="373"/>
      <c r="X125" s="365"/>
      <c r="Y125" s="374"/>
      <c r="Z125" s="373"/>
      <c r="AA125" s="365"/>
      <c r="AB125" s="374"/>
      <c r="AC125" s="375"/>
      <c r="AD125" s="375"/>
      <c r="AE125" s="365"/>
      <c r="AF125" s="365"/>
      <c r="AG125" s="365"/>
      <c r="AH125" s="376"/>
      <c r="AI125" s="376"/>
      <c r="AJ125" s="365"/>
      <c r="AK125" s="1008"/>
      <c r="AL125" s="1008"/>
      <c r="AM125" s="1008"/>
      <c r="AN125" s="1008"/>
      <c r="AO125" s="1008"/>
      <c r="AP125" s="1008"/>
      <c r="AQ125" s="1008"/>
      <c r="AR125" s="1008"/>
      <c r="AS125" s="1008"/>
      <c r="AT125" s="1008"/>
    </row>
    <row r="126" spans="2:46">
      <c r="B126" s="365"/>
      <c r="C126" s="365"/>
      <c r="D126" s="365"/>
      <c r="E126" s="365"/>
      <c r="F126" s="365"/>
      <c r="G126" s="365"/>
      <c r="H126" s="365"/>
      <c r="I126" s="365"/>
      <c r="J126" s="375"/>
      <c r="K126" s="375"/>
      <c r="L126" s="375"/>
      <c r="M126" s="365"/>
      <c r="N126" s="370"/>
      <c r="O126" s="387"/>
      <c r="P126" s="372"/>
      <c r="Q126" s="370"/>
      <c r="R126" s="371"/>
      <c r="S126" s="372"/>
      <c r="T126" s="370"/>
      <c r="U126" s="371"/>
      <c r="V126" s="372"/>
      <c r="W126" s="373"/>
      <c r="X126" s="365"/>
      <c r="Y126" s="374"/>
      <c r="Z126" s="373"/>
      <c r="AA126" s="365"/>
      <c r="AB126" s="374"/>
      <c r="AC126" s="375"/>
      <c r="AD126" s="375"/>
      <c r="AE126" s="365"/>
      <c r="AF126" s="365"/>
      <c r="AG126" s="365"/>
      <c r="AH126" s="376"/>
      <c r="AI126" s="376"/>
      <c r="AJ126" s="365"/>
      <c r="AK126" s="1008"/>
      <c r="AL126" s="1008"/>
      <c r="AM126" s="1008"/>
      <c r="AN126" s="1008"/>
      <c r="AO126" s="1008"/>
      <c r="AP126" s="1008"/>
      <c r="AQ126" s="1008"/>
      <c r="AR126" s="1008"/>
      <c r="AS126" s="1008"/>
      <c r="AT126" s="1008"/>
    </row>
  </sheetData>
  <sheetProtection password="83D4" sheet="1" objects="1" scenarios="1"/>
  <mergeCells count="3">
    <mergeCell ref="AH6:AI6"/>
    <mergeCell ref="E2:Q2"/>
    <mergeCell ref="C1:E1"/>
  </mergeCells>
  <phoneticPr fontId="5"/>
  <conditionalFormatting sqref="C7:C116">
    <cfRule type="expression" dxfId="379" priority="1" stopIfTrue="1">
      <formula>H7=2</formula>
    </cfRule>
  </conditionalFormatting>
  <conditionalFormatting sqref="E7:E116">
    <cfRule type="expression" dxfId="378" priority="2" stopIfTrue="1">
      <formula>H7=2</formula>
    </cfRule>
  </conditionalFormatting>
  <conditionalFormatting sqref="H7:H116">
    <cfRule type="cellIs" dxfId="377" priority="3" stopIfTrue="1" operator="equal">
      <formula>2</formula>
    </cfRule>
  </conditionalFormatting>
  <conditionalFormatting sqref="N7:N116">
    <cfRule type="expression" dxfId="376" priority="4" stopIfTrue="1">
      <formula>ISNA(O7)</formula>
    </cfRule>
    <cfRule type="expression" dxfId="375" priority="5" stopIfTrue="1">
      <formula>H7=""</formula>
    </cfRule>
  </conditionalFormatting>
  <conditionalFormatting sqref="P7">
    <cfRule type="expression" dxfId="374" priority="6" stopIfTrue="1">
      <formula>$H$7=""</formula>
    </cfRule>
  </conditionalFormatting>
  <conditionalFormatting sqref="P8">
    <cfRule type="expression" dxfId="373" priority="7" stopIfTrue="1">
      <formula>$H$8=""</formula>
    </cfRule>
  </conditionalFormatting>
  <conditionalFormatting sqref="P9">
    <cfRule type="expression" dxfId="372" priority="8" stopIfTrue="1">
      <formula>$H$9=""</formula>
    </cfRule>
  </conditionalFormatting>
  <conditionalFormatting sqref="P10">
    <cfRule type="expression" dxfId="371" priority="9" stopIfTrue="1">
      <formula>$H$10=""</formula>
    </cfRule>
  </conditionalFormatting>
  <conditionalFormatting sqref="P11">
    <cfRule type="expression" dxfId="370" priority="10" stopIfTrue="1">
      <formula>$H$11=""</formula>
    </cfRule>
  </conditionalFormatting>
  <conditionalFormatting sqref="P12">
    <cfRule type="expression" dxfId="369" priority="11" stopIfTrue="1">
      <formula>$H$12=""</formula>
    </cfRule>
  </conditionalFormatting>
  <conditionalFormatting sqref="P13">
    <cfRule type="expression" dxfId="368" priority="12" stopIfTrue="1">
      <formula>$H$13=""</formula>
    </cfRule>
  </conditionalFormatting>
  <conditionalFormatting sqref="P14">
    <cfRule type="expression" dxfId="367" priority="13" stopIfTrue="1">
      <formula>$H$14=""</formula>
    </cfRule>
  </conditionalFormatting>
  <conditionalFormatting sqref="P15">
    <cfRule type="expression" dxfId="366" priority="14" stopIfTrue="1">
      <formula>$H$15=""</formula>
    </cfRule>
  </conditionalFormatting>
  <conditionalFormatting sqref="P16">
    <cfRule type="expression" dxfId="365" priority="15" stopIfTrue="1">
      <formula>$H$16=""</formula>
    </cfRule>
  </conditionalFormatting>
  <conditionalFormatting sqref="P17">
    <cfRule type="expression" dxfId="364" priority="16" stopIfTrue="1">
      <formula>$H$17=""</formula>
    </cfRule>
  </conditionalFormatting>
  <conditionalFormatting sqref="P18">
    <cfRule type="expression" dxfId="363" priority="17" stopIfTrue="1">
      <formula>$H$18=""</formula>
    </cfRule>
  </conditionalFormatting>
  <conditionalFormatting sqref="P19">
    <cfRule type="expression" dxfId="362" priority="18" stopIfTrue="1">
      <formula>$H$19=""</formula>
    </cfRule>
  </conditionalFormatting>
  <conditionalFormatting sqref="P20">
    <cfRule type="expression" dxfId="361" priority="19" stopIfTrue="1">
      <formula>$H$20=""</formula>
    </cfRule>
  </conditionalFormatting>
  <conditionalFormatting sqref="P21">
    <cfRule type="expression" dxfId="360" priority="20" stopIfTrue="1">
      <formula>$H$21=""</formula>
    </cfRule>
  </conditionalFormatting>
  <conditionalFormatting sqref="P22">
    <cfRule type="expression" dxfId="359" priority="21" stopIfTrue="1">
      <formula>$H$22=""</formula>
    </cfRule>
  </conditionalFormatting>
  <conditionalFormatting sqref="P23">
    <cfRule type="expression" dxfId="358" priority="22" stopIfTrue="1">
      <formula>$H$23=""</formula>
    </cfRule>
  </conditionalFormatting>
  <conditionalFormatting sqref="P24">
    <cfRule type="expression" dxfId="357" priority="23" stopIfTrue="1">
      <formula>$H$24=""</formula>
    </cfRule>
  </conditionalFormatting>
  <conditionalFormatting sqref="P25">
    <cfRule type="expression" dxfId="356" priority="24" stopIfTrue="1">
      <formula>$H$25=""</formula>
    </cfRule>
  </conditionalFormatting>
  <conditionalFormatting sqref="P26">
    <cfRule type="expression" dxfId="355" priority="25" stopIfTrue="1">
      <formula>$H$26=""</formula>
    </cfRule>
  </conditionalFormatting>
  <conditionalFormatting sqref="P27">
    <cfRule type="expression" dxfId="354" priority="26" stopIfTrue="1">
      <formula>$H$27=""</formula>
    </cfRule>
  </conditionalFormatting>
  <conditionalFormatting sqref="P28">
    <cfRule type="expression" dxfId="353" priority="27" stopIfTrue="1">
      <formula>$H$28=""</formula>
    </cfRule>
  </conditionalFormatting>
  <conditionalFormatting sqref="P29">
    <cfRule type="expression" dxfId="352" priority="28" stopIfTrue="1">
      <formula>$H$29=""</formula>
    </cfRule>
  </conditionalFormatting>
  <conditionalFormatting sqref="P30">
    <cfRule type="expression" dxfId="351" priority="29" stopIfTrue="1">
      <formula>$H$30=""</formula>
    </cfRule>
  </conditionalFormatting>
  <conditionalFormatting sqref="P31">
    <cfRule type="expression" dxfId="350" priority="30" stopIfTrue="1">
      <formula>$H$31=""</formula>
    </cfRule>
  </conditionalFormatting>
  <conditionalFormatting sqref="P32">
    <cfRule type="expression" dxfId="349" priority="31" stopIfTrue="1">
      <formula>$H$32=""</formula>
    </cfRule>
  </conditionalFormatting>
  <conditionalFormatting sqref="P33">
    <cfRule type="expression" dxfId="348" priority="32" stopIfTrue="1">
      <formula>$H$33=""</formula>
    </cfRule>
  </conditionalFormatting>
  <conditionalFormatting sqref="P34">
    <cfRule type="expression" dxfId="347" priority="33" stopIfTrue="1">
      <formula>$H$34=""</formula>
    </cfRule>
  </conditionalFormatting>
  <conditionalFormatting sqref="P35">
    <cfRule type="expression" dxfId="346" priority="34" stopIfTrue="1">
      <formula>$H$35=""</formula>
    </cfRule>
  </conditionalFormatting>
  <conditionalFormatting sqref="P36">
    <cfRule type="expression" dxfId="345" priority="35" stopIfTrue="1">
      <formula>$H$36=""</formula>
    </cfRule>
  </conditionalFormatting>
  <conditionalFormatting sqref="P47">
    <cfRule type="expression" dxfId="344" priority="36" stopIfTrue="1">
      <formula>$H$47=""</formula>
    </cfRule>
  </conditionalFormatting>
  <conditionalFormatting sqref="P48">
    <cfRule type="expression" dxfId="343" priority="37" stopIfTrue="1">
      <formula>$H$48=""</formula>
    </cfRule>
  </conditionalFormatting>
  <conditionalFormatting sqref="P49">
    <cfRule type="expression" dxfId="342" priority="38" stopIfTrue="1">
      <formula>$H$49=""</formula>
    </cfRule>
  </conditionalFormatting>
  <conditionalFormatting sqref="P50">
    <cfRule type="expression" dxfId="341" priority="39" stopIfTrue="1">
      <formula>$H$50=""</formula>
    </cfRule>
  </conditionalFormatting>
  <conditionalFormatting sqref="P51">
    <cfRule type="expression" dxfId="340" priority="40" stopIfTrue="1">
      <formula>$H$51=""</formula>
    </cfRule>
  </conditionalFormatting>
  <conditionalFormatting sqref="P52">
    <cfRule type="expression" dxfId="339" priority="41" stopIfTrue="1">
      <formula>$H$52=""</formula>
    </cfRule>
  </conditionalFormatting>
  <conditionalFormatting sqref="P53">
    <cfRule type="expression" dxfId="338" priority="42" stopIfTrue="1">
      <formula>$H$53=""</formula>
    </cfRule>
  </conditionalFormatting>
  <conditionalFormatting sqref="P54">
    <cfRule type="expression" dxfId="337" priority="43" stopIfTrue="1">
      <formula>$H$54=""</formula>
    </cfRule>
  </conditionalFormatting>
  <conditionalFormatting sqref="P55">
    <cfRule type="expression" dxfId="336" priority="44" stopIfTrue="1">
      <formula>$H$55=""</formula>
    </cfRule>
  </conditionalFormatting>
  <conditionalFormatting sqref="P56">
    <cfRule type="expression" dxfId="335" priority="45" stopIfTrue="1">
      <formula>$H$56=""</formula>
    </cfRule>
  </conditionalFormatting>
  <conditionalFormatting sqref="P57">
    <cfRule type="expression" dxfId="334" priority="46" stopIfTrue="1">
      <formula>$H$57=""</formula>
    </cfRule>
  </conditionalFormatting>
  <conditionalFormatting sqref="P58">
    <cfRule type="expression" dxfId="333" priority="47" stopIfTrue="1">
      <formula>$H$58=""</formula>
    </cfRule>
  </conditionalFormatting>
  <conditionalFormatting sqref="P59">
    <cfRule type="expression" dxfId="332" priority="48" stopIfTrue="1">
      <formula>$H$59=""</formula>
    </cfRule>
  </conditionalFormatting>
  <conditionalFormatting sqref="P60">
    <cfRule type="expression" dxfId="331" priority="49" stopIfTrue="1">
      <formula>$H$60=""</formula>
    </cfRule>
  </conditionalFormatting>
  <conditionalFormatting sqref="P61">
    <cfRule type="expression" dxfId="330" priority="50" stopIfTrue="1">
      <formula>$H$61=""</formula>
    </cfRule>
  </conditionalFormatting>
  <conditionalFormatting sqref="P62">
    <cfRule type="expression" dxfId="329" priority="51" stopIfTrue="1">
      <formula>$H$62=""</formula>
    </cfRule>
  </conditionalFormatting>
  <conditionalFormatting sqref="P63">
    <cfRule type="expression" dxfId="328" priority="52" stopIfTrue="1">
      <formula>$H$63=""</formula>
    </cfRule>
  </conditionalFormatting>
  <conditionalFormatting sqref="P64">
    <cfRule type="expression" dxfId="327" priority="53" stopIfTrue="1">
      <formula>$H$64=""</formula>
    </cfRule>
  </conditionalFormatting>
  <conditionalFormatting sqref="P65">
    <cfRule type="expression" dxfId="326" priority="54" stopIfTrue="1">
      <formula>$H$65=""</formula>
    </cfRule>
  </conditionalFormatting>
  <conditionalFormatting sqref="P66">
    <cfRule type="expression" dxfId="325" priority="55" stopIfTrue="1">
      <formula>$H$66=""</formula>
    </cfRule>
  </conditionalFormatting>
  <conditionalFormatting sqref="P67">
    <cfRule type="expression" dxfId="324" priority="56" stopIfTrue="1">
      <formula>$H$67=""</formula>
    </cfRule>
  </conditionalFormatting>
  <conditionalFormatting sqref="P68">
    <cfRule type="expression" dxfId="323" priority="57" stopIfTrue="1">
      <formula>$H$68=""</formula>
    </cfRule>
  </conditionalFormatting>
  <conditionalFormatting sqref="P69">
    <cfRule type="expression" dxfId="322" priority="58" stopIfTrue="1">
      <formula>$H$69=""</formula>
    </cfRule>
  </conditionalFormatting>
  <conditionalFormatting sqref="P71">
    <cfRule type="expression" dxfId="321" priority="59" stopIfTrue="1">
      <formula>$H$71=""</formula>
    </cfRule>
  </conditionalFormatting>
  <conditionalFormatting sqref="P72">
    <cfRule type="expression" dxfId="320" priority="60" stopIfTrue="1">
      <formula>$H$72=""</formula>
    </cfRule>
  </conditionalFormatting>
  <conditionalFormatting sqref="P73">
    <cfRule type="expression" dxfId="319" priority="61" stopIfTrue="1">
      <formula>$H$73=""</formula>
    </cfRule>
  </conditionalFormatting>
  <conditionalFormatting sqref="P74">
    <cfRule type="expression" dxfId="318" priority="62" stopIfTrue="1">
      <formula>$H$74=""</formula>
    </cfRule>
  </conditionalFormatting>
  <conditionalFormatting sqref="P75">
    <cfRule type="expression" dxfId="317" priority="63" stopIfTrue="1">
      <formula>$H$75=""</formula>
    </cfRule>
  </conditionalFormatting>
  <conditionalFormatting sqref="P76">
    <cfRule type="expression" dxfId="316" priority="64" stopIfTrue="1">
      <formula>$H$76=""</formula>
    </cfRule>
  </conditionalFormatting>
  <conditionalFormatting sqref="P77">
    <cfRule type="expression" dxfId="315" priority="65" stopIfTrue="1">
      <formula>$H$77=""</formula>
    </cfRule>
  </conditionalFormatting>
  <conditionalFormatting sqref="P78">
    <cfRule type="expression" dxfId="314" priority="66" stopIfTrue="1">
      <formula>$H$78=""</formula>
    </cfRule>
  </conditionalFormatting>
  <conditionalFormatting sqref="P79">
    <cfRule type="expression" dxfId="313" priority="67" stopIfTrue="1">
      <formula>$H$79=""</formula>
    </cfRule>
  </conditionalFormatting>
  <conditionalFormatting sqref="P80">
    <cfRule type="expression" dxfId="312" priority="68" stopIfTrue="1">
      <formula>$H$80=""</formula>
    </cfRule>
  </conditionalFormatting>
  <conditionalFormatting sqref="P81">
    <cfRule type="expression" dxfId="311" priority="69" stopIfTrue="1">
      <formula>$H$81=""</formula>
    </cfRule>
  </conditionalFormatting>
  <conditionalFormatting sqref="P82">
    <cfRule type="expression" dxfId="310" priority="70" stopIfTrue="1">
      <formula>$H$82=""</formula>
    </cfRule>
  </conditionalFormatting>
  <conditionalFormatting sqref="P83">
    <cfRule type="expression" dxfId="309" priority="71" stopIfTrue="1">
      <formula>$H$83=""</formula>
    </cfRule>
  </conditionalFormatting>
  <conditionalFormatting sqref="P84">
    <cfRule type="expression" dxfId="308" priority="72" stopIfTrue="1">
      <formula>$H$84=""</formula>
    </cfRule>
  </conditionalFormatting>
  <conditionalFormatting sqref="P85">
    <cfRule type="expression" dxfId="307" priority="73" stopIfTrue="1">
      <formula>$H$85=""</formula>
    </cfRule>
  </conditionalFormatting>
  <conditionalFormatting sqref="P86">
    <cfRule type="expression" dxfId="306" priority="74" stopIfTrue="1">
      <formula>$H$86=""</formula>
    </cfRule>
  </conditionalFormatting>
  <conditionalFormatting sqref="P87">
    <cfRule type="expression" dxfId="305" priority="75" stopIfTrue="1">
      <formula>$H$87=""</formula>
    </cfRule>
  </conditionalFormatting>
  <conditionalFormatting sqref="P88">
    <cfRule type="expression" dxfId="304" priority="76" stopIfTrue="1">
      <formula>$H$88=""</formula>
    </cfRule>
  </conditionalFormatting>
  <conditionalFormatting sqref="P89">
    <cfRule type="expression" dxfId="303" priority="77" stopIfTrue="1">
      <formula>$H$89=""</formula>
    </cfRule>
  </conditionalFormatting>
  <conditionalFormatting sqref="P90">
    <cfRule type="expression" dxfId="302" priority="78" stopIfTrue="1">
      <formula>$H$90=""</formula>
    </cfRule>
  </conditionalFormatting>
  <conditionalFormatting sqref="P91">
    <cfRule type="expression" dxfId="301" priority="79" stopIfTrue="1">
      <formula>$H$91=""</formula>
    </cfRule>
  </conditionalFormatting>
  <conditionalFormatting sqref="P92">
    <cfRule type="expression" dxfId="300" priority="80" stopIfTrue="1">
      <formula>$H$92=""</formula>
    </cfRule>
  </conditionalFormatting>
  <conditionalFormatting sqref="P93">
    <cfRule type="expression" dxfId="299" priority="81" stopIfTrue="1">
      <formula>$H$93=""</formula>
    </cfRule>
  </conditionalFormatting>
  <conditionalFormatting sqref="P94">
    <cfRule type="expression" dxfId="298" priority="82" stopIfTrue="1">
      <formula>$H$94=""</formula>
    </cfRule>
  </conditionalFormatting>
  <conditionalFormatting sqref="P95">
    <cfRule type="expression" dxfId="297" priority="83" stopIfTrue="1">
      <formula>$H$95=""</formula>
    </cfRule>
  </conditionalFormatting>
  <conditionalFormatting sqref="P96">
    <cfRule type="expression" dxfId="296" priority="84" stopIfTrue="1">
      <formula>$H$96=""</formula>
    </cfRule>
  </conditionalFormatting>
  <conditionalFormatting sqref="P97">
    <cfRule type="expression" dxfId="295" priority="85" stopIfTrue="1">
      <formula>$H$97=""</formula>
    </cfRule>
  </conditionalFormatting>
  <conditionalFormatting sqref="P98">
    <cfRule type="expression" dxfId="294" priority="86" stopIfTrue="1">
      <formula>$H$98=""</formula>
    </cfRule>
  </conditionalFormatting>
  <conditionalFormatting sqref="P99">
    <cfRule type="expression" dxfId="293" priority="87" stopIfTrue="1">
      <formula>$H$99=""</formula>
    </cfRule>
  </conditionalFormatting>
  <conditionalFormatting sqref="P100">
    <cfRule type="expression" dxfId="292" priority="88" stopIfTrue="1">
      <formula>$H$100=""</formula>
    </cfRule>
  </conditionalFormatting>
  <conditionalFormatting sqref="P101">
    <cfRule type="expression" dxfId="291" priority="89" stopIfTrue="1">
      <formula>$H$101=""</formula>
    </cfRule>
  </conditionalFormatting>
  <conditionalFormatting sqref="P102">
    <cfRule type="expression" dxfId="290" priority="90" stopIfTrue="1">
      <formula>$H$102=""</formula>
    </cfRule>
  </conditionalFormatting>
  <conditionalFormatting sqref="P103">
    <cfRule type="expression" dxfId="289" priority="91" stopIfTrue="1">
      <formula>$H$103=""</formula>
    </cfRule>
  </conditionalFormatting>
  <conditionalFormatting sqref="P104">
    <cfRule type="expression" dxfId="288" priority="92" stopIfTrue="1">
      <formula>$H$104=""</formula>
    </cfRule>
  </conditionalFormatting>
  <conditionalFormatting sqref="P105">
    <cfRule type="expression" dxfId="287" priority="93" stopIfTrue="1">
      <formula>$H$105=""</formula>
    </cfRule>
  </conditionalFormatting>
  <conditionalFormatting sqref="P106">
    <cfRule type="expression" dxfId="286" priority="94" stopIfTrue="1">
      <formula>$H$106=""</formula>
    </cfRule>
  </conditionalFormatting>
  <conditionalFormatting sqref="P107">
    <cfRule type="expression" dxfId="285" priority="95" stopIfTrue="1">
      <formula>$H$107=""</formula>
    </cfRule>
  </conditionalFormatting>
  <conditionalFormatting sqref="P108">
    <cfRule type="expression" dxfId="284" priority="96" stopIfTrue="1">
      <formula>$H$108=""</formula>
    </cfRule>
  </conditionalFormatting>
  <conditionalFormatting sqref="P109">
    <cfRule type="expression" dxfId="283" priority="97" stopIfTrue="1">
      <formula>$H$109=""</formula>
    </cfRule>
  </conditionalFormatting>
  <conditionalFormatting sqref="P110">
    <cfRule type="expression" dxfId="282" priority="98" stopIfTrue="1">
      <formula>$H$110=""</formula>
    </cfRule>
  </conditionalFormatting>
  <conditionalFormatting sqref="P111">
    <cfRule type="expression" dxfId="281" priority="99" stopIfTrue="1">
      <formula>$H$111=""</formula>
    </cfRule>
  </conditionalFormatting>
  <conditionalFormatting sqref="P112">
    <cfRule type="expression" dxfId="280" priority="100" stopIfTrue="1">
      <formula>$H$112=""</formula>
    </cfRule>
  </conditionalFormatting>
  <conditionalFormatting sqref="P113">
    <cfRule type="expression" dxfId="279" priority="101" stopIfTrue="1">
      <formula>$H$113=""</formula>
    </cfRule>
  </conditionalFormatting>
  <conditionalFormatting sqref="P114">
    <cfRule type="expression" dxfId="278" priority="102" stopIfTrue="1">
      <formula>$H$114=""</formula>
    </cfRule>
  </conditionalFormatting>
  <conditionalFormatting sqref="P115">
    <cfRule type="expression" dxfId="277" priority="103" stopIfTrue="1">
      <formula>$H$115=""</formula>
    </cfRule>
  </conditionalFormatting>
  <conditionalFormatting sqref="P116">
    <cfRule type="expression" dxfId="276" priority="104" stopIfTrue="1">
      <formula>$H$116=""</formula>
    </cfRule>
  </conditionalFormatting>
  <conditionalFormatting sqref="P37">
    <cfRule type="expression" dxfId="275" priority="105" stopIfTrue="1">
      <formula>$H$37=""</formula>
    </cfRule>
  </conditionalFormatting>
  <conditionalFormatting sqref="P38">
    <cfRule type="expression" dxfId="274" priority="106" stopIfTrue="1">
      <formula>$H$38=""</formula>
    </cfRule>
  </conditionalFormatting>
  <conditionalFormatting sqref="P39">
    <cfRule type="expression" dxfId="273" priority="107" stopIfTrue="1">
      <formula>$H$39=""</formula>
    </cfRule>
  </conditionalFormatting>
  <conditionalFormatting sqref="P40">
    <cfRule type="expression" dxfId="272" priority="108" stopIfTrue="1">
      <formula>$H$40=""</formula>
    </cfRule>
  </conditionalFormatting>
  <conditionalFormatting sqref="P41">
    <cfRule type="expression" dxfId="271" priority="109" stopIfTrue="1">
      <formula>$H$41=""</formula>
    </cfRule>
  </conditionalFormatting>
  <conditionalFormatting sqref="P42">
    <cfRule type="expression" dxfId="270" priority="110" stopIfTrue="1">
      <formula>$H$42=""</formula>
    </cfRule>
  </conditionalFormatting>
  <conditionalFormatting sqref="P43">
    <cfRule type="expression" dxfId="269" priority="111" stopIfTrue="1">
      <formula>$H$43=""</formula>
    </cfRule>
  </conditionalFormatting>
  <conditionalFormatting sqref="P44">
    <cfRule type="expression" dxfId="268" priority="112" stopIfTrue="1">
      <formula>$H$44=""</formula>
    </cfRule>
  </conditionalFormatting>
  <conditionalFormatting sqref="P45">
    <cfRule type="expression" dxfId="267" priority="113" stopIfTrue="1">
      <formula>$H$45=""</formula>
    </cfRule>
  </conditionalFormatting>
  <conditionalFormatting sqref="P46">
    <cfRule type="expression" dxfId="266" priority="114" stopIfTrue="1">
      <formula>$H$46=""</formula>
    </cfRule>
  </conditionalFormatting>
  <conditionalFormatting sqref="P70">
    <cfRule type="expression" dxfId="265" priority="115" stopIfTrue="1">
      <formula>$H$70=""</formula>
    </cfRule>
  </conditionalFormatting>
  <dataValidations count="5">
    <dataValidation imeMode="disabled" allowBlank="1" sqref="P117:P65536 P1 P3:P6"/>
    <dataValidation allowBlank="1" showInputMessage="1" showErrorMessage="1" prompt="#N/A表示は種目選択ミス" sqref="O7:O116"/>
    <dataValidation type="list" errorStyle="warning" allowBlank="1" showInputMessage="1" showErrorMessage="1" sqref="N7:N116">
      <formula1>IF(H7=1,$AF$6,IF(H7=2,$AF$7))</formula1>
    </dataValidation>
    <dataValidation imeMode="disabled" allowBlank="1" showInputMessage="1" prompt="記録は半角英数字で_x000a_例_x000a_11秒11→11.11_x000a_1分50秒00→1.50.00_x000a_15m50→15m50_x000a__x000a_" sqref="P7:P116"/>
    <dataValidation errorStyle="warning" allowBlank="1" showInputMessage="1" showErrorMessage="1" sqref="Q7:Q116"/>
  </dataValidations>
  <printOptions horizontalCentered="1"/>
  <pageMargins left="0.59055118110236227" right="0.78740157480314965" top="0.98425196850393704" bottom="0.98425196850393704" header="0.51181102362204722" footer="0.51181102362204722"/>
  <pageSetup paperSize="9" scale="92" fitToHeight="2" orientation="portrait" verticalDpi="300" r:id="rId1"/>
  <headerFooter alignWithMargins="0">
    <oddHeader>&amp;L中学生&amp;R&amp;D　&amp;T</oddHeader>
    <oddFooter>&amp;L&amp;P&amp;R三重陸上競技協会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8" enableFormatConditionsCalculation="0">
    <tabColor indexed="33"/>
    <pageSetUpPr fitToPage="1"/>
  </sheetPr>
  <dimension ref="A1:L56"/>
  <sheetViews>
    <sheetView showGridLines="0" showZeros="0" workbookViewId="0">
      <selection activeCell="H27" sqref="H27"/>
    </sheetView>
  </sheetViews>
  <sheetFormatPr defaultRowHeight="13.5"/>
  <cols>
    <col min="1" max="7" width="9" style="58"/>
    <col min="8" max="8" width="7.625" style="58" customWidth="1"/>
    <col min="9" max="9" width="10.75" style="58" bestFit="1" customWidth="1"/>
    <col min="10" max="16384" width="9" style="58"/>
  </cols>
  <sheetData>
    <row r="1" spans="1:12" ht="18.75">
      <c r="A1" s="1227" t="s">
        <v>109</v>
      </c>
      <c r="B1" s="1227"/>
      <c r="C1" s="1227"/>
      <c r="D1" s="1227"/>
      <c r="E1" s="1227"/>
      <c r="F1" s="1227"/>
      <c r="G1" s="1227"/>
      <c r="H1" s="1227"/>
      <c r="I1" s="1227"/>
      <c r="J1" s="1227"/>
    </row>
    <row r="2" spans="1:12">
      <c r="A2" s="411"/>
      <c r="B2" s="411"/>
      <c r="C2" s="411"/>
      <c r="D2" s="411"/>
      <c r="E2" s="411"/>
      <c r="F2" s="412"/>
      <c r="G2" s="411"/>
      <c r="H2" s="412"/>
      <c r="I2" s="413"/>
      <c r="J2" s="413"/>
    </row>
    <row r="3" spans="1:12" ht="30" customHeight="1">
      <c r="A3" s="414" t="s">
        <v>111</v>
      </c>
      <c r="B3" s="414"/>
      <c r="C3" s="995"/>
      <c r="D3" s="996"/>
      <c r="E3" s="996"/>
      <c r="F3" s="996"/>
      <c r="G3" s="996"/>
      <c r="H3" s="997"/>
      <c r="I3" s="413"/>
      <c r="J3" s="413"/>
    </row>
    <row r="4" spans="1:12" ht="11.25" customHeight="1">
      <c r="A4" s="414"/>
      <c r="B4" s="414"/>
      <c r="C4" s="415"/>
      <c r="D4" s="414"/>
      <c r="E4" s="414"/>
      <c r="F4" s="414"/>
      <c r="G4" s="414"/>
      <c r="H4" s="412"/>
      <c r="I4" s="413"/>
      <c r="J4" s="413"/>
    </row>
    <row r="5" spans="1:12" ht="30" customHeight="1">
      <c r="A5" s="425" t="s">
        <v>110</v>
      </c>
      <c r="B5" s="426"/>
      <c r="C5" s="445">
        <f>IF(名簿!O4="","",名簿!O4)</f>
        <v>0</v>
      </c>
      <c r="D5" s="436"/>
      <c r="E5" s="436"/>
      <c r="F5" s="439"/>
      <c r="G5" s="439"/>
      <c r="H5" s="416"/>
      <c r="I5" s="438" t="e">
        <f>名簿!P4</f>
        <v>#N/A</v>
      </c>
      <c r="J5" s="413"/>
    </row>
    <row r="6" spans="1:12" ht="10.5" customHeight="1">
      <c r="A6" s="425"/>
      <c r="B6" s="426"/>
      <c r="C6" s="426"/>
      <c r="D6" s="426"/>
      <c r="E6" s="426"/>
      <c r="F6" s="426"/>
      <c r="G6" s="426"/>
      <c r="H6" s="416"/>
      <c r="I6" s="413"/>
      <c r="J6" s="413"/>
      <c r="K6" s="410"/>
      <c r="L6"/>
    </row>
    <row r="7" spans="1:12" ht="30" customHeight="1">
      <c r="A7" s="425" t="s">
        <v>327</v>
      </c>
      <c r="B7" s="426"/>
      <c r="C7" s="445">
        <f>IF(名簿!D1="","",名簿!D1)</f>
        <v>0</v>
      </c>
      <c r="D7" s="436"/>
      <c r="E7" s="436"/>
      <c r="F7" s="427" t="s">
        <v>328</v>
      </c>
      <c r="G7" s="445">
        <f>IF(名簿!I1="","",名簿!I1)</f>
        <v>0</v>
      </c>
      <c r="H7" s="436"/>
      <c r="I7" s="436"/>
      <c r="J7" s="413"/>
      <c r="K7"/>
      <c r="L7"/>
    </row>
    <row r="8" spans="1:12">
      <c r="A8" s="413"/>
      <c r="B8" s="413"/>
      <c r="C8" s="413"/>
      <c r="D8" s="413"/>
      <c r="E8" s="413"/>
      <c r="F8" s="416"/>
      <c r="G8" s="413"/>
      <c r="H8" s="416"/>
      <c r="I8" s="413"/>
      <c r="J8" s="413"/>
      <c r="K8"/>
      <c r="L8"/>
    </row>
    <row r="9" spans="1:12">
      <c r="A9" s="413"/>
      <c r="B9" s="413"/>
      <c r="C9" s="413"/>
      <c r="D9" s="413"/>
      <c r="E9" s="413"/>
      <c r="F9" s="416"/>
      <c r="G9" s="413"/>
      <c r="H9" s="416"/>
      <c r="I9" s="413"/>
      <c r="J9" s="413"/>
      <c r="K9"/>
      <c r="L9"/>
    </row>
    <row r="10" spans="1:12">
      <c r="A10" s="413"/>
      <c r="B10" s="413"/>
      <c r="C10" s="413"/>
      <c r="D10" s="413"/>
      <c r="E10" s="413"/>
      <c r="F10" s="416"/>
      <c r="G10" s="413"/>
      <c r="H10" s="416"/>
      <c r="I10" s="413"/>
      <c r="J10" s="413"/>
      <c r="K10"/>
      <c r="L10"/>
    </row>
    <row r="11" spans="1:12">
      <c r="A11" s="413"/>
      <c r="B11" s="417"/>
      <c r="C11" s="418"/>
      <c r="D11" s="418"/>
      <c r="E11" s="418"/>
      <c r="F11" s="418"/>
      <c r="G11" s="418"/>
      <c r="H11" s="418"/>
      <c r="I11" s="419"/>
      <c r="J11" s="413"/>
      <c r="K11" s="1226" t="s">
        <v>361</v>
      </c>
      <c r="L11"/>
    </row>
    <row r="12" spans="1:12">
      <c r="A12" s="413"/>
      <c r="B12" s="420"/>
      <c r="C12" s="416"/>
      <c r="D12" s="416"/>
      <c r="E12" s="416"/>
      <c r="F12" s="416"/>
      <c r="G12" s="416"/>
      <c r="H12" s="416"/>
      <c r="I12" s="421"/>
      <c r="J12" s="413"/>
      <c r="K12" s="1226"/>
      <c r="L12"/>
    </row>
    <row r="13" spans="1:12">
      <c r="A13" s="413"/>
      <c r="B13" s="420"/>
      <c r="C13" s="416"/>
      <c r="D13" s="416"/>
      <c r="E13" s="416"/>
      <c r="F13" s="416"/>
      <c r="G13" s="416"/>
      <c r="H13" s="416"/>
      <c r="I13" s="421"/>
      <c r="J13" s="413"/>
      <c r="K13" s="1226"/>
      <c r="L13"/>
    </row>
    <row r="14" spans="1:12">
      <c r="A14" s="413"/>
      <c r="B14" s="420"/>
      <c r="C14" s="416"/>
      <c r="D14" s="416"/>
      <c r="E14" s="416"/>
      <c r="F14" s="416"/>
      <c r="G14" s="416"/>
      <c r="H14" s="416"/>
      <c r="I14" s="421"/>
      <c r="J14" s="413"/>
      <c r="K14" s="1226"/>
      <c r="L14"/>
    </row>
    <row r="15" spans="1:12">
      <c r="A15" s="413"/>
      <c r="B15" s="420"/>
      <c r="C15" s="416"/>
      <c r="D15" s="416"/>
      <c r="E15" s="416"/>
      <c r="F15" s="416"/>
      <c r="G15" s="416"/>
      <c r="H15" s="416"/>
      <c r="I15" s="421"/>
      <c r="J15" s="413"/>
      <c r="K15" s="1226"/>
    </row>
    <row r="16" spans="1:12">
      <c r="A16" s="413"/>
      <c r="B16" s="420"/>
      <c r="C16" s="416"/>
      <c r="D16" s="416"/>
      <c r="E16" s="416"/>
      <c r="F16" s="416"/>
      <c r="G16" s="416"/>
      <c r="H16" s="416"/>
      <c r="I16" s="421"/>
      <c r="J16" s="413"/>
      <c r="K16" s="1226"/>
    </row>
    <row r="17" spans="1:11">
      <c r="A17" s="413"/>
      <c r="B17" s="420"/>
      <c r="C17" s="416"/>
      <c r="D17" s="416"/>
      <c r="E17" s="416"/>
      <c r="F17" s="416"/>
      <c r="G17" s="416"/>
      <c r="H17" s="416"/>
      <c r="I17" s="421"/>
      <c r="J17" s="413"/>
      <c r="K17" s="1226"/>
    </row>
    <row r="18" spans="1:11">
      <c r="A18" s="413"/>
      <c r="B18" s="420"/>
      <c r="C18" s="416"/>
      <c r="D18" s="416"/>
      <c r="E18" s="416"/>
      <c r="F18" s="416"/>
      <c r="G18" s="416"/>
      <c r="H18" s="416"/>
      <c r="I18" s="421"/>
      <c r="J18" s="413"/>
      <c r="K18" s="1226"/>
    </row>
    <row r="19" spans="1:11">
      <c r="A19" s="413"/>
      <c r="B19" s="420"/>
      <c r="C19" s="416"/>
      <c r="D19" s="416"/>
      <c r="E19" s="416"/>
      <c r="F19" s="416"/>
      <c r="G19" s="416"/>
      <c r="H19" s="416"/>
      <c r="I19" s="421"/>
      <c r="J19" s="413"/>
      <c r="K19" s="1226"/>
    </row>
    <row r="20" spans="1:11">
      <c r="A20" s="413"/>
      <c r="B20" s="420"/>
      <c r="C20" s="416"/>
      <c r="D20" s="416"/>
      <c r="E20" s="416"/>
      <c r="F20" s="416"/>
      <c r="G20" s="416"/>
      <c r="H20" s="416"/>
      <c r="I20" s="421"/>
      <c r="J20" s="413"/>
      <c r="K20" s="1226"/>
    </row>
    <row r="21" spans="1:11">
      <c r="A21" s="413"/>
      <c r="B21" s="420"/>
      <c r="C21" s="416"/>
      <c r="D21" s="416"/>
      <c r="E21" s="416"/>
      <c r="F21" s="416"/>
      <c r="G21" s="416"/>
      <c r="H21" s="416"/>
      <c r="I21" s="421"/>
      <c r="J21" s="416"/>
      <c r="K21" s="1226"/>
    </row>
    <row r="22" spans="1:11">
      <c r="A22" s="413"/>
      <c r="B22" s="420"/>
      <c r="C22" s="416"/>
      <c r="D22" s="416"/>
      <c r="E22" s="416"/>
      <c r="F22" s="416"/>
      <c r="G22" s="416"/>
      <c r="H22" s="416"/>
      <c r="I22" s="421"/>
      <c r="J22" s="416"/>
      <c r="K22" s="1226"/>
    </row>
    <row r="23" spans="1:11">
      <c r="A23" s="413"/>
      <c r="B23" s="420"/>
      <c r="C23" s="416"/>
      <c r="D23" s="416"/>
      <c r="E23" s="416"/>
      <c r="F23" s="416"/>
      <c r="G23" s="416"/>
      <c r="H23" s="416"/>
      <c r="I23" s="421"/>
      <c r="J23" s="416"/>
      <c r="K23" s="1226"/>
    </row>
    <row r="24" spans="1:11">
      <c r="A24" s="413"/>
      <c r="B24" s="420"/>
      <c r="C24" s="416"/>
      <c r="D24" s="416"/>
      <c r="E24" s="416"/>
      <c r="F24" s="416"/>
      <c r="G24" s="416"/>
      <c r="H24" s="416"/>
      <c r="I24" s="421"/>
      <c r="J24" s="416"/>
      <c r="K24" s="1226"/>
    </row>
    <row r="25" spans="1:11">
      <c r="A25" s="413"/>
      <c r="B25" s="420"/>
      <c r="C25" s="416"/>
      <c r="D25" s="416"/>
      <c r="E25" s="416"/>
      <c r="F25" s="416"/>
      <c r="G25" s="416"/>
      <c r="H25" s="416"/>
      <c r="I25" s="421"/>
      <c r="J25" s="416"/>
      <c r="K25" s="1226"/>
    </row>
    <row r="26" spans="1:11">
      <c r="A26" s="413"/>
      <c r="B26" s="420"/>
      <c r="C26" s="416"/>
      <c r="D26" s="416"/>
      <c r="E26" s="416"/>
      <c r="F26" s="416"/>
      <c r="G26" s="416"/>
      <c r="H26" s="416"/>
      <c r="I26" s="421"/>
      <c r="J26" s="416"/>
      <c r="K26" s="1226"/>
    </row>
    <row r="27" spans="1:11">
      <c r="A27" s="413"/>
      <c r="B27" s="420"/>
      <c r="C27" s="416"/>
      <c r="D27" s="416"/>
      <c r="E27" s="416"/>
      <c r="F27" s="416"/>
      <c r="G27" s="416"/>
      <c r="H27" s="416"/>
      <c r="I27" s="421"/>
      <c r="J27" s="416"/>
      <c r="K27" s="1226"/>
    </row>
    <row r="28" spans="1:11">
      <c r="A28" s="413"/>
      <c r="B28" s="420"/>
      <c r="C28" s="416"/>
      <c r="D28" s="416"/>
      <c r="E28" s="416"/>
      <c r="F28" s="416"/>
      <c r="G28" s="416"/>
      <c r="H28" s="416"/>
      <c r="I28" s="421"/>
      <c r="J28" s="416"/>
      <c r="K28" s="1226"/>
    </row>
    <row r="29" spans="1:11">
      <c r="A29" s="413"/>
      <c r="B29" s="420"/>
      <c r="C29" s="416"/>
      <c r="D29" s="416"/>
      <c r="E29" s="416"/>
      <c r="F29" s="416"/>
      <c r="G29" s="416"/>
      <c r="H29" s="416"/>
      <c r="I29" s="421"/>
      <c r="J29" s="416"/>
      <c r="K29" s="1226"/>
    </row>
    <row r="30" spans="1:11">
      <c r="A30" s="413"/>
      <c r="B30" s="420"/>
      <c r="C30" s="416"/>
      <c r="D30" s="416"/>
      <c r="E30" s="416"/>
      <c r="F30" s="416"/>
      <c r="G30" s="416"/>
      <c r="H30" s="416"/>
      <c r="I30" s="421"/>
      <c r="J30" s="416"/>
      <c r="K30" s="1226"/>
    </row>
    <row r="31" spans="1:11">
      <c r="A31" s="413"/>
      <c r="B31" s="420"/>
      <c r="C31" s="416"/>
      <c r="D31" s="416"/>
      <c r="E31" s="416"/>
      <c r="F31" s="416"/>
      <c r="G31" s="416"/>
      <c r="H31" s="416"/>
      <c r="I31" s="421"/>
      <c r="J31" s="416"/>
      <c r="K31" s="1226"/>
    </row>
    <row r="32" spans="1:11" ht="13.5" customHeight="1">
      <c r="A32" s="413"/>
      <c r="B32" s="420"/>
      <c r="C32" s="416"/>
      <c r="D32" s="416"/>
      <c r="E32" s="416"/>
      <c r="F32" s="416"/>
      <c r="G32" s="416"/>
      <c r="H32" s="416"/>
      <c r="I32" s="421"/>
      <c r="J32" s="416"/>
      <c r="K32" s="1226"/>
    </row>
    <row r="33" spans="1:11">
      <c r="A33" s="413"/>
      <c r="B33" s="420"/>
      <c r="C33" s="416"/>
      <c r="D33" s="416"/>
      <c r="E33" s="416"/>
      <c r="F33" s="416"/>
      <c r="G33" s="416"/>
      <c r="H33" s="416"/>
      <c r="I33" s="421"/>
      <c r="J33" s="416"/>
      <c r="K33" s="1226"/>
    </row>
    <row r="34" spans="1:11">
      <c r="A34" s="413"/>
      <c r="B34" s="420"/>
      <c r="C34" s="416"/>
      <c r="D34" s="416"/>
      <c r="E34" s="416"/>
      <c r="F34" s="416"/>
      <c r="G34" s="416"/>
      <c r="H34" s="416"/>
      <c r="I34" s="421"/>
      <c r="J34" s="416"/>
      <c r="K34" s="1226"/>
    </row>
    <row r="35" spans="1:11">
      <c r="A35" s="413"/>
      <c r="B35" s="420"/>
      <c r="C35" s="416"/>
      <c r="D35" s="416"/>
      <c r="E35" s="416"/>
      <c r="F35" s="416"/>
      <c r="G35" s="416"/>
      <c r="H35" s="416"/>
      <c r="I35" s="421"/>
      <c r="J35" s="416"/>
      <c r="K35" s="1226"/>
    </row>
    <row r="36" spans="1:11">
      <c r="A36" s="413"/>
      <c r="B36" s="420"/>
      <c r="C36" s="416"/>
      <c r="D36" s="416"/>
      <c r="E36" s="416"/>
      <c r="F36" s="416"/>
      <c r="G36" s="416"/>
      <c r="H36" s="416"/>
      <c r="I36" s="421"/>
      <c r="J36" s="416"/>
      <c r="K36" s="1226"/>
    </row>
    <row r="37" spans="1:11">
      <c r="A37" s="413"/>
      <c r="B37" s="420"/>
      <c r="C37" s="416"/>
      <c r="D37" s="416"/>
      <c r="E37" s="416"/>
      <c r="F37" s="416"/>
      <c r="G37" s="416"/>
      <c r="H37" s="416"/>
      <c r="I37" s="421"/>
      <c r="J37" s="416"/>
      <c r="K37" s="1226"/>
    </row>
    <row r="38" spans="1:11">
      <c r="A38" s="413"/>
      <c r="B38" s="422"/>
      <c r="C38" s="423"/>
      <c r="D38" s="423"/>
      <c r="E38" s="423"/>
      <c r="F38" s="423"/>
      <c r="G38" s="423"/>
      <c r="H38" s="423"/>
      <c r="I38" s="424"/>
      <c r="J38" s="416"/>
      <c r="K38" s="1226"/>
    </row>
    <row r="39" spans="1:11">
      <c r="A39" s="413"/>
      <c r="B39" s="413"/>
      <c r="C39" s="413"/>
      <c r="D39" s="413"/>
      <c r="E39" s="413"/>
      <c r="F39" s="413"/>
      <c r="G39" s="413"/>
      <c r="H39" s="413"/>
      <c r="I39" s="413"/>
      <c r="J39" s="413"/>
      <c r="K39" s="1226"/>
    </row>
    <row r="40" spans="1:11">
      <c r="A40" s="413"/>
      <c r="B40" s="413"/>
      <c r="C40" s="413"/>
      <c r="D40" s="413"/>
      <c r="E40" s="413"/>
      <c r="F40" s="413"/>
      <c r="G40" s="413"/>
      <c r="H40" s="413"/>
      <c r="I40" s="413"/>
      <c r="J40" s="413"/>
      <c r="K40" s="1226"/>
    </row>
    <row r="41" spans="1:11">
      <c r="A41" s="413"/>
      <c r="B41" s="413"/>
      <c r="C41" s="413"/>
      <c r="D41" s="413"/>
      <c r="E41" s="413"/>
      <c r="F41" s="413"/>
      <c r="G41" s="413"/>
      <c r="H41" s="413"/>
      <c r="I41" s="413"/>
      <c r="J41" s="413"/>
    </row>
    <row r="42" spans="1:11">
      <c r="A42" s="413"/>
      <c r="B42" s="413"/>
      <c r="C42" s="413"/>
      <c r="D42" s="413"/>
      <c r="E42" s="413"/>
      <c r="F42" s="413"/>
      <c r="G42" s="413"/>
      <c r="H42" s="413"/>
      <c r="I42" s="413"/>
      <c r="J42" s="413"/>
    </row>
    <row r="43" spans="1:11" s="431" customFormat="1" ht="21">
      <c r="A43" s="430"/>
      <c r="B43" s="430" t="s">
        <v>406</v>
      </c>
      <c r="C43" s="430"/>
      <c r="D43" s="539">
        <v>0</v>
      </c>
      <c r="E43" s="443"/>
      <c r="F43" s="430"/>
      <c r="G43" s="430"/>
      <c r="H43" s="430"/>
      <c r="I43" s="430"/>
      <c r="J43" s="430"/>
    </row>
    <row r="44" spans="1:11" s="431" customFormat="1" ht="21">
      <c r="A44" s="430"/>
      <c r="B44" s="430"/>
      <c r="C44" s="430"/>
      <c r="D44" s="430"/>
      <c r="E44" s="430"/>
      <c r="F44" s="430"/>
      <c r="G44" s="430"/>
      <c r="H44" s="430"/>
      <c r="I44" s="430"/>
      <c r="J44" s="430"/>
    </row>
    <row r="45" spans="1:11" s="431" customFormat="1" ht="21">
      <c r="A45" s="430"/>
      <c r="B45" s="430" t="s">
        <v>331</v>
      </c>
      <c r="C45" s="430"/>
      <c r="D45" s="440"/>
      <c r="E45" s="1228"/>
      <c r="F45" s="1228"/>
      <c r="G45" s="1229"/>
      <c r="H45" s="1229"/>
      <c r="I45" s="432"/>
      <c r="J45" s="430"/>
    </row>
    <row r="46" spans="1:11" ht="21">
      <c r="A46" s="413"/>
      <c r="B46" s="413"/>
      <c r="C46" s="413"/>
      <c r="D46" s="413"/>
      <c r="E46" s="1228" t="s">
        <v>330</v>
      </c>
      <c r="F46" s="1228"/>
      <c r="G46" s="441">
        <v>0</v>
      </c>
      <c r="H46" s="442"/>
      <c r="I46" s="432" t="s">
        <v>298</v>
      </c>
      <c r="J46" s="413"/>
    </row>
    <row r="47" spans="1:11" ht="21">
      <c r="A47" s="413"/>
      <c r="B47" s="413"/>
      <c r="C47" s="413"/>
      <c r="D47" s="413"/>
      <c r="E47" s="1228"/>
      <c r="F47" s="1228"/>
      <c r="G47" s="413"/>
      <c r="H47" s="413"/>
      <c r="I47" s="413"/>
      <c r="J47" s="413"/>
    </row>
    <row r="48" spans="1:11">
      <c r="A48" s="413"/>
      <c r="B48" s="413"/>
      <c r="C48" s="413"/>
      <c r="D48" s="413"/>
      <c r="E48" s="413"/>
      <c r="F48" s="413"/>
      <c r="G48" s="413"/>
      <c r="H48" s="413"/>
      <c r="I48" s="413"/>
      <c r="J48" s="413"/>
    </row>
    <row r="49" spans="1:10">
      <c r="A49" s="413"/>
      <c r="B49" s="413"/>
      <c r="C49" s="413"/>
      <c r="D49" s="413"/>
      <c r="E49" s="413"/>
      <c r="F49" s="413"/>
      <c r="G49" s="413"/>
      <c r="H49" s="413"/>
      <c r="I49" s="413"/>
      <c r="J49" s="413"/>
    </row>
    <row r="50" spans="1:10" s="428" customFormat="1"/>
    <row r="51" spans="1:10" s="428" customFormat="1"/>
    <row r="52" spans="1:10" s="428" customFormat="1"/>
    <row r="53" spans="1:10" s="428" customFormat="1"/>
    <row r="54" spans="1:10" s="428" customFormat="1"/>
    <row r="55" spans="1:10" s="428" customFormat="1"/>
    <row r="56" spans="1:10" s="428" customFormat="1"/>
  </sheetData>
  <sheetProtection sheet="1" objects="1" scenarios="1"/>
  <mergeCells count="6">
    <mergeCell ref="K11:K40"/>
    <mergeCell ref="A1:J1"/>
    <mergeCell ref="E46:F46"/>
    <mergeCell ref="E47:F47"/>
    <mergeCell ref="E45:F45"/>
    <mergeCell ref="G45:H45"/>
  </mergeCells>
  <phoneticPr fontId="22"/>
  <dataValidations count="1">
    <dataValidation imeMode="disabled" allowBlank="1" showInputMessage="1" showErrorMessage="1" sqref="H7:I7 G7"/>
  </dataValidations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1"/>
  <dimension ref="A1:D111"/>
  <sheetViews>
    <sheetView workbookViewId="0">
      <selection activeCell="J22" sqref="J22"/>
    </sheetView>
  </sheetViews>
  <sheetFormatPr defaultRowHeight="13.5"/>
  <cols>
    <col min="1" max="1" width="3.75" customWidth="1"/>
    <col min="2" max="2" width="5.125" customWidth="1"/>
    <col min="3" max="3" width="3" customWidth="1"/>
    <col min="4" max="4" width="5.5" customWidth="1"/>
    <col min="5" max="5" width="21.75" customWidth="1"/>
  </cols>
  <sheetData>
    <row r="1" spans="1:4">
      <c r="A1" s="85">
        <v>1</v>
      </c>
      <c r="B1" s="86" t="s">
        <v>230</v>
      </c>
      <c r="C1" s="85" t="s">
        <v>229</v>
      </c>
      <c r="D1" s="85" t="s">
        <v>229</v>
      </c>
    </row>
    <row r="2" spans="1:4">
      <c r="A2" s="85"/>
      <c r="B2" s="85"/>
      <c r="C2" s="85"/>
      <c r="D2" s="85"/>
    </row>
    <row r="3" spans="1:4">
      <c r="A3" s="85"/>
      <c r="B3" s="85"/>
      <c r="C3" s="85"/>
      <c r="D3" s="85"/>
    </row>
    <row r="4" spans="1:4">
      <c r="A4" s="85"/>
      <c r="B4" s="85"/>
      <c r="C4" s="85"/>
      <c r="D4" s="85"/>
    </row>
    <row r="5" spans="1:4">
      <c r="A5" s="85"/>
      <c r="B5" s="85"/>
      <c r="C5" s="85"/>
      <c r="D5" s="85"/>
    </row>
    <row r="6" spans="1:4">
      <c r="A6" s="85"/>
      <c r="B6" s="85"/>
      <c r="C6" s="85"/>
      <c r="D6" s="85"/>
    </row>
    <row r="7" spans="1:4">
      <c r="A7" s="85"/>
      <c r="B7" s="85"/>
      <c r="C7" s="85"/>
      <c r="D7" s="85"/>
    </row>
    <row r="8" spans="1:4">
      <c r="A8" s="85"/>
      <c r="B8" s="85"/>
      <c r="C8" s="85"/>
      <c r="D8" s="85"/>
    </row>
    <row r="9" spans="1:4">
      <c r="A9" s="85"/>
      <c r="B9" s="85"/>
      <c r="C9" s="85"/>
      <c r="D9" s="85"/>
    </row>
    <row r="10" spans="1:4">
      <c r="A10" s="85"/>
      <c r="B10" s="85"/>
      <c r="C10" s="85"/>
      <c r="D10" s="85"/>
    </row>
    <row r="11" spans="1:4">
      <c r="A11" s="85"/>
      <c r="B11" s="85"/>
      <c r="C11" s="85"/>
      <c r="D11" s="85"/>
    </row>
    <row r="12" spans="1:4">
      <c r="A12" s="85"/>
      <c r="B12" s="85"/>
      <c r="C12" s="85"/>
      <c r="D12" s="85"/>
    </row>
    <row r="13" spans="1:4">
      <c r="A13" s="85"/>
      <c r="B13" s="85"/>
      <c r="C13" s="85"/>
      <c r="D13" s="85"/>
    </row>
    <row r="14" spans="1:4">
      <c r="A14" s="85"/>
      <c r="B14" s="85"/>
      <c r="C14" s="85"/>
      <c r="D14" s="85"/>
    </row>
    <row r="15" spans="1:4">
      <c r="A15" s="85"/>
      <c r="B15" s="85"/>
      <c r="C15" s="85"/>
      <c r="D15" s="85"/>
    </row>
    <row r="16" spans="1:4">
      <c r="A16" s="85"/>
      <c r="B16" s="85"/>
      <c r="C16" s="85"/>
      <c r="D16" s="85"/>
    </row>
    <row r="17" spans="1:4">
      <c r="A17" s="85"/>
      <c r="B17" s="85"/>
      <c r="C17" s="85"/>
      <c r="D17" s="85"/>
    </row>
    <row r="18" spans="1:4">
      <c r="A18" s="85"/>
      <c r="B18" s="85"/>
      <c r="C18" s="85"/>
      <c r="D18" s="85"/>
    </row>
    <row r="19" spans="1:4">
      <c r="A19" s="85"/>
      <c r="B19" s="85"/>
      <c r="C19" s="85"/>
      <c r="D19" s="85"/>
    </row>
    <row r="20" spans="1:4">
      <c r="A20" s="85"/>
      <c r="B20" s="85"/>
      <c r="C20" s="85"/>
      <c r="D20" s="85"/>
    </row>
    <row r="21" spans="1:4">
      <c r="A21" s="85"/>
      <c r="B21" s="85"/>
      <c r="C21" s="85"/>
      <c r="D21" s="85"/>
    </row>
    <row r="22" spans="1:4">
      <c r="A22" s="85"/>
      <c r="B22" s="85"/>
      <c r="C22" s="85"/>
      <c r="D22" s="85"/>
    </row>
    <row r="23" spans="1:4">
      <c r="A23" s="85"/>
      <c r="B23" s="85"/>
      <c r="C23" s="85"/>
      <c r="D23" s="85"/>
    </row>
    <row r="24" spans="1:4">
      <c r="A24" s="85"/>
      <c r="B24" s="85"/>
      <c r="C24" s="85"/>
      <c r="D24" s="85"/>
    </row>
    <row r="25" spans="1:4">
      <c r="A25" s="85"/>
      <c r="B25" s="85"/>
      <c r="C25" s="85"/>
      <c r="D25" s="85"/>
    </row>
    <row r="26" spans="1:4">
      <c r="A26" s="85"/>
      <c r="B26" s="85"/>
      <c r="C26" s="85"/>
      <c r="D26" s="85"/>
    </row>
    <row r="27" spans="1:4">
      <c r="A27" s="85"/>
      <c r="B27" s="85"/>
      <c r="C27" s="85"/>
      <c r="D27" s="85"/>
    </row>
    <row r="28" spans="1:4">
      <c r="A28" s="85"/>
      <c r="B28" s="85"/>
      <c r="C28" s="85"/>
      <c r="D28" s="85"/>
    </row>
    <row r="29" spans="1:4">
      <c r="A29" s="85"/>
      <c r="B29" s="85"/>
      <c r="C29" s="85"/>
      <c r="D29" s="85"/>
    </row>
    <row r="30" spans="1:4">
      <c r="A30" s="85"/>
      <c r="B30" s="85"/>
      <c r="C30" s="85"/>
      <c r="D30" s="85"/>
    </row>
    <row r="31" spans="1:4">
      <c r="A31" s="85"/>
      <c r="B31" s="85"/>
      <c r="C31" s="85"/>
      <c r="D31" s="85"/>
    </row>
    <row r="32" spans="1:4">
      <c r="A32" s="85"/>
      <c r="B32" s="85"/>
      <c r="C32" s="85"/>
      <c r="D32" s="85"/>
    </row>
    <row r="33" spans="1:4">
      <c r="A33" s="85"/>
      <c r="B33" s="85"/>
      <c r="C33" s="85"/>
      <c r="D33" s="85"/>
    </row>
    <row r="34" spans="1:4">
      <c r="A34" s="85"/>
      <c r="B34" s="85"/>
      <c r="C34" s="85"/>
      <c r="D34" s="85"/>
    </row>
    <row r="35" spans="1:4">
      <c r="A35" s="85"/>
      <c r="B35" s="85"/>
      <c r="C35" s="85"/>
      <c r="D35" s="85"/>
    </row>
    <row r="36" spans="1:4">
      <c r="A36" s="85"/>
      <c r="B36" s="85"/>
      <c r="C36" s="85"/>
      <c r="D36" s="85"/>
    </row>
    <row r="37" spans="1:4">
      <c r="A37" s="85"/>
      <c r="B37" s="85"/>
      <c r="C37" s="85"/>
      <c r="D37" s="85"/>
    </row>
    <row r="38" spans="1:4">
      <c r="A38" s="85"/>
      <c r="B38" s="85"/>
      <c r="C38" s="85"/>
      <c r="D38" s="85"/>
    </row>
    <row r="39" spans="1:4">
      <c r="A39" s="85"/>
      <c r="B39" s="85"/>
      <c r="C39" s="85"/>
      <c r="D39" s="85"/>
    </row>
    <row r="40" spans="1:4">
      <c r="A40" s="85"/>
      <c r="B40" s="85"/>
      <c r="C40" s="85"/>
      <c r="D40" s="85"/>
    </row>
    <row r="41" spans="1:4">
      <c r="A41" s="85"/>
      <c r="B41" s="85"/>
      <c r="C41" s="85"/>
      <c r="D41" s="85"/>
    </row>
    <row r="42" spans="1:4">
      <c r="A42" s="85"/>
      <c r="B42" s="85"/>
      <c r="C42" s="85"/>
      <c r="D42" s="85"/>
    </row>
    <row r="43" spans="1:4">
      <c r="A43" s="85"/>
      <c r="B43" s="85"/>
      <c r="C43" s="85"/>
      <c r="D43" s="85"/>
    </row>
    <row r="44" spans="1:4">
      <c r="A44" s="85"/>
      <c r="B44" s="85"/>
      <c r="C44" s="85"/>
      <c r="D44" s="85"/>
    </row>
    <row r="45" spans="1:4">
      <c r="A45" s="85"/>
      <c r="B45" s="85"/>
      <c r="C45" s="85"/>
      <c r="D45" s="85"/>
    </row>
    <row r="46" spans="1:4">
      <c r="A46" s="85"/>
      <c r="B46" s="85"/>
      <c r="C46" s="85"/>
      <c r="D46" s="85"/>
    </row>
    <row r="47" spans="1:4">
      <c r="A47" s="85"/>
      <c r="B47" s="85"/>
      <c r="C47" s="85"/>
      <c r="D47" s="85"/>
    </row>
    <row r="48" spans="1:4">
      <c r="A48" s="85"/>
      <c r="B48" s="85"/>
      <c r="C48" s="85"/>
      <c r="D48" s="85"/>
    </row>
    <row r="49" spans="1:4">
      <c r="A49" s="85"/>
      <c r="B49" s="85"/>
      <c r="C49" s="85"/>
      <c r="D49" s="85"/>
    </row>
    <row r="50" spans="1:4">
      <c r="A50" s="85"/>
      <c r="B50" s="85"/>
      <c r="C50" s="85"/>
      <c r="D50" s="85"/>
    </row>
    <row r="51" spans="1:4">
      <c r="A51" s="85"/>
      <c r="B51" s="85"/>
      <c r="C51" s="85"/>
      <c r="D51" s="85"/>
    </row>
    <row r="52" spans="1:4">
      <c r="A52" s="85"/>
      <c r="B52" s="85"/>
      <c r="C52" s="85"/>
      <c r="D52" s="85"/>
    </row>
    <row r="53" spans="1:4">
      <c r="A53" s="85"/>
      <c r="B53" s="85"/>
      <c r="C53" s="85"/>
      <c r="D53" s="85"/>
    </row>
    <row r="54" spans="1:4">
      <c r="A54" s="85"/>
      <c r="B54" s="85"/>
      <c r="C54" s="85"/>
      <c r="D54" s="85"/>
    </row>
    <row r="55" spans="1:4">
      <c r="A55" s="85"/>
      <c r="B55" s="85"/>
      <c r="C55" s="85"/>
      <c r="D55" s="85"/>
    </row>
    <row r="56" spans="1:4">
      <c r="A56" s="85"/>
      <c r="B56" s="85"/>
      <c r="C56" s="85"/>
      <c r="D56" s="85"/>
    </row>
    <row r="57" spans="1:4">
      <c r="A57" s="85"/>
      <c r="B57" s="85"/>
      <c r="C57" s="85"/>
      <c r="D57" s="85"/>
    </row>
    <row r="58" spans="1:4">
      <c r="A58" s="85"/>
      <c r="B58" s="85"/>
      <c r="C58" s="85"/>
      <c r="D58" s="85"/>
    </row>
    <row r="59" spans="1:4">
      <c r="A59" s="85"/>
      <c r="B59" s="85"/>
      <c r="C59" s="85"/>
      <c r="D59" s="85"/>
    </row>
    <row r="60" spans="1:4">
      <c r="A60" s="85"/>
      <c r="B60" s="85"/>
      <c r="C60" s="85"/>
      <c r="D60" s="85"/>
    </row>
    <row r="61" spans="1:4">
      <c r="A61" s="85"/>
      <c r="B61" s="85"/>
      <c r="C61" s="85"/>
      <c r="D61" s="85"/>
    </row>
    <row r="62" spans="1:4">
      <c r="A62" s="85"/>
      <c r="B62" s="85"/>
      <c r="C62" s="85"/>
      <c r="D62" s="85"/>
    </row>
    <row r="63" spans="1:4">
      <c r="A63" s="85"/>
      <c r="B63" s="85"/>
      <c r="C63" s="85"/>
      <c r="D63" s="85"/>
    </row>
    <row r="64" spans="1:4">
      <c r="A64" s="85"/>
      <c r="B64" s="85"/>
      <c r="C64" s="85"/>
      <c r="D64" s="85"/>
    </row>
    <row r="65" spans="1:4">
      <c r="A65" s="85"/>
      <c r="B65" s="85"/>
      <c r="C65" s="85"/>
      <c r="D65" s="85"/>
    </row>
    <row r="66" spans="1:4">
      <c r="A66" s="85"/>
      <c r="B66" s="85"/>
      <c r="C66" s="85"/>
      <c r="D66" s="85"/>
    </row>
    <row r="67" spans="1:4">
      <c r="A67" s="85"/>
      <c r="B67" s="85"/>
      <c r="C67" s="85"/>
      <c r="D67" s="85"/>
    </row>
    <row r="68" spans="1:4">
      <c r="A68" s="85"/>
      <c r="B68" s="85"/>
      <c r="C68" s="85"/>
      <c r="D68" s="85"/>
    </row>
    <row r="69" spans="1:4">
      <c r="A69" s="85"/>
      <c r="B69" s="85"/>
      <c r="C69" s="85"/>
      <c r="D69" s="85"/>
    </row>
    <row r="70" spans="1:4">
      <c r="A70" s="85"/>
      <c r="B70" s="85"/>
      <c r="C70" s="85"/>
      <c r="D70" s="85"/>
    </row>
    <row r="71" spans="1:4">
      <c r="A71" s="85"/>
      <c r="B71" s="85"/>
      <c r="C71" s="85"/>
      <c r="D71" s="85"/>
    </row>
    <row r="72" spans="1:4">
      <c r="A72" s="85"/>
      <c r="B72" s="85"/>
      <c r="C72" s="85"/>
      <c r="D72" s="85"/>
    </row>
    <row r="73" spans="1:4">
      <c r="A73" s="85"/>
      <c r="B73" s="85"/>
      <c r="C73" s="85"/>
      <c r="D73" s="85"/>
    </row>
    <row r="74" spans="1:4">
      <c r="A74" s="85"/>
      <c r="B74" s="85"/>
      <c r="C74" s="85"/>
      <c r="D74" s="85"/>
    </row>
    <row r="75" spans="1:4">
      <c r="A75" s="85"/>
      <c r="B75" s="85"/>
      <c r="C75" s="85"/>
      <c r="D75" s="85"/>
    </row>
    <row r="76" spans="1:4">
      <c r="A76" s="85"/>
      <c r="B76" s="85"/>
      <c r="C76" s="85"/>
      <c r="D76" s="85"/>
    </row>
    <row r="77" spans="1:4">
      <c r="A77" s="85"/>
      <c r="B77" s="85"/>
      <c r="C77" s="85"/>
      <c r="D77" s="85"/>
    </row>
    <row r="78" spans="1:4">
      <c r="A78" s="85"/>
      <c r="B78" s="85"/>
      <c r="C78" s="85"/>
      <c r="D78" s="85"/>
    </row>
    <row r="79" spans="1:4">
      <c r="A79" s="85"/>
      <c r="B79" s="85"/>
      <c r="C79" s="85"/>
      <c r="D79" s="85"/>
    </row>
    <row r="80" spans="1:4">
      <c r="A80" s="85"/>
      <c r="B80" s="85"/>
      <c r="C80" s="85"/>
      <c r="D80" s="85"/>
    </row>
    <row r="81" spans="1:4">
      <c r="A81" s="85"/>
      <c r="B81" s="85"/>
      <c r="C81" s="85"/>
      <c r="D81" s="85"/>
    </row>
    <row r="82" spans="1:4">
      <c r="A82" s="85"/>
      <c r="B82" s="85"/>
      <c r="C82" s="85"/>
      <c r="D82" s="85"/>
    </row>
    <row r="83" spans="1:4">
      <c r="A83" s="85"/>
      <c r="B83" s="85"/>
      <c r="C83" s="85"/>
      <c r="D83" s="85"/>
    </row>
    <row r="84" spans="1:4">
      <c r="A84" s="85"/>
      <c r="B84" s="85"/>
      <c r="C84" s="85"/>
      <c r="D84" s="85"/>
    </row>
    <row r="85" spans="1:4">
      <c r="A85" s="85"/>
      <c r="B85" s="85"/>
      <c r="C85" s="85"/>
      <c r="D85" s="85"/>
    </row>
    <row r="86" spans="1:4">
      <c r="A86" s="85"/>
      <c r="B86" s="85"/>
      <c r="C86" s="85"/>
      <c r="D86" s="85"/>
    </row>
    <row r="87" spans="1:4">
      <c r="A87" s="85"/>
      <c r="B87" s="85"/>
      <c r="C87" s="85"/>
      <c r="D87" s="85"/>
    </row>
    <row r="88" spans="1:4">
      <c r="A88" s="85"/>
      <c r="B88" s="85"/>
      <c r="C88" s="85"/>
      <c r="D88" s="85"/>
    </row>
    <row r="89" spans="1:4">
      <c r="A89" s="85"/>
      <c r="B89" s="85"/>
      <c r="C89" s="85"/>
      <c r="D89" s="85"/>
    </row>
    <row r="90" spans="1:4">
      <c r="A90" s="85"/>
      <c r="B90" s="85"/>
      <c r="C90" s="85"/>
      <c r="D90" s="85"/>
    </row>
    <row r="91" spans="1:4">
      <c r="A91" s="85"/>
      <c r="B91" s="85"/>
      <c r="C91" s="85"/>
      <c r="D91" s="85"/>
    </row>
    <row r="92" spans="1:4">
      <c r="A92" s="85"/>
      <c r="B92" s="85"/>
      <c r="C92" s="85"/>
      <c r="D92" s="85"/>
    </row>
    <row r="93" spans="1:4">
      <c r="A93" s="85"/>
      <c r="B93" s="85"/>
      <c r="C93" s="85"/>
      <c r="D93" s="85"/>
    </row>
    <row r="94" spans="1:4">
      <c r="A94" s="85"/>
      <c r="B94" s="85"/>
      <c r="C94" s="85"/>
      <c r="D94" s="85"/>
    </row>
    <row r="95" spans="1:4">
      <c r="A95" s="85"/>
      <c r="B95" s="85"/>
      <c r="C95" s="85"/>
      <c r="D95" s="85"/>
    </row>
    <row r="96" spans="1:4">
      <c r="A96" s="85"/>
      <c r="B96" s="85"/>
      <c r="C96" s="85"/>
      <c r="D96" s="85"/>
    </row>
    <row r="97" spans="1:4">
      <c r="A97" s="85"/>
      <c r="B97" s="85"/>
      <c r="C97" s="85"/>
      <c r="D97" s="85"/>
    </row>
    <row r="98" spans="1:4">
      <c r="A98" s="85"/>
      <c r="B98" s="85"/>
      <c r="C98" s="85"/>
      <c r="D98" s="85"/>
    </row>
    <row r="99" spans="1:4">
      <c r="A99" s="85"/>
      <c r="B99" s="85"/>
      <c r="C99" s="85"/>
      <c r="D99" s="85"/>
    </row>
    <row r="100" spans="1:4">
      <c r="A100" s="85"/>
      <c r="B100" s="85"/>
      <c r="C100" s="85"/>
      <c r="D100" s="85"/>
    </row>
    <row r="101" spans="1:4">
      <c r="A101" s="85"/>
      <c r="B101" s="85"/>
      <c r="C101" s="85"/>
      <c r="D101" s="85"/>
    </row>
    <row r="102" spans="1:4">
      <c r="A102" s="85"/>
      <c r="B102" s="85"/>
      <c r="C102" s="85"/>
      <c r="D102" s="85"/>
    </row>
    <row r="103" spans="1:4">
      <c r="A103" s="85"/>
      <c r="B103" s="85"/>
      <c r="C103" s="85"/>
      <c r="D103" s="85"/>
    </row>
    <row r="104" spans="1:4">
      <c r="A104" s="85"/>
      <c r="B104" s="85"/>
      <c r="C104" s="85"/>
      <c r="D104" s="85"/>
    </row>
    <row r="105" spans="1:4">
      <c r="A105" s="85"/>
      <c r="B105" s="85"/>
      <c r="C105" s="85"/>
      <c r="D105" s="85"/>
    </row>
    <row r="106" spans="1:4">
      <c r="A106" s="85"/>
      <c r="B106" s="85"/>
      <c r="C106" s="85"/>
      <c r="D106" s="85"/>
    </row>
    <row r="107" spans="1:4">
      <c r="A107" s="85"/>
      <c r="B107" s="85"/>
      <c r="C107" s="85"/>
      <c r="D107" s="85"/>
    </row>
    <row r="108" spans="1:4">
      <c r="A108" s="85"/>
      <c r="B108" s="85"/>
      <c r="C108" s="85"/>
      <c r="D108" s="85"/>
    </row>
    <row r="109" spans="1:4">
      <c r="A109" s="85"/>
      <c r="B109" s="85"/>
      <c r="C109" s="85"/>
      <c r="D109" s="85"/>
    </row>
    <row r="110" spans="1:4">
      <c r="A110" s="85"/>
      <c r="B110" s="85"/>
      <c r="C110" s="85"/>
      <c r="D110" s="85"/>
    </row>
    <row r="111" spans="1:4">
      <c r="A111" s="85"/>
      <c r="B111" s="85"/>
      <c r="C111" s="85"/>
      <c r="D111" s="85"/>
    </row>
  </sheetData>
  <autoFilter ref="A1:D112"/>
  <phoneticPr fontId="5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3"/>
  <dimension ref="A1:W36"/>
  <sheetViews>
    <sheetView showGridLines="0" topLeftCell="A7" workbookViewId="0">
      <selection activeCell="D30" sqref="D30"/>
    </sheetView>
  </sheetViews>
  <sheetFormatPr defaultRowHeight="13.5"/>
  <cols>
    <col min="1" max="1" width="19.75" style="70" bestFit="1" customWidth="1"/>
    <col min="2" max="2" width="8.625" style="2" customWidth="1"/>
    <col min="3" max="3" width="0.625" style="2" customWidth="1"/>
    <col min="4" max="4" width="19.75" style="7" bestFit="1" customWidth="1"/>
    <col min="5" max="5" width="10.125" customWidth="1"/>
    <col min="6" max="6" width="0.625" customWidth="1"/>
    <col min="7" max="7" width="9.25" style="7" customWidth="1"/>
    <col min="8" max="8" width="9.875" customWidth="1"/>
    <col min="9" max="9" width="0.5" customWidth="1"/>
    <col min="10" max="10" width="15.375" style="7" bestFit="1" customWidth="1"/>
    <col min="11" max="11" width="11.75" customWidth="1"/>
    <col min="12" max="12" width="0.5" customWidth="1"/>
    <col min="13" max="13" width="10.375" style="7" customWidth="1"/>
    <col min="14" max="14" width="10.125" customWidth="1"/>
    <col min="15" max="15" width="0.5" customWidth="1"/>
    <col min="16" max="16" width="15.25" bestFit="1" customWidth="1"/>
    <col min="17" max="17" width="11.875" customWidth="1"/>
    <col min="18" max="18" width="0.375" customWidth="1"/>
    <col min="19" max="19" width="12" style="7" customWidth="1"/>
    <col min="20" max="20" width="11" customWidth="1"/>
    <col min="21" max="21" width="0.5" customWidth="1"/>
    <col min="22" max="22" width="16.25" style="7" bestFit="1" customWidth="1"/>
    <col min="23" max="23" width="9.625" customWidth="1"/>
    <col min="24" max="24" width="5.125" customWidth="1"/>
  </cols>
  <sheetData>
    <row r="1" spans="1:23">
      <c r="A1" s="63" t="s">
        <v>84</v>
      </c>
      <c r="B1" s="42"/>
      <c r="C1"/>
      <c r="D1" s="63" t="s">
        <v>85</v>
      </c>
      <c r="E1" s="43"/>
      <c r="G1" s="64" t="s">
        <v>86</v>
      </c>
      <c r="H1" s="42"/>
      <c r="J1" s="63" t="s">
        <v>87</v>
      </c>
      <c r="K1" s="42"/>
      <c r="M1" s="64" t="s">
        <v>88</v>
      </c>
      <c r="N1" s="42"/>
      <c r="P1" s="44" t="s">
        <v>162</v>
      </c>
      <c r="Q1" s="42"/>
      <c r="S1" s="64" t="s">
        <v>89</v>
      </c>
      <c r="T1" s="42"/>
      <c r="V1" s="974" t="s">
        <v>483</v>
      </c>
      <c r="W1" s="975"/>
    </row>
    <row r="2" spans="1:23">
      <c r="A2" s="65">
        <v>100</v>
      </c>
      <c r="B2" s="46">
        <v>1</v>
      </c>
      <c r="D2" s="65" t="s">
        <v>40</v>
      </c>
      <c r="E2" s="46">
        <v>1</v>
      </c>
      <c r="G2" s="66" t="s">
        <v>58</v>
      </c>
      <c r="H2" s="48">
        <v>1</v>
      </c>
      <c r="J2" s="67" t="s">
        <v>45</v>
      </c>
      <c r="K2" s="48"/>
      <c r="M2" s="66">
        <v>100</v>
      </c>
      <c r="N2" s="48">
        <v>101</v>
      </c>
      <c r="P2" s="47" t="s">
        <v>50</v>
      </c>
      <c r="Q2" s="48">
        <v>1</v>
      </c>
      <c r="S2" s="66">
        <v>100</v>
      </c>
      <c r="T2" s="48">
        <v>1</v>
      </c>
      <c r="V2" s="974">
        <v>100</v>
      </c>
      <c r="W2" s="975">
        <v>3</v>
      </c>
    </row>
    <row r="3" spans="1:23">
      <c r="A3" s="65">
        <v>200</v>
      </c>
      <c r="B3" s="46">
        <v>2</v>
      </c>
      <c r="D3" s="65" t="s">
        <v>41</v>
      </c>
      <c r="E3" s="46">
        <v>2</v>
      </c>
      <c r="G3" s="66">
        <v>100</v>
      </c>
      <c r="H3" s="48">
        <v>2</v>
      </c>
      <c r="J3" s="67" t="s">
        <v>46</v>
      </c>
      <c r="K3" s="48"/>
      <c r="M3" s="66">
        <v>200</v>
      </c>
      <c r="N3" s="48">
        <v>102</v>
      </c>
      <c r="P3" s="47" t="s">
        <v>51</v>
      </c>
      <c r="Q3" s="48">
        <v>2</v>
      </c>
      <c r="S3" s="66">
        <v>200</v>
      </c>
      <c r="T3" s="48">
        <v>2</v>
      </c>
      <c r="V3" s="974">
        <v>3000</v>
      </c>
      <c r="W3" s="975">
        <v>6</v>
      </c>
    </row>
    <row r="4" spans="1:23">
      <c r="A4" s="65">
        <v>400</v>
      </c>
      <c r="B4" s="46">
        <v>3</v>
      </c>
      <c r="D4" s="65" t="s">
        <v>42</v>
      </c>
      <c r="E4" s="46">
        <v>3</v>
      </c>
      <c r="G4" s="66">
        <v>1500</v>
      </c>
      <c r="H4" s="48">
        <v>3</v>
      </c>
      <c r="J4" s="65" t="s">
        <v>122</v>
      </c>
      <c r="K4" s="48"/>
      <c r="M4" s="66">
        <v>400</v>
      </c>
      <c r="N4" s="48">
        <v>103</v>
      </c>
      <c r="P4" s="47" t="s">
        <v>138</v>
      </c>
      <c r="Q4" s="48">
        <v>3</v>
      </c>
      <c r="S4" s="66">
        <v>400</v>
      </c>
      <c r="T4" s="48">
        <v>3</v>
      </c>
      <c r="V4" s="502"/>
      <c r="W4" s="11"/>
    </row>
    <row r="5" spans="1:23">
      <c r="A5" s="65">
        <v>800</v>
      </c>
      <c r="B5" s="46">
        <v>4</v>
      </c>
      <c r="D5" s="65" t="s">
        <v>43</v>
      </c>
      <c r="E5" s="46">
        <v>4</v>
      </c>
      <c r="G5" s="66">
        <v>3000</v>
      </c>
      <c r="H5" s="48">
        <v>4</v>
      </c>
      <c r="J5" s="67" t="s">
        <v>123</v>
      </c>
      <c r="K5" s="48"/>
      <c r="M5" s="66">
        <v>800</v>
      </c>
      <c r="N5" s="48">
        <v>104</v>
      </c>
      <c r="P5" s="47" t="s">
        <v>139</v>
      </c>
      <c r="Q5" s="48">
        <v>4</v>
      </c>
      <c r="S5" s="66">
        <v>800</v>
      </c>
      <c r="T5" s="48">
        <v>4</v>
      </c>
      <c r="V5" s="502"/>
      <c r="W5" s="11"/>
    </row>
    <row r="6" spans="1:23">
      <c r="A6" s="65">
        <v>1500</v>
      </c>
      <c r="B6" s="46">
        <v>5</v>
      </c>
      <c r="D6" s="65">
        <v>100</v>
      </c>
      <c r="E6" s="46">
        <v>5</v>
      </c>
      <c r="G6" s="68" t="s">
        <v>90</v>
      </c>
      <c r="H6" s="50">
        <v>5</v>
      </c>
      <c r="J6" s="67" t="s">
        <v>124</v>
      </c>
      <c r="K6" s="48"/>
      <c r="M6" s="66">
        <v>1500</v>
      </c>
      <c r="N6" s="48">
        <v>105</v>
      </c>
      <c r="P6" s="47" t="s">
        <v>140</v>
      </c>
      <c r="Q6" s="48">
        <v>5</v>
      </c>
      <c r="S6" s="66">
        <v>3000</v>
      </c>
      <c r="T6" s="48">
        <v>5</v>
      </c>
      <c r="V6" s="502"/>
      <c r="W6" s="11"/>
    </row>
    <row r="7" spans="1:23">
      <c r="A7" s="65">
        <v>5000</v>
      </c>
      <c r="B7" s="46">
        <v>6</v>
      </c>
      <c r="D7" s="65">
        <v>200</v>
      </c>
      <c r="E7" s="46">
        <v>6</v>
      </c>
      <c r="J7" s="67" t="s">
        <v>125</v>
      </c>
      <c r="K7" s="48"/>
      <c r="M7" s="66">
        <v>3000</v>
      </c>
      <c r="N7" s="48">
        <v>106</v>
      </c>
      <c r="P7" s="47" t="s">
        <v>163</v>
      </c>
      <c r="Q7" s="48">
        <v>6</v>
      </c>
      <c r="S7" s="66" t="s">
        <v>91</v>
      </c>
      <c r="T7" s="48">
        <v>6</v>
      </c>
      <c r="V7" s="502"/>
      <c r="W7" s="11"/>
    </row>
    <row r="8" spans="1:23">
      <c r="A8" s="65">
        <v>10000</v>
      </c>
      <c r="B8" s="46">
        <v>7</v>
      </c>
      <c r="D8" s="65">
        <v>400</v>
      </c>
      <c r="E8" s="46">
        <v>7</v>
      </c>
      <c r="J8" s="67" t="s">
        <v>126</v>
      </c>
      <c r="K8" s="48"/>
      <c r="M8" s="66" t="s">
        <v>482</v>
      </c>
      <c r="N8" s="48">
        <v>107</v>
      </c>
      <c r="P8" s="47" t="s">
        <v>177</v>
      </c>
      <c r="Q8" s="48">
        <v>7</v>
      </c>
      <c r="S8" s="66" t="s">
        <v>44</v>
      </c>
      <c r="T8" s="48">
        <v>7</v>
      </c>
      <c r="V8" s="502"/>
      <c r="W8" s="11"/>
    </row>
    <row r="9" spans="1:23">
      <c r="A9" s="67" t="s">
        <v>176</v>
      </c>
      <c r="B9" s="46">
        <v>8</v>
      </c>
      <c r="D9" s="65">
        <v>800</v>
      </c>
      <c r="E9" s="46">
        <v>8</v>
      </c>
      <c r="J9" s="67" t="s">
        <v>92</v>
      </c>
      <c r="K9" s="48"/>
      <c r="M9" s="67" t="s">
        <v>16</v>
      </c>
      <c r="N9" s="48">
        <v>108</v>
      </c>
      <c r="P9" s="47"/>
      <c r="Q9" s="48">
        <v>8</v>
      </c>
      <c r="S9" s="66" t="s">
        <v>93</v>
      </c>
      <c r="T9" s="48">
        <v>8</v>
      </c>
      <c r="V9" s="502"/>
      <c r="W9" s="11"/>
    </row>
    <row r="10" spans="1:23">
      <c r="A10" s="67" t="s">
        <v>178</v>
      </c>
      <c r="B10" s="46">
        <v>9</v>
      </c>
      <c r="D10" s="65">
        <v>1500</v>
      </c>
      <c r="E10" s="46">
        <v>9</v>
      </c>
      <c r="J10" s="65">
        <v>100</v>
      </c>
      <c r="K10" s="48">
        <v>101</v>
      </c>
      <c r="M10" s="67" t="s">
        <v>20</v>
      </c>
      <c r="N10" s="48">
        <v>109</v>
      </c>
      <c r="P10" s="47"/>
      <c r="Q10" s="48">
        <v>9</v>
      </c>
      <c r="S10" s="66" t="s">
        <v>16</v>
      </c>
      <c r="T10" s="48">
        <v>9</v>
      </c>
      <c r="V10" s="502"/>
      <c r="W10" s="11"/>
    </row>
    <row r="11" spans="1:23">
      <c r="A11" s="67" t="s">
        <v>179</v>
      </c>
      <c r="B11" s="46">
        <v>10</v>
      </c>
      <c r="D11" s="65">
        <v>3000</v>
      </c>
      <c r="E11" s="46">
        <v>10</v>
      </c>
      <c r="J11" s="65">
        <v>1500</v>
      </c>
      <c r="K11" s="48">
        <v>102</v>
      </c>
      <c r="M11" s="67" t="s">
        <v>19</v>
      </c>
      <c r="N11" s="48">
        <v>110</v>
      </c>
      <c r="P11" s="47" t="s">
        <v>164</v>
      </c>
      <c r="Q11" s="48">
        <v>10</v>
      </c>
      <c r="S11" s="67" t="s">
        <v>20</v>
      </c>
      <c r="T11" s="48">
        <v>10</v>
      </c>
      <c r="V11" s="502"/>
      <c r="W11" s="11"/>
    </row>
    <row r="12" spans="1:23">
      <c r="A12" s="67"/>
      <c r="B12" s="46">
        <v>11</v>
      </c>
      <c r="D12" s="67" t="s">
        <v>375</v>
      </c>
      <c r="E12" s="46">
        <v>11</v>
      </c>
      <c r="J12" s="67" t="s">
        <v>190</v>
      </c>
      <c r="K12" s="48">
        <v>103</v>
      </c>
      <c r="M12" s="67" t="s">
        <v>24</v>
      </c>
      <c r="N12" s="48">
        <v>111</v>
      </c>
      <c r="P12" s="47" t="s">
        <v>165</v>
      </c>
      <c r="Q12" s="48">
        <v>11</v>
      </c>
      <c r="S12" s="67" t="s">
        <v>19</v>
      </c>
      <c r="T12" s="48">
        <v>11</v>
      </c>
      <c r="V12" s="502"/>
      <c r="W12" s="11"/>
    </row>
    <row r="13" spans="1:23">
      <c r="A13" s="67" t="s">
        <v>166</v>
      </c>
      <c r="B13" s="46">
        <v>12</v>
      </c>
      <c r="D13" s="67" t="s">
        <v>44</v>
      </c>
      <c r="E13" s="46">
        <v>12</v>
      </c>
      <c r="J13" s="67" t="s">
        <v>16</v>
      </c>
      <c r="K13" s="48">
        <v>104</v>
      </c>
      <c r="M13" s="69" t="s">
        <v>58</v>
      </c>
      <c r="N13" s="48">
        <v>112</v>
      </c>
      <c r="P13" s="47" t="s">
        <v>147</v>
      </c>
      <c r="Q13" s="48">
        <v>12</v>
      </c>
      <c r="S13" s="67" t="s">
        <v>17</v>
      </c>
      <c r="T13" s="48">
        <v>12</v>
      </c>
      <c r="V13" s="502"/>
      <c r="W13" s="11"/>
    </row>
    <row r="14" spans="1:23">
      <c r="A14" s="67" t="s">
        <v>167</v>
      </c>
      <c r="B14" s="46">
        <v>13</v>
      </c>
      <c r="D14" s="67" t="s">
        <v>94</v>
      </c>
      <c r="E14" s="46">
        <v>13</v>
      </c>
      <c r="J14" s="67" t="s">
        <v>19</v>
      </c>
      <c r="K14" s="48">
        <v>105</v>
      </c>
      <c r="M14" s="70"/>
      <c r="P14" s="47" t="s">
        <v>148</v>
      </c>
      <c r="Q14" s="48">
        <v>13</v>
      </c>
      <c r="S14" s="67" t="s">
        <v>21</v>
      </c>
      <c r="T14" s="48">
        <v>13</v>
      </c>
      <c r="V14" s="502"/>
      <c r="W14" s="11"/>
    </row>
    <row r="15" spans="1:23">
      <c r="A15" s="67" t="s">
        <v>168</v>
      </c>
      <c r="B15" s="46">
        <v>14</v>
      </c>
      <c r="D15" s="67" t="s">
        <v>16</v>
      </c>
      <c r="E15" s="46">
        <v>14</v>
      </c>
      <c r="J15" s="67" t="s">
        <v>24</v>
      </c>
      <c r="K15" s="48">
        <v>106</v>
      </c>
      <c r="P15" s="47" t="s">
        <v>52</v>
      </c>
      <c r="Q15" s="48">
        <v>14</v>
      </c>
      <c r="S15" s="69" t="s">
        <v>56</v>
      </c>
      <c r="T15" s="50">
        <v>14</v>
      </c>
      <c r="V15" s="502"/>
      <c r="W15" s="11"/>
    </row>
    <row r="16" spans="1:23">
      <c r="A16" s="67" t="s">
        <v>16</v>
      </c>
      <c r="B16" s="46">
        <v>15</v>
      </c>
      <c r="D16" s="67" t="s">
        <v>20</v>
      </c>
      <c r="E16" s="46">
        <v>15</v>
      </c>
      <c r="J16" s="69" t="s">
        <v>180</v>
      </c>
      <c r="K16" s="48">
        <v>107</v>
      </c>
      <c r="P16" s="47" t="s">
        <v>181</v>
      </c>
      <c r="Q16" s="48">
        <v>15</v>
      </c>
      <c r="V16" s="554"/>
      <c r="W16" s="11"/>
    </row>
    <row r="17" spans="1:23">
      <c r="A17" s="67" t="s">
        <v>20</v>
      </c>
      <c r="B17" s="46">
        <v>16</v>
      </c>
      <c r="D17" s="67" t="s">
        <v>19</v>
      </c>
      <c r="E17" s="46">
        <v>16</v>
      </c>
      <c r="J17" s="7" t="s">
        <v>201</v>
      </c>
      <c r="K17" s="83">
        <v>103</v>
      </c>
      <c r="P17" s="47" t="s">
        <v>182</v>
      </c>
      <c r="Q17" s="48">
        <v>16</v>
      </c>
      <c r="V17" s="502"/>
      <c r="W17" s="11"/>
    </row>
    <row r="18" spans="1:23">
      <c r="A18" s="67" t="s">
        <v>19</v>
      </c>
      <c r="B18" s="46">
        <v>17</v>
      </c>
      <c r="D18" s="67" t="s">
        <v>23</v>
      </c>
      <c r="E18" s="46">
        <v>17</v>
      </c>
      <c r="J18" s="7" t="s">
        <v>202</v>
      </c>
      <c r="K18" s="83">
        <v>103</v>
      </c>
      <c r="P18" s="47" t="s">
        <v>152</v>
      </c>
      <c r="Q18" s="48">
        <v>17</v>
      </c>
    </row>
    <row r="19" spans="1:23">
      <c r="A19" s="67" t="s">
        <v>23</v>
      </c>
      <c r="B19" s="46">
        <v>18</v>
      </c>
      <c r="D19" s="67" t="s">
        <v>24</v>
      </c>
      <c r="E19" s="46">
        <v>18</v>
      </c>
      <c r="J19" s="70" t="s">
        <v>203</v>
      </c>
      <c r="K19" s="83">
        <v>103</v>
      </c>
      <c r="P19" s="47" t="s">
        <v>183</v>
      </c>
      <c r="Q19" s="48">
        <v>18</v>
      </c>
    </row>
    <row r="20" spans="1:23">
      <c r="A20" s="67" t="s">
        <v>24</v>
      </c>
      <c r="B20" s="46">
        <v>19</v>
      </c>
      <c r="D20" s="69" t="s">
        <v>22</v>
      </c>
      <c r="E20" s="52">
        <v>19</v>
      </c>
      <c r="J20" s="70"/>
      <c r="P20" s="47" t="s">
        <v>184</v>
      </c>
      <c r="Q20" s="48">
        <v>19</v>
      </c>
    </row>
    <row r="21" spans="1:23">
      <c r="A21" s="67" t="s">
        <v>22</v>
      </c>
      <c r="B21" s="46">
        <v>20</v>
      </c>
      <c r="D21" s="70"/>
      <c r="E21" s="2"/>
      <c r="J21" s="70"/>
      <c r="P21" s="47" t="s">
        <v>55</v>
      </c>
      <c r="Q21" s="48">
        <v>20</v>
      </c>
    </row>
    <row r="22" spans="1:23">
      <c r="A22" s="67" t="s">
        <v>96</v>
      </c>
      <c r="B22" s="46">
        <v>21</v>
      </c>
      <c r="D22" s="70"/>
      <c r="E22" s="2"/>
      <c r="J22" s="70"/>
      <c r="P22" s="47" t="s">
        <v>57</v>
      </c>
      <c r="Q22" s="48">
        <v>21</v>
      </c>
      <c r="V22" s="63" t="s">
        <v>97</v>
      </c>
      <c r="W22" s="42"/>
    </row>
    <row r="23" spans="1:23">
      <c r="A23" s="67" t="s">
        <v>98</v>
      </c>
      <c r="B23" s="46">
        <v>22</v>
      </c>
      <c r="D23" s="70"/>
      <c r="E23" s="2"/>
      <c r="J23" s="70"/>
      <c r="P23" s="47" t="s">
        <v>155</v>
      </c>
      <c r="Q23" s="48">
        <v>22</v>
      </c>
      <c r="V23" s="67"/>
      <c r="W23" s="48"/>
    </row>
    <row r="24" spans="1:23">
      <c r="A24" s="67" t="s">
        <v>555</v>
      </c>
      <c r="B24" s="46">
        <v>30</v>
      </c>
      <c r="D24" s="70"/>
      <c r="E24" s="2"/>
      <c r="P24" s="49" t="s">
        <v>460</v>
      </c>
      <c r="Q24" s="48">
        <v>23</v>
      </c>
      <c r="V24" s="67"/>
      <c r="W24" s="48"/>
    </row>
    <row r="25" spans="1:23">
      <c r="A25" s="67" t="s">
        <v>127</v>
      </c>
      <c r="B25" s="46">
        <v>24</v>
      </c>
      <c r="P25" s="47" t="s">
        <v>418</v>
      </c>
      <c r="Q25" s="48">
        <v>24</v>
      </c>
      <c r="V25" s="67" t="s">
        <v>193</v>
      </c>
      <c r="W25" s="48">
        <v>4</v>
      </c>
    </row>
    <row r="26" spans="1:23">
      <c r="A26" s="67" t="s">
        <v>128</v>
      </c>
      <c r="B26" s="46">
        <v>25</v>
      </c>
      <c r="P26" s="49" t="s">
        <v>54</v>
      </c>
      <c r="Q26" s="50">
        <v>25</v>
      </c>
      <c r="V26" s="69"/>
      <c r="W26" s="50"/>
    </row>
    <row r="27" spans="1:23">
      <c r="A27" s="67" t="s">
        <v>129</v>
      </c>
      <c r="B27" s="46">
        <v>26</v>
      </c>
    </row>
    <row r="28" spans="1:23">
      <c r="A28" s="67" t="s">
        <v>130</v>
      </c>
      <c r="B28" s="46">
        <v>27</v>
      </c>
    </row>
    <row r="29" spans="1:23">
      <c r="A29" s="67" t="s">
        <v>510</v>
      </c>
      <c r="B29" s="78">
        <v>28</v>
      </c>
    </row>
    <row r="30" spans="1:23">
      <c r="A30" s="67" t="s">
        <v>458</v>
      </c>
      <c r="B30" s="78">
        <v>29</v>
      </c>
      <c r="D30" s="502"/>
      <c r="E30" s="11"/>
    </row>
    <row r="31" spans="1:23">
      <c r="A31" s="67"/>
      <c r="B31" s="78"/>
      <c r="D31" s="502"/>
      <c r="E31" s="11"/>
    </row>
    <row r="32" spans="1:23">
      <c r="A32" s="67" t="s">
        <v>137</v>
      </c>
      <c r="B32" s="78">
        <v>31</v>
      </c>
      <c r="D32" s="166"/>
      <c r="E32" s="11"/>
    </row>
    <row r="33" spans="1:5">
      <c r="A33" s="69"/>
      <c r="B33" s="71">
        <v>32</v>
      </c>
      <c r="D33" s="166"/>
      <c r="E33" s="11"/>
    </row>
    <row r="34" spans="1:5">
      <c r="D34" s="166"/>
      <c r="E34" s="11"/>
    </row>
    <row r="35" spans="1:5">
      <c r="D35" s="166"/>
      <c r="E35" s="11"/>
    </row>
    <row r="36" spans="1:5">
      <c r="D36" s="166"/>
      <c r="E36" s="11"/>
    </row>
  </sheetData>
  <phoneticPr fontId="5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4"/>
  <dimension ref="A1:W28"/>
  <sheetViews>
    <sheetView showGridLines="0" workbookViewId="0">
      <selection activeCell="J21" sqref="J21:J22"/>
    </sheetView>
  </sheetViews>
  <sheetFormatPr defaultRowHeight="13.5"/>
  <cols>
    <col min="1" max="1" width="17.5" style="70" bestFit="1" customWidth="1"/>
    <col min="2" max="2" width="10.125" style="1" customWidth="1"/>
    <col min="3" max="3" width="0.375" style="1" customWidth="1"/>
    <col min="4" max="4" width="17.5" style="7" bestFit="1" customWidth="1"/>
    <col min="5" max="5" width="6.25" customWidth="1"/>
    <col min="6" max="6" width="0.875" customWidth="1"/>
    <col min="7" max="7" width="9" style="7"/>
    <col min="8" max="8" width="4.625" customWidth="1"/>
    <col min="9" max="9" width="0.5" customWidth="1"/>
    <col min="10" max="10" width="15.375" style="7" bestFit="1" customWidth="1"/>
    <col min="11" max="11" width="5.625" customWidth="1"/>
    <col min="12" max="12" width="0.5" customWidth="1"/>
    <col min="13" max="13" width="9" style="7"/>
    <col min="14" max="14" width="4.5" bestFit="1" customWidth="1"/>
    <col min="15" max="15" width="0.375" customWidth="1"/>
    <col min="16" max="16" width="12.625" bestFit="1" customWidth="1"/>
    <col min="17" max="17" width="9.125" customWidth="1"/>
    <col min="18" max="18" width="0.25" customWidth="1"/>
    <col min="19" max="19" width="9.125" customWidth="1"/>
    <col min="20" max="20" width="4.875" customWidth="1"/>
    <col min="21" max="21" width="1.875" customWidth="1"/>
    <col min="22" max="22" width="16.125" bestFit="1" customWidth="1"/>
    <col min="23" max="23" width="3.5" bestFit="1" customWidth="1"/>
    <col min="24" max="24" width="7" customWidth="1"/>
  </cols>
  <sheetData>
    <row r="1" spans="1:23">
      <c r="A1" s="63" t="s">
        <v>84</v>
      </c>
      <c r="B1" s="42"/>
      <c r="C1"/>
      <c r="D1" s="63" t="s">
        <v>85</v>
      </c>
      <c r="E1" s="53"/>
      <c r="F1" s="1"/>
      <c r="G1" s="63" t="s">
        <v>86</v>
      </c>
      <c r="H1" s="53"/>
      <c r="J1" s="63" t="s">
        <v>87</v>
      </c>
      <c r="K1" s="42"/>
      <c r="M1" s="64" t="s">
        <v>88</v>
      </c>
      <c r="N1" s="42"/>
      <c r="P1" s="44" t="s">
        <v>162</v>
      </c>
      <c r="Q1" s="42"/>
      <c r="S1" s="44" t="s">
        <v>89</v>
      </c>
      <c r="T1" s="42"/>
      <c r="V1" s="974" t="s">
        <v>483</v>
      </c>
      <c r="W1" s="975"/>
    </row>
    <row r="2" spans="1:23">
      <c r="A2" s="65">
        <v>100</v>
      </c>
      <c r="B2" s="46">
        <v>40</v>
      </c>
      <c r="D2" s="65" t="s">
        <v>40</v>
      </c>
      <c r="E2" s="46">
        <v>30</v>
      </c>
      <c r="F2" s="2"/>
      <c r="G2" s="66" t="s">
        <v>58</v>
      </c>
      <c r="H2" s="48">
        <v>10</v>
      </c>
      <c r="J2" s="67" t="s">
        <v>45</v>
      </c>
      <c r="K2" s="48"/>
      <c r="M2" s="66">
        <v>100</v>
      </c>
      <c r="N2" s="48">
        <v>113</v>
      </c>
      <c r="P2" s="47" t="s">
        <v>50</v>
      </c>
      <c r="Q2" s="48">
        <v>30</v>
      </c>
      <c r="S2" s="66">
        <v>100</v>
      </c>
      <c r="T2" s="48">
        <v>20</v>
      </c>
      <c r="V2" s="974">
        <v>100</v>
      </c>
      <c r="W2" s="975">
        <v>9</v>
      </c>
    </row>
    <row r="3" spans="1:23">
      <c r="A3" s="65">
        <v>200</v>
      </c>
      <c r="B3" s="46">
        <v>41</v>
      </c>
      <c r="C3" s="2"/>
      <c r="D3" s="65" t="s">
        <v>132</v>
      </c>
      <c r="E3" s="46">
        <v>31</v>
      </c>
      <c r="F3" s="2"/>
      <c r="G3" s="66">
        <v>100</v>
      </c>
      <c r="H3" s="48">
        <v>11</v>
      </c>
      <c r="J3" s="67" t="s">
        <v>46</v>
      </c>
      <c r="K3" s="48"/>
      <c r="M3" s="66">
        <v>200</v>
      </c>
      <c r="N3" s="48">
        <v>114</v>
      </c>
      <c r="O3" s="2"/>
      <c r="P3" s="47" t="s">
        <v>51</v>
      </c>
      <c r="Q3" s="48">
        <v>31</v>
      </c>
      <c r="S3" s="66">
        <v>200</v>
      </c>
      <c r="T3" s="48">
        <v>21</v>
      </c>
      <c r="V3" s="974">
        <v>3000</v>
      </c>
      <c r="W3" s="975">
        <v>12</v>
      </c>
    </row>
    <row r="4" spans="1:23">
      <c r="A4" s="65">
        <v>400</v>
      </c>
      <c r="B4" s="46">
        <v>42</v>
      </c>
      <c r="C4" s="2"/>
      <c r="D4" s="65" t="s">
        <v>42</v>
      </c>
      <c r="E4" s="46">
        <v>32</v>
      </c>
      <c r="F4" s="2"/>
      <c r="G4" s="66">
        <v>800</v>
      </c>
      <c r="H4" s="48">
        <v>12</v>
      </c>
      <c r="J4" s="65" t="s">
        <v>122</v>
      </c>
      <c r="K4" s="48"/>
      <c r="M4" s="66">
        <v>800</v>
      </c>
      <c r="N4" s="48">
        <v>115</v>
      </c>
      <c r="P4" s="47" t="s">
        <v>156</v>
      </c>
      <c r="Q4" s="48">
        <v>32</v>
      </c>
      <c r="S4" s="66">
        <v>800</v>
      </c>
      <c r="T4" s="48">
        <v>22</v>
      </c>
      <c r="V4" s="73"/>
      <c r="W4" s="73"/>
    </row>
    <row r="5" spans="1:23">
      <c r="A5" s="65">
        <v>800</v>
      </c>
      <c r="B5" s="46">
        <v>43</v>
      </c>
      <c r="C5" s="2"/>
      <c r="D5" s="65">
        <v>100</v>
      </c>
      <c r="E5" s="46">
        <v>33</v>
      </c>
      <c r="F5" s="2"/>
      <c r="G5" s="68">
        <v>1500</v>
      </c>
      <c r="H5" s="50">
        <v>13</v>
      </c>
      <c r="J5" s="67" t="s">
        <v>123</v>
      </c>
      <c r="K5" s="48"/>
      <c r="M5" s="66">
        <v>1500</v>
      </c>
      <c r="N5" s="48">
        <v>116</v>
      </c>
      <c r="P5" s="47" t="s">
        <v>139</v>
      </c>
      <c r="Q5" s="48">
        <v>33</v>
      </c>
      <c r="S5" s="66">
        <v>2000</v>
      </c>
      <c r="T5" s="48">
        <v>23</v>
      </c>
      <c r="V5" s="73"/>
      <c r="W5" s="73"/>
    </row>
    <row r="6" spans="1:23">
      <c r="A6" s="65">
        <v>1500</v>
      </c>
      <c r="B6" s="46">
        <v>44</v>
      </c>
      <c r="C6" s="2"/>
      <c r="D6" s="65">
        <v>200</v>
      </c>
      <c r="E6" s="46">
        <v>34</v>
      </c>
      <c r="F6" s="2"/>
      <c r="J6" s="67" t="s">
        <v>124</v>
      </c>
      <c r="K6" s="48"/>
      <c r="M6" s="66" t="s">
        <v>481</v>
      </c>
      <c r="N6" s="48">
        <v>117</v>
      </c>
      <c r="P6" s="47" t="s">
        <v>157</v>
      </c>
      <c r="Q6" s="48">
        <v>34</v>
      </c>
      <c r="S6" s="66" t="s">
        <v>169</v>
      </c>
      <c r="T6" s="48">
        <v>24</v>
      </c>
      <c r="V6" s="554"/>
      <c r="W6" s="73"/>
    </row>
    <row r="7" spans="1:23">
      <c r="A7" s="65">
        <v>3000</v>
      </c>
      <c r="B7" s="46">
        <v>45</v>
      </c>
      <c r="C7" s="2"/>
      <c r="D7" s="65">
        <v>800</v>
      </c>
      <c r="E7" s="46">
        <v>35</v>
      </c>
      <c r="F7" s="2"/>
      <c r="G7" s="72"/>
      <c r="H7" s="2"/>
      <c r="J7" s="67" t="s">
        <v>125</v>
      </c>
      <c r="K7" s="48"/>
      <c r="M7" s="67" t="s">
        <v>16</v>
      </c>
      <c r="N7" s="48">
        <v>118</v>
      </c>
      <c r="P7" s="47" t="s">
        <v>170</v>
      </c>
      <c r="Q7" s="48">
        <v>35</v>
      </c>
      <c r="S7" s="66" t="s">
        <v>44</v>
      </c>
      <c r="T7" s="48">
        <v>25</v>
      </c>
      <c r="V7" s="73"/>
      <c r="W7" s="73"/>
    </row>
    <row r="8" spans="1:23">
      <c r="A8" s="65">
        <v>5000</v>
      </c>
      <c r="B8" s="46">
        <v>46</v>
      </c>
      <c r="C8" s="2"/>
      <c r="D8" s="65">
        <v>1500</v>
      </c>
      <c r="E8" s="46">
        <v>36</v>
      </c>
      <c r="F8" s="2"/>
      <c r="G8" s="72"/>
      <c r="H8" s="2"/>
      <c r="J8" s="67" t="s">
        <v>126</v>
      </c>
      <c r="K8" s="48"/>
      <c r="M8" s="67" t="s">
        <v>19</v>
      </c>
      <c r="N8" s="48">
        <v>119</v>
      </c>
      <c r="P8" s="47" t="s">
        <v>171</v>
      </c>
      <c r="Q8" s="48">
        <v>36</v>
      </c>
      <c r="S8" s="67" t="s">
        <v>94</v>
      </c>
      <c r="T8" s="48">
        <v>26</v>
      </c>
      <c r="V8" s="73"/>
      <c r="W8" s="73"/>
    </row>
    <row r="9" spans="1:23">
      <c r="A9" s="65">
        <v>10000</v>
      </c>
      <c r="B9" s="46">
        <v>47</v>
      </c>
      <c r="C9" s="2"/>
      <c r="D9" s="67" t="s">
        <v>223</v>
      </c>
      <c r="E9" s="46">
        <v>37</v>
      </c>
      <c r="F9" s="2"/>
      <c r="G9" s="72"/>
      <c r="H9" s="2"/>
      <c r="J9" s="67" t="s">
        <v>92</v>
      </c>
      <c r="K9" s="48"/>
      <c r="M9" s="67" t="s">
        <v>24</v>
      </c>
      <c r="N9" s="48">
        <v>120</v>
      </c>
      <c r="P9" s="47" t="s">
        <v>164</v>
      </c>
      <c r="Q9" s="48">
        <v>37</v>
      </c>
      <c r="S9" s="67" t="s">
        <v>16</v>
      </c>
      <c r="T9" s="48">
        <v>27</v>
      </c>
      <c r="V9" s="73"/>
      <c r="W9" s="73"/>
    </row>
    <row r="10" spans="1:23">
      <c r="A10" s="67" t="s">
        <v>185</v>
      </c>
      <c r="B10" s="46">
        <v>48</v>
      </c>
      <c r="C10" s="2"/>
      <c r="D10" s="66" t="s">
        <v>44</v>
      </c>
      <c r="E10" s="46">
        <v>38</v>
      </c>
      <c r="F10" s="2"/>
      <c r="G10" s="72"/>
      <c r="H10" s="2"/>
      <c r="J10" s="65">
        <v>100</v>
      </c>
      <c r="K10" s="48">
        <v>110</v>
      </c>
      <c r="M10" s="69" t="s">
        <v>58</v>
      </c>
      <c r="N10" s="48">
        <v>121</v>
      </c>
      <c r="P10" s="47" t="s">
        <v>172</v>
      </c>
      <c r="Q10" s="48">
        <v>38</v>
      </c>
      <c r="S10" s="67" t="s">
        <v>19</v>
      </c>
      <c r="T10" s="48">
        <v>28</v>
      </c>
      <c r="V10" s="73"/>
      <c r="W10" s="73"/>
    </row>
    <row r="11" spans="1:23">
      <c r="A11" s="67" t="s">
        <v>186</v>
      </c>
      <c r="B11" s="46">
        <v>49</v>
      </c>
      <c r="C11" s="2"/>
      <c r="D11" s="67" t="s">
        <v>191</v>
      </c>
      <c r="E11" s="46">
        <v>39</v>
      </c>
      <c r="F11" s="2"/>
      <c r="G11" s="72"/>
      <c r="H11" s="2"/>
      <c r="J11" s="65">
        <v>800</v>
      </c>
      <c r="K11" s="48">
        <v>111</v>
      </c>
      <c r="M11" s="70"/>
      <c r="P11" s="47" t="s">
        <v>147</v>
      </c>
      <c r="Q11" s="48">
        <v>39</v>
      </c>
      <c r="S11" s="67" t="s">
        <v>24</v>
      </c>
      <c r="T11" s="48">
        <v>29</v>
      </c>
      <c r="V11" s="73"/>
      <c r="W11" s="73"/>
    </row>
    <row r="12" spans="1:23">
      <c r="A12" s="67"/>
      <c r="B12" s="46">
        <v>50</v>
      </c>
      <c r="C12" s="2"/>
      <c r="D12" s="67" t="s">
        <v>16</v>
      </c>
      <c r="E12" s="46">
        <v>40</v>
      </c>
      <c r="F12" s="2"/>
      <c r="G12" s="72"/>
      <c r="H12" s="2"/>
      <c r="J12" s="67" t="s">
        <v>190</v>
      </c>
      <c r="K12" s="48">
        <v>112</v>
      </c>
      <c r="P12" s="47" t="s">
        <v>187</v>
      </c>
      <c r="Q12" s="48">
        <v>40</v>
      </c>
      <c r="S12" s="69" t="s">
        <v>56</v>
      </c>
      <c r="T12" s="50">
        <v>30</v>
      </c>
      <c r="V12" s="73"/>
      <c r="W12" s="73"/>
    </row>
    <row r="13" spans="1:23">
      <c r="A13" s="67" t="s">
        <v>173</v>
      </c>
      <c r="B13" s="46">
        <v>51</v>
      </c>
      <c r="C13" s="2"/>
      <c r="D13" s="67" t="s">
        <v>19</v>
      </c>
      <c r="E13" s="46">
        <v>41</v>
      </c>
      <c r="F13" s="2"/>
      <c r="G13" s="72"/>
      <c r="H13" s="2"/>
      <c r="J13" s="67" t="s">
        <v>16</v>
      </c>
      <c r="K13" s="48">
        <v>113</v>
      </c>
      <c r="P13" s="47" t="s">
        <v>159</v>
      </c>
      <c r="Q13" s="48">
        <v>41</v>
      </c>
      <c r="V13" s="73"/>
      <c r="W13" s="73"/>
    </row>
    <row r="14" spans="1:23">
      <c r="A14" s="67" t="s">
        <v>166</v>
      </c>
      <c r="B14" s="46">
        <v>52</v>
      </c>
      <c r="C14" s="2"/>
      <c r="D14" s="67" t="s">
        <v>24</v>
      </c>
      <c r="E14" s="46">
        <v>42</v>
      </c>
      <c r="F14" s="2"/>
      <c r="G14" s="72"/>
      <c r="H14" s="2"/>
      <c r="J14" s="67" t="s">
        <v>19</v>
      </c>
      <c r="K14" s="48">
        <v>114</v>
      </c>
      <c r="P14" s="47" t="s">
        <v>160</v>
      </c>
      <c r="Q14" s="48">
        <v>42</v>
      </c>
      <c r="V14" s="73"/>
      <c r="W14" s="73"/>
    </row>
    <row r="15" spans="1:23">
      <c r="A15" s="67" t="s">
        <v>174</v>
      </c>
      <c r="B15" s="46">
        <v>53</v>
      </c>
      <c r="C15" s="2"/>
      <c r="D15" s="69" t="s">
        <v>22</v>
      </c>
      <c r="E15" s="52">
        <v>43</v>
      </c>
      <c r="F15" s="2"/>
      <c r="G15" s="72"/>
      <c r="H15" s="2"/>
      <c r="J15" s="67" t="s">
        <v>24</v>
      </c>
      <c r="K15" s="48">
        <v>115</v>
      </c>
      <c r="P15" s="47"/>
      <c r="Q15" s="48">
        <v>43</v>
      </c>
      <c r="V15" s="73"/>
      <c r="W15" s="73"/>
    </row>
    <row r="16" spans="1:23">
      <c r="A16" s="67" t="s">
        <v>175</v>
      </c>
      <c r="B16" s="46">
        <v>54</v>
      </c>
      <c r="C16" s="2"/>
      <c r="D16" s="70"/>
      <c r="E16" s="2"/>
      <c r="F16" s="2"/>
      <c r="G16" s="72"/>
      <c r="H16" s="2"/>
      <c r="J16" s="69" t="s">
        <v>99</v>
      </c>
      <c r="K16" s="48">
        <v>116</v>
      </c>
      <c r="P16" s="49" t="s">
        <v>152</v>
      </c>
      <c r="Q16" s="48">
        <v>44</v>
      </c>
      <c r="V16" s="73"/>
      <c r="W16" s="73"/>
    </row>
    <row r="17" spans="1:23">
      <c r="A17" s="67" t="s">
        <v>16</v>
      </c>
      <c r="B17" s="46">
        <v>55</v>
      </c>
      <c r="C17" s="2"/>
      <c r="D17" s="70"/>
      <c r="E17" s="2"/>
      <c r="F17" s="2"/>
      <c r="G17" s="72"/>
      <c r="H17" s="2"/>
      <c r="J17" s="7" t="s">
        <v>204</v>
      </c>
      <c r="K17" s="83">
        <v>112</v>
      </c>
      <c r="P17" s="49" t="s">
        <v>54</v>
      </c>
      <c r="Q17" s="48">
        <v>45</v>
      </c>
      <c r="V17" s="73"/>
      <c r="W17" s="73"/>
    </row>
    <row r="18" spans="1:23">
      <c r="A18" s="67" t="s">
        <v>20</v>
      </c>
      <c r="B18" s="46">
        <v>56</v>
      </c>
      <c r="C18" s="2"/>
      <c r="D18" s="70"/>
      <c r="E18" s="2"/>
      <c r="F18" s="2"/>
      <c r="G18" s="72"/>
      <c r="H18" s="2"/>
      <c r="J18" s="7" t="s">
        <v>205</v>
      </c>
      <c r="K18" s="83">
        <v>112</v>
      </c>
      <c r="P18" s="49" t="s">
        <v>188</v>
      </c>
      <c r="Q18" s="48">
        <v>46</v>
      </c>
    </row>
    <row r="19" spans="1:23">
      <c r="A19" s="67" t="s">
        <v>19</v>
      </c>
      <c r="B19" s="46">
        <v>57</v>
      </c>
      <c r="C19" s="2"/>
      <c r="D19" s="70"/>
      <c r="E19" s="2"/>
      <c r="F19" s="2"/>
      <c r="G19" s="72"/>
      <c r="H19" s="2"/>
      <c r="J19" s="7" t="s">
        <v>206</v>
      </c>
      <c r="K19" s="83">
        <v>112</v>
      </c>
      <c r="P19" s="49"/>
      <c r="Q19" s="48">
        <v>47</v>
      </c>
    </row>
    <row r="20" spans="1:23">
      <c r="A20" s="67" t="s">
        <v>23</v>
      </c>
      <c r="B20" s="46">
        <v>58</v>
      </c>
      <c r="C20" s="2"/>
      <c r="D20" s="70"/>
      <c r="E20" s="2"/>
      <c r="F20" s="2"/>
      <c r="G20" s="72"/>
      <c r="H20" s="2"/>
      <c r="P20" s="49" t="s">
        <v>55</v>
      </c>
      <c r="Q20" s="48">
        <v>48</v>
      </c>
    </row>
    <row r="21" spans="1:23">
      <c r="A21" s="67" t="s">
        <v>24</v>
      </c>
      <c r="B21" s="46">
        <v>59</v>
      </c>
      <c r="C21" s="2"/>
      <c r="D21" s="70"/>
      <c r="E21" s="2"/>
      <c r="F21" s="2"/>
      <c r="G21" s="72"/>
      <c r="H21" s="2"/>
      <c r="P21" s="49"/>
      <c r="Q21" s="48">
        <v>49</v>
      </c>
    </row>
    <row r="22" spans="1:23">
      <c r="A22" s="67" t="s">
        <v>22</v>
      </c>
      <c r="B22" s="46">
        <v>60</v>
      </c>
      <c r="C22" s="2"/>
      <c r="D22" s="70"/>
      <c r="E22" s="2"/>
      <c r="F22" s="2"/>
      <c r="G22" s="72"/>
      <c r="H22" s="2"/>
      <c r="P22" s="47" t="s">
        <v>155</v>
      </c>
      <c r="Q22" s="48">
        <v>50</v>
      </c>
      <c r="V22" s="41" t="s">
        <v>97</v>
      </c>
      <c r="W22" s="42"/>
    </row>
    <row r="23" spans="1:23">
      <c r="A23" s="67" t="s">
        <v>96</v>
      </c>
      <c r="B23" s="46">
        <v>61</v>
      </c>
      <c r="C23" s="2"/>
      <c r="D23" s="70"/>
      <c r="E23" s="2"/>
      <c r="F23" s="1"/>
      <c r="G23" s="70"/>
      <c r="H23" s="1"/>
      <c r="P23" s="47" t="s">
        <v>461</v>
      </c>
      <c r="Q23" s="48">
        <v>51</v>
      </c>
      <c r="V23" s="49"/>
      <c r="W23" s="48"/>
    </row>
    <row r="24" spans="1:23">
      <c r="A24" s="67" t="s">
        <v>98</v>
      </c>
      <c r="B24" s="46">
        <v>62</v>
      </c>
      <c r="C24" s="2"/>
      <c r="D24" s="70"/>
      <c r="E24" s="1"/>
      <c r="F24" s="1"/>
      <c r="G24" s="70"/>
      <c r="H24" s="1"/>
      <c r="J24" s="70"/>
      <c r="P24" s="49" t="s">
        <v>419</v>
      </c>
      <c r="Q24" s="48">
        <v>52</v>
      </c>
      <c r="V24" s="49" t="s">
        <v>189</v>
      </c>
      <c r="W24" s="48">
        <v>8</v>
      </c>
    </row>
    <row r="25" spans="1:23">
      <c r="A25" s="67" t="s">
        <v>100</v>
      </c>
      <c r="B25" s="46">
        <v>63</v>
      </c>
      <c r="C25" s="2"/>
      <c r="D25" s="70"/>
      <c r="E25" s="1"/>
      <c r="F25" s="1"/>
      <c r="G25" s="70"/>
      <c r="H25" s="1"/>
      <c r="J25" s="70"/>
      <c r="P25" s="47" t="s">
        <v>148</v>
      </c>
      <c r="Q25" s="48">
        <v>53</v>
      </c>
      <c r="V25" s="51"/>
      <c r="W25" s="50"/>
    </row>
    <row r="26" spans="1:23">
      <c r="A26" s="67" t="s">
        <v>127</v>
      </c>
      <c r="B26" s="46">
        <v>64</v>
      </c>
      <c r="D26" s="70"/>
      <c r="E26" s="1"/>
      <c r="F26" s="1"/>
      <c r="G26" s="70"/>
      <c r="H26" s="1"/>
      <c r="P26" s="51"/>
      <c r="Q26" s="50">
        <v>54</v>
      </c>
    </row>
    <row r="27" spans="1:23">
      <c r="A27" s="69" t="s">
        <v>335</v>
      </c>
      <c r="B27" s="52">
        <v>65</v>
      </c>
      <c r="E27" s="1"/>
      <c r="F27" s="1"/>
      <c r="G27" s="70"/>
      <c r="H27" s="1"/>
    </row>
    <row r="28" spans="1:23">
      <c r="A28" s="69" t="s">
        <v>510</v>
      </c>
      <c r="B28" s="52">
        <v>66</v>
      </c>
      <c r="E28" s="1"/>
      <c r="F28" s="1"/>
      <c r="G28" s="70"/>
      <c r="H28" s="1"/>
    </row>
  </sheetData>
  <phoneticPr fontId="5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 enableFormatConditionsCalculation="0">
    <tabColor indexed="10"/>
    <pageSetUpPr autoPageBreaks="0"/>
  </sheetPr>
  <dimension ref="A1:L101"/>
  <sheetViews>
    <sheetView showGridLines="0" showRowColHeaders="0" showZeros="0" zoomScaleNormal="100" workbookViewId="0">
      <selection activeCell="H15" sqref="H15"/>
    </sheetView>
  </sheetViews>
  <sheetFormatPr defaultRowHeight="13.5"/>
  <cols>
    <col min="4" max="4" width="12.875" customWidth="1"/>
  </cols>
  <sheetData>
    <row r="1" spans="1:8" ht="14.25">
      <c r="A1" s="61" t="s">
        <v>505</v>
      </c>
      <c r="F1" s="89"/>
      <c r="G1" s="89"/>
    </row>
    <row r="2" spans="1:8">
      <c r="F2" s="89"/>
      <c r="G2" s="89"/>
    </row>
    <row r="3" spans="1:8">
      <c r="A3" s="56" t="s">
        <v>121</v>
      </c>
      <c r="F3" s="89"/>
      <c r="G3" s="89"/>
    </row>
    <row r="4" spans="1:8">
      <c r="A4" s="56" t="s">
        <v>356</v>
      </c>
      <c r="F4" s="89"/>
      <c r="G4" s="89"/>
    </row>
    <row r="5" spans="1:8">
      <c r="A5" s="56"/>
      <c r="F5" s="89"/>
      <c r="G5" s="89"/>
    </row>
    <row r="7" spans="1:8" ht="18.75">
      <c r="A7" s="54" t="s">
        <v>83</v>
      </c>
      <c r="C7" s="39" t="s">
        <v>346</v>
      </c>
      <c r="D7" s="39"/>
      <c r="E7" s="39"/>
      <c r="F7" s="39"/>
      <c r="G7" s="39"/>
      <c r="H7" s="39"/>
    </row>
    <row r="8" spans="1:8" ht="13.5" customHeight="1">
      <c r="A8" s="54"/>
      <c r="C8" s="39" t="s">
        <v>357</v>
      </c>
      <c r="D8" s="39"/>
      <c r="E8" s="39"/>
      <c r="F8" s="39"/>
      <c r="G8" s="39"/>
      <c r="H8" s="39"/>
    </row>
    <row r="9" spans="1:8" ht="13.5" customHeight="1">
      <c r="A9" s="54"/>
      <c r="C9" t="s">
        <v>347</v>
      </c>
    </row>
    <row r="10" spans="1:8" ht="13.5" customHeight="1">
      <c r="A10" s="54"/>
    </row>
    <row r="11" spans="1:8">
      <c r="C11" t="s">
        <v>348</v>
      </c>
    </row>
    <row r="12" spans="1:8">
      <c r="C12" t="s">
        <v>349</v>
      </c>
    </row>
    <row r="13" spans="1:8">
      <c r="C13" t="s">
        <v>350</v>
      </c>
    </row>
    <row r="14" spans="1:8">
      <c r="C14" t="s">
        <v>351</v>
      </c>
    </row>
    <row r="16" spans="1:8">
      <c r="C16" t="s">
        <v>101</v>
      </c>
    </row>
    <row r="17" spans="1:12">
      <c r="C17" t="s">
        <v>102</v>
      </c>
      <c r="D17" t="s">
        <v>499</v>
      </c>
    </row>
    <row r="20" spans="1:12">
      <c r="C20" t="s">
        <v>352</v>
      </c>
    </row>
    <row r="21" spans="1:12">
      <c r="C21" t="s">
        <v>353</v>
      </c>
    </row>
    <row r="23" spans="1:12">
      <c r="C23" s="39" t="s">
        <v>358</v>
      </c>
      <c r="D23" s="39"/>
      <c r="E23" s="39"/>
      <c r="F23" s="39"/>
      <c r="G23" s="39"/>
      <c r="H23" s="39"/>
      <c r="I23" s="39"/>
    </row>
    <row r="24" spans="1:12">
      <c r="C24" s="39" t="s">
        <v>359</v>
      </c>
      <c r="D24" s="39"/>
      <c r="E24" s="39"/>
      <c r="F24" s="39"/>
      <c r="G24" s="39"/>
      <c r="H24" s="39"/>
      <c r="I24" s="39"/>
    </row>
    <row r="26" spans="1:12" ht="17.25">
      <c r="A26" s="55"/>
      <c r="B26" s="55"/>
      <c r="C26" s="213" t="s">
        <v>354</v>
      </c>
      <c r="D26" s="214"/>
      <c r="E26" s="214"/>
      <c r="F26" s="214"/>
      <c r="G26" s="214"/>
      <c r="H26" s="214"/>
      <c r="I26" s="215"/>
      <c r="J26" s="215"/>
      <c r="K26" s="55"/>
      <c r="L26" s="55"/>
    </row>
    <row r="28" spans="1:12">
      <c r="B28" t="s">
        <v>25</v>
      </c>
    </row>
    <row r="29" spans="1:12">
      <c r="B29" t="s">
        <v>497</v>
      </c>
    </row>
    <row r="30" spans="1:12">
      <c r="B30" t="s">
        <v>73</v>
      </c>
    </row>
    <row r="31" spans="1:12">
      <c r="B31" t="s">
        <v>59</v>
      </c>
    </row>
    <row r="34" spans="1:11">
      <c r="A34" t="s">
        <v>103</v>
      </c>
      <c r="B34" t="s">
        <v>26</v>
      </c>
      <c r="C34" t="s">
        <v>257</v>
      </c>
    </row>
    <row r="35" spans="1:11">
      <c r="B35">
        <v>1</v>
      </c>
      <c r="C35" t="s">
        <v>355</v>
      </c>
    </row>
    <row r="37" spans="1:11">
      <c r="F37" t="s">
        <v>194</v>
      </c>
    </row>
    <row r="38" spans="1:11">
      <c r="F38" t="s">
        <v>258</v>
      </c>
    </row>
    <row r="39" spans="1:11">
      <c r="F39" t="s">
        <v>74</v>
      </c>
    </row>
    <row r="40" spans="1:11">
      <c r="F40" t="s">
        <v>236</v>
      </c>
    </row>
    <row r="41" spans="1:11">
      <c r="F41" t="s">
        <v>237</v>
      </c>
    </row>
    <row r="42" spans="1:11">
      <c r="F42" t="s">
        <v>39</v>
      </c>
    </row>
    <row r="43" spans="1:11">
      <c r="F43" s="565"/>
      <c r="G43" s="565"/>
      <c r="H43" s="565"/>
      <c r="I43" s="565"/>
      <c r="J43" s="565"/>
      <c r="K43" s="565"/>
    </row>
    <row r="45" spans="1:11">
      <c r="F45" s="565" t="s">
        <v>415</v>
      </c>
      <c r="G45" s="565"/>
      <c r="H45" s="565"/>
      <c r="I45" s="565"/>
      <c r="J45" s="565"/>
      <c r="K45" s="565"/>
    </row>
    <row r="49" spans="1:7" ht="17.25">
      <c r="B49" s="188" t="s">
        <v>259</v>
      </c>
    </row>
    <row r="50" spans="1:7" ht="17.25">
      <c r="B50" s="37"/>
    </row>
    <row r="52" spans="1:7">
      <c r="A52" t="s">
        <v>104</v>
      </c>
      <c r="B52">
        <v>2</v>
      </c>
      <c r="C52" t="s">
        <v>260</v>
      </c>
    </row>
    <row r="59" spans="1:7">
      <c r="G59" t="s">
        <v>27</v>
      </c>
    </row>
    <row r="61" spans="1:7">
      <c r="G61" s="18" t="s">
        <v>61</v>
      </c>
    </row>
    <row r="62" spans="1:7">
      <c r="G62" t="s">
        <v>28</v>
      </c>
    </row>
    <row r="63" spans="1:7">
      <c r="G63" t="s">
        <v>69</v>
      </c>
    </row>
    <row r="65" spans="3:9">
      <c r="G65" t="s">
        <v>29</v>
      </c>
    </row>
    <row r="66" spans="3:9">
      <c r="G66" t="s">
        <v>30</v>
      </c>
      <c r="H66" s="6" t="s">
        <v>31</v>
      </c>
      <c r="I66">
        <v>10.01</v>
      </c>
    </row>
    <row r="67" spans="3:9">
      <c r="G67" t="s">
        <v>32</v>
      </c>
      <c r="H67" s="6" t="s">
        <v>31</v>
      </c>
      <c r="I67" s="9" t="s">
        <v>261</v>
      </c>
    </row>
    <row r="68" spans="3:9">
      <c r="G68" s="7" t="s">
        <v>33</v>
      </c>
      <c r="H68" s="6" t="s">
        <v>31</v>
      </c>
      <c r="I68" s="8" t="s">
        <v>116</v>
      </c>
    </row>
    <row r="69" spans="3:9">
      <c r="G69" s="7" t="s">
        <v>38</v>
      </c>
      <c r="H69" s="6" t="s">
        <v>31</v>
      </c>
      <c r="I69" s="8" t="s">
        <v>117</v>
      </c>
    </row>
    <row r="71" spans="3:9">
      <c r="G71" t="s">
        <v>118</v>
      </c>
    </row>
    <row r="72" spans="3:9">
      <c r="G72" t="s">
        <v>34</v>
      </c>
      <c r="H72" s="6" t="s">
        <v>31</v>
      </c>
      <c r="I72" s="8" t="s">
        <v>34</v>
      </c>
    </row>
    <row r="73" spans="3:9">
      <c r="G73" t="s">
        <v>35</v>
      </c>
      <c r="H73" s="6" t="s">
        <v>31</v>
      </c>
      <c r="I73" s="8" t="s">
        <v>35</v>
      </c>
    </row>
    <row r="74" spans="3:9">
      <c r="G74" t="s">
        <v>36</v>
      </c>
      <c r="H74" s="6" t="s">
        <v>31</v>
      </c>
      <c r="I74" s="8" t="s">
        <v>36</v>
      </c>
    </row>
    <row r="76" spans="3:9">
      <c r="G76" t="s">
        <v>120</v>
      </c>
    </row>
    <row r="77" spans="3:9">
      <c r="G77" t="s">
        <v>119</v>
      </c>
    </row>
    <row r="78" spans="3:9">
      <c r="G78" s="189" t="s">
        <v>238</v>
      </c>
    </row>
    <row r="80" spans="3:9">
      <c r="C80" s="16" t="s">
        <v>234</v>
      </c>
    </row>
    <row r="81" spans="1:11">
      <c r="C81" s="16" t="s">
        <v>239</v>
      </c>
    </row>
    <row r="83" spans="1:11">
      <c r="B83">
        <v>3</v>
      </c>
      <c r="C83" s="189" t="s">
        <v>485</v>
      </c>
    </row>
    <row r="84" spans="1:11">
      <c r="C84" s="189" t="s">
        <v>279</v>
      </c>
    </row>
    <row r="86" spans="1:11" ht="14.25">
      <c r="A86" s="17" t="s">
        <v>60</v>
      </c>
    </row>
    <row r="87" spans="1:11" ht="14.25">
      <c r="A87" s="17"/>
      <c r="B87">
        <v>4</v>
      </c>
      <c r="C87" s="56" t="s">
        <v>105</v>
      </c>
      <c r="D87" s="38"/>
      <c r="E87" t="s">
        <v>299</v>
      </c>
    </row>
    <row r="88" spans="1:11" ht="14.25">
      <c r="A88" s="17"/>
      <c r="C88" s="56"/>
      <c r="D88" s="38"/>
    </row>
    <row r="89" spans="1:11">
      <c r="C89" t="s">
        <v>275</v>
      </c>
    </row>
    <row r="90" spans="1:11">
      <c r="C90" t="s">
        <v>240</v>
      </c>
    </row>
    <row r="91" spans="1:11">
      <c r="C91" s="565" t="s">
        <v>300</v>
      </c>
      <c r="D91" s="62"/>
      <c r="E91" s="62"/>
      <c r="F91" s="62"/>
      <c r="G91" s="62"/>
      <c r="H91" s="62"/>
      <c r="I91" s="59"/>
      <c r="J91" s="59"/>
      <c r="K91" s="59"/>
    </row>
    <row r="94" spans="1:11">
      <c r="A94" s="16"/>
      <c r="C94" s="62"/>
      <c r="D94" s="62"/>
      <c r="E94" s="62"/>
      <c r="F94" s="62"/>
    </row>
    <row r="101" spans="1:1" ht="17.25">
      <c r="A101" s="37"/>
    </row>
  </sheetData>
  <sheetProtection sheet="1" objects="1" scenarios="1"/>
  <phoneticPr fontId="5"/>
  <pageMargins left="0.78700000000000003" right="0.78700000000000003" top="0.98399999999999999" bottom="0.98399999999999999" header="0.51200000000000001" footer="0.51200000000000001"/>
  <pageSetup paperSize="9" scale="70" fitToHeight="4" orientation="portrait" horizontalDpi="300" verticalDpi="300" r:id="rId1"/>
  <headerFooter alignWithMargins="0"/>
  <rowBreaks count="1" manualBreakCount="1">
    <brk id="79" max="12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1" enableFormatConditionsCalculation="0">
    <tabColor indexed="48"/>
  </sheetPr>
  <dimension ref="A1:N61"/>
  <sheetViews>
    <sheetView showGridLines="0" showRowColHeaders="0" showZeros="0" showOutlineSymbols="0" workbookViewId="0">
      <selection activeCell="B23" sqref="B23:I23"/>
    </sheetView>
  </sheetViews>
  <sheetFormatPr defaultRowHeight="13.5"/>
  <sheetData>
    <row r="1" spans="1:14">
      <c r="A1" s="400"/>
      <c r="B1" s="400"/>
      <c r="C1" s="400"/>
      <c r="D1" s="400"/>
      <c r="E1" s="400"/>
      <c r="F1" s="400"/>
      <c r="G1" s="400"/>
      <c r="H1" s="400"/>
      <c r="I1" s="400"/>
      <c r="J1" s="400"/>
      <c r="K1" s="92"/>
      <c r="L1" s="92"/>
      <c r="M1" s="92"/>
      <c r="N1" s="92"/>
    </row>
    <row r="2" spans="1:14">
      <c r="A2" s="400"/>
      <c r="B2" s="400"/>
      <c r="C2" s="400"/>
      <c r="D2" s="400"/>
      <c r="E2" s="400"/>
      <c r="F2" s="400"/>
      <c r="G2" s="400"/>
      <c r="H2" s="400"/>
      <c r="I2" s="400"/>
      <c r="J2" s="400"/>
      <c r="K2" s="92"/>
      <c r="L2" s="92"/>
      <c r="M2" s="92"/>
      <c r="N2" s="92"/>
    </row>
    <row r="3" spans="1:14">
      <c r="A3" s="400"/>
      <c r="B3" s="400"/>
      <c r="C3" s="400"/>
      <c r="D3" s="400"/>
      <c r="E3" s="400"/>
      <c r="F3" s="400"/>
      <c r="G3" s="400"/>
      <c r="H3" s="400"/>
      <c r="I3" s="400"/>
      <c r="J3" s="400"/>
      <c r="K3" s="92"/>
      <c r="L3" s="92"/>
      <c r="M3" s="92"/>
      <c r="N3" s="92"/>
    </row>
    <row r="4" spans="1:14">
      <c r="A4" s="400"/>
      <c r="B4" s="401"/>
      <c r="C4" s="1115"/>
      <c r="D4" s="1115"/>
      <c r="E4" s="1115"/>
      <c r="F4" s="1115"/>
      <c r="G4" s="1115"/>
      <c r="H4" s="400"/>
      <c r="I4" s="400"/>
      <c r="J4" s="400"/>
      <c r="K4" s="92"/>
      <c r="L4" s="92"/>
      <c r="M4" s="92"/>
      <c r="N4" s="92"/>
    </row>
    <row r="5" spans="1:14">
      <c r="A5" s="400"/>
      <c r="B5" s="400"/>
      <c r="C5" s="400"/>
      <c r="D5" s="400"/>
      <c r="E5" s="400"/>
      <c r="F5" s="400"/>
      <c r="G5" s="400"/>
      <c r="H5" s="400"/>
      <c r="I5" s="400"/>
      <c r="J5" s="400"/>
      <c r="K5" s="92"/>
      <c r="L5" s="92"/>
      <c r="M5" s="92"/>
      <c r="N5" s="92"/>
    </row>
    <row r="6" spans="1:14">
      <c r="A6" s="400"/>
      <c r="B6" s="400"/>
      <c r="C6" s="400"/>
      <c r="D6" s="400"/>
      <c r="E6" s="400"/>
      <c r="F6" s="400"/>
      <c r="G6" s="400"/>
      <c r="H6" s="400"/>
      <c r="I6" s="400"/>
      <c r="J6" s="400"/>
      <c r="K6" s="92"/>
      <c r="L6" s="92"/>
      <c r="M6" s="92"/>
      <c r="N6" s="92"/>
    </row>
    <row r="7" spans="1:14">
      <c r="A7" s="400"/>
      <c r="B7" s="400"/>
      <c r="C7" s="400"/>
      <c r="D7" s="400"/>
      <c r="E7" s="400"/>
      <c r="F7" s="400"/>
      <c r="G7" s="400"/>
      <c r="H7" s="400"/>
      <c r="I7" s="400"/>
      <c r="J7" s="400"/>
      <c r="K7" s="92"/>
      <c r="L7" s="92"/>
      <c r="M7" s="92"/>
      <c r="N7" s="92"/>
    </row>
    <row r="8" spans="1:14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92"/>
      <c r="L8" s="92"/>
      <c r="M8" s="92"/>
      <c r="N8" s="92"/>
    </row>
    <row r="9" spans="1:14">
      <c r="A9" s="400"/>
      <c r="B9" s="400"/>
      <c r="C9" s="400"/>
      <c r="D9" s="400"/>
      <c r="E9" s="400"/>
      <c r="F9" s="400"/>
      <c r="G9" s="400"/>
      <c r="H9" s="400"/>
      <c r="I9" s="400"/>
      <c r="J9" s="400"/>
      <c r="K9" s="92"/>
      <c r="L9" s="92"/>
      <c r="M9" s="92"/>
      <c r="N9" s="92"/>
    </row>
    <row r="10" spans="1:14">
      <c r="A10" s="400"/>
      <c r="B10" s="400"/>
      <c r="C10" s="400"/>
      <c r="D10" s="400"/>
      <c r="E10" s="400"/>
      <c r="F10" s="400"/>
      <c r="G10" s="400"/>
      <c r="H10" s="400"/>
      <c r="I10" s="400"/>
      <c r="J10" s="400"/>
      <c r="K10" s="92"/>
      <c r="L10" s="92"/>
      <c r="M10" s="92"/>
      <c r="N10" s="92"/>
    </row>
    <row r="11" spans="1:14">
      <c r="A11" s="400"/>
      <c r="B11" s="400"/>
      <c r="C11" s="400"/>
      <c r="D11" s="400"/>
      <c r="E11" s="400"/>
      <c r="F11" s="400"/>
      <c r="G11" s="400"/>
      <c r="H11" s="400"/>
      <c r="I11" s="400"/>
      <c r="J11" s="400"/>
      <c r="K11" s="92"/>
      <c r="L11" s="92"/>
      <c r="M11" s="92"/>
      <c r="N11" s="92"/>
    </row>
    <row r="12" spans="1:14">
      <c r="A12" s="400"/>
      <c r="B12" s="400"/>
      <c r="C12" s="400"/>
      <c r="D12" s="400"/>
      <c r="E12" s="400"/>
      <c r="F12" s="400"/>
      <c r="G12" s="400"/>
      <c r="H12" s="400"/>
      <c r="I12" s="400"/>
      <c r="J12" s="400"/>
      <c r="K12" s="92"/>
      <c r="L12" s="92"/>
      <c r="M12" s="92"/>
      <c r="N12" s="92"/>
    </row>
    <row r="13" spans="1:14">
      <c r="A13" s="400"/>
      <c r="B13" s="400"/>
      <c r="C13" s="400"/>
      <c r="D13" s="400"/>
      <c r="E13" s="400"/>
      <c r="F13" s="400"/>
      <c r="G13" s="400"/>
      <c r="H13" s="400"/>
      <c r="I13" s="400"/>
      <c r="J13" s="400"/>
      <c r="K13" s="92"/>
      <c r="L13" s="92"/>
      <c r="M13" s="92"/>
      <c r="N13" s="92"/>
    </row>
    <row r="14" spans="1:14">
      <c r="A14" s="400"/>
      <c r="B14" s="400"/>
      <c r="C14" s="400"/>
      <c r="D14" s="400"/>
      <c r="E14" s="400"/>
      <c r="F14" s="400"/>
      <c r="G14" s="400"/>
      <c r="H14" s="400"/>
      <c r="I14" s="400"/>
      <c r="J14" s="400"/>
      <c r="K14" s="92"/>
      <c r="L14" s="92"/>
      <c r="M14" s="92"/>
      <c r="N14" s="92"/>
    </row>
    <row r="15" spans="1:14">
      <c r="A15" s="400"/>
      <c r="B15" s="400"/>
      <c r="C15" s="400"/>
      <c r="D15" s="400"/>
      <c r="E15" s="400"/>
      <c r="F15" s="400"/>
      <c r="G15" s="400"/>
      <c r="H15" s="400"/>
      <c r="I15" s="400"/>
      <c r="J15" s="400"/>
      <c r="K15" s="92"/>
      <c r="L15" s="92"/>
      <c r="M15" s="92"/>
      <c r="N15" s="92"/>
    </row>
    <row r="16" spans="1:14">
      <c r="A16" s="400"/>
      <c r="B16" s="400"/>
      <c r="C16" s="400"/>
      <c r="D16" s="400"/>
      <c r="E16" s="400"/>
      <c r="F16" s="400"/>
      <c r="G16" s="400"/>
      <c r="H16" s="400"/>
      <c r="I16" s="400"/>
      <c r="J16" s="400"/>
      <c r="K16" s="92"/>
      <c r="L16" s="92"/>
      <c r="M16" s="92"/>
      <c r="N16" s="92"/>
    </row>
    <row r="17" spans="1:14">
      <c r="A17" s="400"/>
      <c r="B17" s="400"/>
      <c r="C17" s="400"/>
      <c r="D17" s="400"/>
      <c r="E17" s="400"/>
      <c r="F17" s="400"/>
      <c r="G17" s="400"/>
      <c r="H17" s="400"/>
      <c r="I17" s="400"/>
      <c r="J17" s="400"/>
      <c r="K17" s="92"/>
      <c r="L17" s="92"/>
      <c r="M17" s="92"/>
      <c r="N17" s="92"/>
    </row>
    <row r="18" spans="1:14">
      <c r="A18" s="400"/>
      <c r="B18" s="400"/>
      <c r="C18" s="400"/>
      <c r="D18" s="400"/>
      <c r="E18" s="400"/>
      <c r="F18" s="400"/>
      <c r="G18" s="400"/>
      <c r="H18" s="400"/>
      <c r="I18" s="400"/>
      <c r="J18" s="400"/>
      <c r="K18" s="92"/>
      <c r="L18" s="92"/>
      <c r="M18" s="92"/>
      <c r="N18" s="92"/>
    </row>
    <row r="19" spans="1:14">
      <c r="A19" s="400"/>
      <c r="B19" s="400"/>
      <c r="C19" s="400"/>
      <c r="D19" s="400"/>
      <c r="E19" s="400"/>
      <c r="F19" s="400"/>
      <c r="G19" s="400"/>
      <c r="H19" s="400"/>
      <c r="I19" s="400"/>
      <c r="J19" s="400"/>
      <c r="K19" s="92"/>
      <c r="L19" s="92"/>
      <c r="M19" s="92"/>
      <c r="N19" s="92"/>
    </row>
    <row r="20" spans="1:14">
      <c r="A20" s="400"/>
      <c r="B20" s="400"/>
      <c r="C20" s="400"/>
      <c r="D20" s="400"/>
      <c r="E20" s="400"/>
      <c r="F20" s="400"/>
      <c r="G20" s="400"/>
      <c r="H20" s="400"/>
      <c r="I20" s="400"/>
      <c r="J20" s="400"/>
      <c r="K20" s="92"/>
      <c r="L20" s="92"/>
      <c r="M20" s="92"/>
      <c r="N20" s="92"/>
    </row>
    <row r="21" spans="1:14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92"/>
      <c r="L21" s="92"/>
      <c r="M21" s="92"/>
      <c r="N21" s="92"/>
    </row>
    <row r="22" spans="1:14">
      <c r="A22" s="400"/>
      <c r="B22" s="400"/>
      <c r="C22" s="400"/>
      <c r="D22" s="400"/>
      <c r="E22" s="400"/>
      <c r="F22" s="400"/>
      <c r="G22" s="400"/>
      <c r="H22" s="400"/>
      <c r="I22" s="400"/>
      <c r="J22" s="400"/>
      <c r="K22" s="92"/>
      <c r="L22" s="92"/>
      <c r="M22" s="92"/>
      <c r="N22" s="92"/>
    </row>
    <row r="23" spans="1:14">
      <c r="A23" s="400"/>
      <c r="B23" s="1116"/>
      <c r="C23" s="1116"/>
      <c r="D23" s="1116"/>
      <c r="E23" s="1116"/>
      <c r="F23" s="1116"/>
      <c r="G23" s="1116"/>
      <c r="H23" s="1116"/>
      <c r="I23" s="1116"/>
      <c r="J23" s="400"/>
      <c r="K23" s="92"/>
      <c r="L23" s="92"/>
      <c r="M23" s="92"/>
      <c r="N23" s="92"/>
    </row>
    <row r="24" spans="1:14">
      <c r="A24" s="400"/>
      <c r="B24" s="400"/>
      <c r="C24" s="400"/>
      <c r="D24" s="400"/>
      <c r="E24" s="400"/>
      <c r="F24" s="400"/>
      <c r="G24" s="400"/>
      <c r="H24" s="400"/>
      <c r="I24" s="400"/>
      <c r="J24" s="400"/>
      <c r="K24" s="92"/>
      <c r="L24" s="92"/>
      <c r="M24" s="92"/>
      <c r="N24" s="92"/>
    </row>
    <row r="25" spans="1:14">
      <c r="A25" s="400"/>
      <c r="B25" s="400"/>
      <c r="C25" s="400"/>
      <c r="D25" s="400"/>
      <c r="E25" s="400"/>
      <c r="F25" s="400"/>
      <c r="G25" s="400"/>
      <c r="H25" s="400"/>
      <c r="I25" s="400"/>
      <c r="J25" s="400"/>
      <c r="K25" s="92"/>
      <c r="L25" s="92"/>
      <c r="M25" s="92"/>
      <c r="N25" s="92"/>
    </row>
    <row r="26" spans="1:14">
      <c r="A26" s="92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</row>
    <row r="27" spans="1:14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</row>
    <row r="28" spans="1:14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</row>
    <row r="29" spans="1:14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</row>
    <row r="30" spans="1:14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</row>
    <row r="31" spans="1:14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</row>
    <row r="32" spans="1:14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</row>
    <row r="33" spans="1:14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</row>
    <row r="34" spans="1:14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</row>
    <row r="35" spans="1:14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</row>
    <row r="36" spans="1:14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</row>
    <row r="37" spans="1:14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</row>
    <row r="38" spans="1:14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</row>
    <row r="39" spans="1:14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</row>
    <row r="40" spans="1:14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</row>
    <row r="41" spans="1:14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</row>
    <row r="42" spans="1:14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</row>
    <row r="43" spans="1:14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</row>
    <row r="44" spans="1:14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</row>
    <row r="45" spans="1:14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</row>
    <row r="46" spans="1:14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</row>
    <row r="47" spans="1:14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</row>
    <row r="48" spans="1:14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</row>
    <row r="49" spans="1:14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</row>
    <row r="50" spans="1:14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</row>
    <row r="51" spans="1:14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</row>
    <row r="52" spans="1:14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</row>
    <row r="53" spans="1:14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</row>
    <row r="54" spans="1:14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</row>
    <row r="55" spans="1:14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</row>
    <row r="56" spans="1:14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</row>
    <row r="57" spans="1:14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</row>
    <row r="58" spans="1:14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</row>
    <row r="59" spans="1:14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</row>
    <row r="60" spans="1:14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</row>
    <row r="61" spans="1:14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</row>
  </sheetData>
  <sheetProtection sheet="1" objects="1" scenarios="1"/>
  <mergeCells count="2">
    <mergeCell ref="C4:G4"/>
    <mergeCell ref="B23:I23"/>
  </mergeCells>
  <phoneticPr fontId="5"/>
  <pageMargins left="0.78700000000000003" right="0.78700000000000003" top="0.98399999999999999" bottom="0.98399999999999999" header="0.51200000000000001" footer="0.51200000000000001"/>
  <pageSetup paperSize="9" orientation="portrait" verticalDpi="12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4" enableFormatConditionsCalculation="0">
    <tabColor indexed="48"/>
  </sheetPr>
  <dimension ref="A1:J24"/>
  <sheetViews>
    <sheetView showGridLines="0" showRowColHeaders="0" showZeros="0" showOutlineSymbols="0" workbookViewId="0">
      <selection activeCell="H23" sqref="H23"/>
    </sheetView>
  </sheetViews>
  <sheetFormatPr defaultRowHeight="13.5"/>
  <sheetData>
    <row r="1" spans="1:10">
      <c r="A1" s="87"/>
      <c r="B1" s="87"/>
      <c r="C1" s="87"/>
      <c r="D1" s="87"/>
      <c r="E1" s="87"/>
      <c r="F1" s="87"/>
      <c r="G1" s="87"/>
      <c r="H1" s="87"/>
      <c r="I1" s="87"/>
      <c r="J1" s="87"/>
    </row>
    <row r="2" spans="1:10">
      <c r="A2" s="87"/>
      <c r="B2" s="87"/>
      <c r="C2" s="87"/>
      <c r="D2" s="87"/>
      <c r="E2" s="87"/>
      <c r="F2" s="87"/>
      <c r="G2" s="87"/>
      <c r="H2" s="87"/>
      <c r="I2" s="87"/>
      <c r="J2" s="998"/>
    </row>
    <row r="3" spans="1:10">
      <c r="A3" s="87"/>
      <c r="B3" s="87"/>
      <c r="C3" s="87"/>
      <c r="D3" s="87"/>
      <c r="E3" s="87"/>
      <c r="F3" s="87"/>
      <c r="G3" s="87"/>
      <c r="H3" s="87"/>
      <c r="I3" s="87"/>
      <c r="J3" s="87"/>
    </row>
    <row r="4" spans="1:10">
      <c r="A4" s="87"/>
      <c r="B4" s="88"/>
      <c r="C4" s="1117"/>
      <c r="D4" s="1117"/>
      <c r="E4" s="1117"/>
      <c r="F4" s="1117"/>
      <c r="G4" s="1117"/>
      <c r="H4" s="87"/>
      <c r="I4" s="87"/>
      <c r="J4" s="87"/>
    </row>
    <row r="5" spans="1:10">
      <c r="A5" s="87"/>
      <c r="B5" s="87"/>
      <c r="C5" s="87"/>
      <c r="D5" s="87"/>
      <c r="E5" s="87"/>
      <c r="F5" s="87"/>
      <c r="G5" s="87"/>
      <c r="H5" s="87"/>
      <c r="I5" s="87"/>
      <c r="J5" s="87"/>
    </row>
    <row r="6" spans="1:10">
      <c r="A6" s="87"/>
      <c r="B6" s="87"/>
      <c r="C6" s="87"/>
      <c r="D6" s="87"/>
      <c r="E6" s="87"/>
      <c r="F6" s="87"/>
      <c r="G6" s="87"/>
      <c r="H6" s="87"/>
      <c r="I6" s="87"/>
      <c r="J6" s="87"/>
    </row>
    <row r="7" spans="1:10">
      <c r="A7" s="87"/>
      <c r="B7" s="87"/>
      <c r="C7" s="87"/>
      <c r="D7" s="87"/>
      <c r="E7" s="87"/>
      <c r="F7" s="87"/>
      <c r="G7" s="87"/>
      <c r="H7" s="87"/>
      <c r="I7" s="87"/>
      <c r="J7" s="87"/>
    </row>
    <row r="8" spans="1:10">
      <c r="A8" s="87"/>
      <c r="B8" s="87"/>
      <c r="C8" s="87"/>
      <c r="D8" s="87"/>
      <c r="E8" s="87"/>
      <c r="F8" s="87"/>
      <c r="G8" s="87"/>
      <c r="H8" s="87"/>
      <c r="I8" s="87"/>
      <c r="J8" s="87"/>
    </row>
    <row r="9" spans="1:10">
      <c r="A9" s="87"/>
      <c r="B9" s="87"/>
      <c r="C9" s="87"/>
      <c r="D9" s="87"/>
      <c r="E9" s="87"/>
      <c r="F9" s="87"/>
      <c r="G9" s="87"/>
      <c r="H9" s="87"/>
      <c r="I9" s="87"/>
      <c r="J9" s="87"/>
    </row>
    <row r="10" spans="1:10">
      <c r="A10" s="87"/>
      <c r="B10" s="87"/>
      <c r="C10" s="87"/>
      <c r="D10" s="87"/>
      <c r="E10" s="87"/>
      <c r="F10" s="87"/>
      <c r="G10" s="87"/>
      <c r="H10" s="87"/>
      <c r="I10" s="87"/>
      <c r="J10" s="87"/>
    </row>
    <row r="11" spans="1:10">
      <c r="A11" s="87"/>
      <c r="B11" s="87"/>
      <c r="C11" s="87"/>
      <c r="D11" s="87"/>
      <c r="E11" s="87"/>
      <c r="F11" s="87"/>
      <c r="G11" s="87"/>
      <c r="H11" s="87"/>
      <c r="I11" s="87"/>
      <c r="J11" s="87"/>
    </row>
    <row r="12" spans="1:10">
      <c r="A12" s="87"/>
      <c r="B12" s="87"/>
      <c r="C12" s="87"/>
      <c r="D12" s="87"/>
      <c r="E12" s="87"/>
      <c r="F12" s="87"/>
      <c r="G12" s="87"/>
      <c r="H12" s="87"/>
      <c r="I12" s="87"/>
      <c r="J12" s="87"/>
    </row>
    <row r="13" spans="1:10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spans="1:10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spans="1:10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spans="1:10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spans="1:10">
      <c r="A17" s="87"/>
      <c r="B17" s="966"/>
      <c r="C17" s="87"/>
      <c r="D17" s="87"/>
      <c r="E17" s="87"/>
      <c r="F17" s="87"/>
      <c r="G17" s="999" t="s">
        <v>487</v>
      </c>
      <c r="H17" s="998"/>
      <c r="I17" s="87"/>
      <c r="J17" s="87"/>
    </row>
    <row r="18" spans="1:10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spans="1:10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spans="1:10">
      <c r="A20" s="87"/>
      <c r="B20" s="87"/>
      <c r="C20" s="87"/>
      <c r="D20" s="87"/>
      <c r="E20" s="87"/>
      <c r="F20" s="87"/>
      <c r="G20" s="87"/>
      <c r="H20" s="87"/>
      <c r="I20" s="87"/>
      <c r="J20" s="87"/>
    </row>
    <row r="21" spans="1:10">
      <c r="A21" s="87"/>
      <c r="B21" s="87"/>
      <c r="C21" s="87"/>
      <c r="D21" s="87"/>
      <c r="E21" s="87"/>
      <c r="F21" s="87"/>
      <c r="G21" s="87"/>
      <c r="H21" s="87"/>
      <c r="I21" s="87"/>
      <c r="J21" s="87"/>
    </row>
    <row r="22" spans="1:10">
      <c r="A22" s="87"/>
      <c r="B22" s="87"/>
      <c r="C22" s="87"/>
      <c r="D22" s="87"/>
      <c r="E22" s="87"/>
      <c r="F22" s="87"/>
      <c r="G22" s="87"/>
      <c r="H22" s="87"/>
      <c r="I22" s="87"/>
      <c r="J22" s="87"/>
    </row>
    <row r="23" spans="1:10">
      <c r="A23" s="87"/>
      <c r="B23" s="87"/>
      <c r="C23" s="1118"/>
      <c r="D23" s="1118"/>
      <c r="E23" s="1118"/>
      <c r="F23" s="87"/>
      <c r="G23" s="87"/>
      <c r="H23" s="87"/>
      <c r="I23" s="87"/>
      <c r="J23" s="87"/>
    </row>
    <row r="24" spans="1:10">
      <c r="A24" s="87"/>
      <c r="B24" s="87"/>
      <c r="C24" s="87"/>
      <c r="D24" s="87"/>
      <c r="E24" s="87"/>
      <c r="F24" s="87"/>
      <c r="G24" s="87"/>
      <c r="H24" s="87"/>
      <c r="I24" s="87"/>
      <c r="J24" s="87"/>
    </row>
  </sheetData>
  <sheetProtection sheet="1" objects="1" scenarios="1"/>
  <mergeCells count="2">
    <mergeCell ref="C4:G4"/>
    <mergeCell ref="C23:E23"/>
  </mergeCells>
  <phoneticPr fontId="5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CW130"/>
  <sheetViews>
    <sheetView showGridLines="0" showZeros="0" zoomScale="90" workbookViewId="0">
      <selection activeCell="H19" sqref="H19"/>
    </sheetView>
  </sheetViews>
  <sheetFormatPr defaultRowHeight="15" customHeight="1"/>
  <cols>
    <col min="1" max="1" width="4.125" style="14" bestFit="1" customWidth="1"/>
    <col min="2" max="2" width="9.75" style="14" bestFit="1" customWidth="1"/>
    <col min="3" max="3" width="9" style="14"/>
    <col min="4" max="4" width="8.875" style="14" customWidth="1"/>
    <col min="5" max="5" width="8.75" style="12" bestFit="1" customWidth="1"/>
    <col min="6" max="6" width="8.75" style="12" customWidth="1"/>
    <col min="7" max="7" width="14.125" style="4" customWidth="1"/>
    <col min="8" max="8" width="18.75" style="4" customWidth="1"/>
    <col min="9" max="9" width="5" style="75" bestFit="1" customWidth="1"/>
    <col min="10" max="10" width="5" style="13" bestFit="1" customWidth="1"/>
    <col min="11" max="11" width="5" style="971" customWidth="1"/>
    <col min="12" max="12" width="3.375" style="971" bestFit="1" customWidth="1"/>
    <col min="13" max="13" width="2.625" style="971" customWidth="1"/>
    <col min="14" max="14" width="8.875" style="13" hidden="1" customWidth="1"/>
    <col min="15" max="15" width="8.5" style="4" hidden="1" customWidth="1"/>
    <col min="16" max="16" width="9.125" style="76" hidden="1" customWidth="1"/>
    <col min="17" max="17" width="6.75" style="77" hidden="1" customWidth="1"/>
    <col min="18" max="18" width="8.625" style="1036" hidden="1" customWidth="1"/>
    <col min="19" max="19" width="6.375" style="5" hidden="1" customWidth="1"/>
    <col min="20" max="20" width="8.375" style="5" hidden="1" customWidth="1"/>
    <col min="21" max="21" width="7" style="14" hidden="1" customWidth="1"/>
    <col min="22" max="22" width="6.5" style="81" hidden="1" customWidth="1"/>
    <col min="23" max="23" width="7.625" style="14" hidden="1" customWidth="1"/>
    <col min="24" max="24" width="8" style="14" hidden="1" customWidth="1"/>
    <col min="25" max="25" width="10.375" style="14" hidden="1" customWidth="1"/>
    <col min="26" max="26" width="8.25" style="10" hidden="1" customWidth="1"/>
    <col min="27" max="27" width="9.125" style="14" hidden="1" customWidth="1"/>
    <col min="28" max="28" width="7.625" style="14" hidden="1" customWidth="1"/>
    <col min="29" max="29" width="6.75" style="14" hidden="1" customWidth="1"/>
    <col min="30" max="30" width="7.125" style="14" hidden="1" customWidth="1"/>
    <col min="31" max="31" width="6.75" style="14" hidden="1" customWidth="1"/>
    <col min="32" max="32" width="6.375" style="14" hidden="1" customWidth="1"/>
    <col min="33" max="33" width="3.375" style="14" hidden="1" customWidth="1"/>
    <col min="34" max="34" width="5.75" style="14" customWidth="1"/>
    <col min="35" max="36" width="5.875" style="14" bestFit="1" customWidth="1"/>
    <col min="37" max="39" width="7.5" style="14" bestFit="1" customWidth="1"/>
    <col min="40" max="40" width="7.5" style="14" customWidth="1"/>
    <col min="41" max="41" width="5.875" style="14" customWidth="1"/>
    <col min="42" max="42" width="5.75" style="14" customWidth="1"/>
    <col min="43" max="44" width="6.25" style="14" bestFit="1" customWidth="1"/>
    <col min="45" max="48" width="6.25" style="14" customWidth="1"/>
    <col min="49" max="49" width="6" style="14" customWidth="1"/>
    <col min="50" max="50" width="0.125" style="14" hidden="1" customWidth="1"/>
    <col min="51" max="51" width="7.875" style="548" hidden="1" customWidth="1"/>
    <col min="52" max="52" width="9.625" style="548" hidden="1" customWidth="1"/>
    <col min="53" max="53" width="7.75" style="548" hidden="1" customWidth="1"/>
    <col min="54" max="54" width="9" style="548" hidden="1" customWidth="1"/>
    <col min="55" max="55" width="9.75" style="548" hidden="1" customWidth="1"/>
    <col min="56" max="56" width="9.125" style="548" hidden="1" customWidth="1"/>
    <col min="57" max="57" width="9.875" style="548" hidden="1" customWidth="1"/>
    <col min="58" max="58" width="8.875" style="548" hidden="1" customWidth="1"/>
    <col min="59" max="59" width="7.625" style="548" hidden="1" customWidth="1"/>
    <col min="60" max="60" width="7.125" style="548" hidden="1" customWidth="1"/>
    <col min="61" max="61" width="9" style="548" hidden="1" customWidth="1"/>
    <col min="62" max="62" width="7" style="548" hidden="1" customWidth="1"/>
    <col min="63" max="63" width="7.75" style="548" hidden="1" customWidth="1"/>
    <col min="64" max="64" width="9.625" style="548" hidden="1" customWidth="1"/>
    <col min="65" max="65" width="10.125" style="548" hidden="1" customWidth="1"/>
    <col min="66" max="66" width="9.625" style="548" hidden="1" customWidth="1"/>
    <col min="67" max="67" width="9.875" style="548" hidden="1" customWidth="1"/>
    <col min="68" max="68" width="8.5" style="548" hidden="1" customWidth="1"/>
    <col min="69" max="69" width="9.875" style="548" hidden="1" customWidth="1"/>
    <col min="70" max="70" width="10.875" style="548" hidden="1" customWidth="1"/>
    <col min="71" max="71" width="7.75" style="548" hidden="1" customWidth="1"/>
    <col min="72" max="72" width="6.125" style="548" hidden="1" customWidth="1"/>
    <col min="73" max="73" width="7.25" style="548" hidden="1" customWidth="1"/>
    <col min="74" max="75" width="7.875" style="548" hidden="1" customWidth="1"/>
    <col min="76" max="76" width="9" style="548" hidden="1" customWidth="1"/>
    <col min="77" max="77" width="6.375" style="548" hidden="1" customWidth="1"/>
    <col min="78" max="78" width="8.625" style="548" hidden="1" customWidth="1"/>
    <col min="79" max="79" width="8.75" style="548" hidden="1" customWidth="1"/>
    <col min="80" max="80" width="5.375" style="548" hidden="1" customWidth="1"/>
    <col min="81" max="83" width="11" style="548" hidden="1" customWidth="1"/>
    <col min="84" max="84" width="12.375" style="548" hidden="1" customWidth="1"/>
    <col min="85" max="85" width="11.875" style="14" hidden="1" customWidth="1"/>
    <col min="86" max="86" width="8.5" style="529" hidden="1" customWidth="1"/>
    <col min="87" max="87" width="3.625" style="529" hidden="1" customWidth="1"/>
    <col min="88" max="88" width="7.5" style="529" hidden="1" customWidth="1"/>
    <col min="89" max="89" width="6.625" style="529" hidden="1" customWidth="1"/>
    <col min="90" max="90" width="7.5" style="529" hidden="1" customWidth="1"/>
    <col min="91" max="91" width="11.875" style="528" hidden="1" customWidth="1"/>
    <col min="92" max="92" width="5.25" style="14" hidden="1" customWidth="1"/>
    <col min="93" max="93" width="5.75" style="497" hidden="1" customWidth="1"/>
    <col min="94" max="94" width="8.5" style="497" hidden="1" customWidth="1"/>
    <col min="95" max="95" width="15.5" style="906" hidden="1" customWidth="1"/>
    <col min="96" max="96" width="16.75" style="935" hidden="1" customWidth="1"/>
    <col min="97" max="97" width="14.875" style="935" hidden="1" customWidth="1"/>
    <col min="98" max="98" width="13.375" style="14" hidden="1" customWidth="1"/>
    <col min="99" max="99" width="11.625" style="14" hidden="1" customWidth="1"/>
    <col min="100" max="100" width="5.875" style="14" hidden="1" customWidth="1"/>
    <col min="101" max="101" width="9" style="14" hidden="1" customWidth="1"/>
    <col min="102" max="16384" width="9" style="14"/>
  </cols>
  <sheetData>
    <row r="1" spans="1:101" ht="58.5" customHeight="1" thickBot="1">
      <c r="A1" s="1120" t="s">
        <v>208</v>
      </c>
      <c r="B1" s="1121"/>
      <c r="C1" s="1122"/>
      <c r="D1" s="1123"/>
      <c r="E1" s="1124"/>
      <c r="F1" s="972" t="s">
        <v>498</v>
      </c>
      <c r="G1" s="973"/>
      <c r="H1" s="870" t="s">
        <v>449</v>
      </c>
      <c r="I1" s="1125"/>
      <c r="J1" s="1126"/>
      <c r="K1" s="1126"/>
      <c r="L1" s="1127"/>
      <c r="M1" s="967"/>
      <c r="N1" s="868"/>
      <c r="O1" s="875"/>
      <c r="P1" s="875"/>
      <c r="Q1" s="869"/>
      <c r="V1" s="872"/>
      <c r="W1" s="871"/>
      <c r="X1" s="871"/>
      <c r="Y1" s="871"/>
      <c r="Z1" s="873"/>
      <c r="AA1" s="871"/>
      <c r="AB1" s="874"/>
      <c r="AC1" s="874"/>
      <c r="AD1" s="871"/>
      <c r="AE1" s="871"/>
      <c r="AF1" s="871"/>
      <c r="AG1" s="402" t="s">
        <v>227</v>
      </c>
      <c r="AH1" s="402"/>
      <c r="AI1" s="402"/>
      <c r="AJ1" s="402"/>
      <c r="AK1" s="402"/>
      <c r="AL1" s="402"/>
      <c r="AM1" s="402"/>
      <c r="AN1" s="871"/>
      <c r="AO1" s="871"/>
      <c r="AP1" s="871"/>
      <c r="AQ1" s="871"/>
      <c r="AR1" s="871"/>
      <c r="AS1" s="871"/>
      <c r="AT1" s="871"/>
      <c r="AU1" s="871"/>
      <c r="AV1" s="871"/>
      <c r="AW1" s="871"/>
      <c r="AX1" s="871"/>
    </row>
    <row r="2" spans="1:101" s="5" customFormat="1" ht="18.75" customHeight="1">
      <c r="A2" s="876"/>
      <c r="B2" s="949" t="s">
        <v>463</v>
      </c>
      <c r="C2" s="1128" t="s">
        <v>302</v>
      </c>
      <c r="D2" s="1130" t="s">
        <v>464</v>
      </c>
      <c r="E2" s="1131"/>
      <c r="F2" s="1132" t="s">
        <v>465</v>
      </c>
      <c r="G2" s="950" t="s">
        <v>283</v>
      </c>
      <c r="H2" s="950" t="s">
        <v>284</v>
      </c>
      <c r="I2" s="1134" t="s">
        <v>37</v>
      </c>
      <c r="J2" s="1136" t="s">
        <v>360</v>
      </c>
      <c r="K2" s="1138" t="s">
        <v>467</v>
      </c>
      <c r="L2" s="1138"/>
      <c r="M2" s="1139"/>
      <c r="N2" s="615"/>
      <c r="O2" s="904" t="s">
        <v>15</v>
      </c>
      <c r="P2" s="905" t="s">
        <v>18</v>
      </c>
      <c r="Q2" s="1030" t="s">
        <v>11</v>
      </c>
      <c r="R2" s="1119"/>
      <c r="S2" s="1119"/>
      <c r="T2" s="1119"/>
      <c r="V2" s="80"/>
      <c r="X2" s="402"/>
      <c r="Y2" s="402"/>
      <c r="Z2" s="402"/>
      <c r="AA2" s="402"/>
      <c r="AB2" s="403"/>
      <c r="AC2" s="403"/>
      <c r="AD2" s="402"/>
      <c r="AE2" s="402"/>
      <c r="AF2" s="402"/>
      <c r="AG2" s="5" t="s">
        <v>228</v>
      </c>
      <c r="AH2" s="503" t="s">
        <v>408</v>
      </c>
      <c r="AI2" s="504"/>
      <c r="AJ2" s="504"/>
      <c r="AK2" s="504"/>
      <c r="AL2" s="504"/>
      <c r="AM2" s="504"/>
      <c r="AN2" s="504"/>
      <c r="AO2" s="504"/>
      <c r="AP2" s="504"/>
      <c r="AQ2" s="504"/>
      <c r="AR2" s="504"/>
      <c r="AS2" s="504"/>
      <c r="AT2" s="504"/>
      <c r="AU2" s="504"/>
      <c r="AV2" s="504"/>
      <c r="AW2" s="1081"/>
      <c r="AX2" s="606" t="s">
        <v>399</v>
      </c>
      <c r="AY2" s="549"/>
      <c r="AZ2" s="549"/>
      <c r="BA2" s="549"/>
      <c r="BB2" s="549"/>
      <c r="BC2" s="551"/>
      <c r="BD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E2" s="551"/>
      <c r="CF2" s="551"/>
      <c r="CH2" s="529"/>
      <c r="CI2" s="529"/>
      <c r="CJ2" s="529"/>
      <c r="CK2" s="529"/>
      <c r="CL2" s="529"/>
      <c r="CM2" s="528"/>
      <c r="CO2" s="888"/>
      <c r="CP2" s="888"/>
      <c r="CQ2" s="906"/>
      <c r="CR2" s="935"/>
      <c r="CS2" s="935"/>
    </row>
    <row r="3" spans="1:101" s="5" customFormat="1" ht="29.25" customHeight="1" thickBot="1">
      <c r="A3" s="1053"/>
      <c r="B3" s="931" t="s">
        <v>468</v>
      </c>
      <c r="C3" s="1129"/>
      <c r="D3" s="1230" t="s">
        <v>553</v>
      </c>
      <c r="E3" s="932" t="s">
        <v>469</v>
      </c>
      <c r="F3" s="1133"/>
      <c r="G3" s="933" t="s">
        <v>470</v>
      </c>
      <c r="H3" s="934" t="s">
        <v>471</v>
      </c>
      <c r="I3" s="1135"/>
      <c r="J3" s="1137"/>
      <c r="K3" s="968" t="s">
        <v>472</v>
      </c>
      <c r="L3" s="969" t="s">
        <v>195</v>
      </c>
      <c r="M3" s="970" t="s">
        <v>196</v>
      </c>
      <c r="N3" s="616"/>
      <c r="O3" s="574" t="s">
        <v>235</v>
      </c>
      <c r="P3" s="404"/>
      <c r="Q3" s="1031" t="s">
        <v>235</v>
      </c>
      <c r="R3" s="1036"/>
      <c r="V3" s="15"/>
      <c r="X3" s="402"/>
      <c r="Y3" s="402"/>
      <c r="Z3" s="402"/>
      <c r="AA3" s="402"/>
      <c r="AB3" s="403"/>
      <c r="AC3" s="403"/>
      <c r="AD3" s="402"/>
      <c r="AE3" s="402"/>
      <c r="AF3" s="402"/>
      <c r="AH3" s="580">
        <v>100</v>
      </c>
      <c r="AI3" s="581">
        <v>200</v>
      </c>
      <c r="AJ3" s="581">
        <v>400</v>
      </c>
      <c r="AK3" s="582">
        <v>800</v>
      </c>
      <c r="AL3" s="582">
        <v>1500</v>
      </c>
      <c r="AM3" s="582">
        <v>2000</v>
      </c>
      <c r="AN3" s="582">
        <v>3000</v>
      </c>
      <c r="AO3" s="582" t="s">
        <v>362</v>
      </c>
      <c r="AP3" s="582" t="s">
        <v>364</v>
      </c>
      <c r="AQ3" s="582" t="s">
        <v>372</v>
      </c>
      <c r="AR3" s="582" t="s">
        <v>366</v>
      </c>
      <c r="AS3" s="582" t="s">
        <v>367</v>
      </c>
      <c r="AT3" s="582" t="s">
        <v>368</v>
      </c>
      <c r="AU3" s="582" t="s">
        <v>369</v>
      </c>
      <c r="AV3" s="582" t="s">
        <v>370</v>
      </c>
      <c r="AW3" s="1082" t="s">
        <v>371</v>
      </c>
      <c r="AX3" s="1011" t="s">
        <v>398</v>
      </c>
      <c r="AY3" s="584" t="s">
        <v>363</v>
      </c>
      <c r="AZ3" s="583" t="s">
        <v>373</v>
      </c>
      <c r="BA3" s="583" t="s">
        <v>374</v>
      </c>
      <c r="BB3" s="583" t="s">
        <v>365</v>
      </c>
      <c r="BC3" s="584" t="s">
        <v>376</v>
      </c>
      <c r="BD3" s="583" t="s">
        <v>377</v>
      </c>
      <c r="BE3" s="583" t="s">
        <v>378</v>
      </c>
      <c r="BF3" s="583" t="s">
        <v>379</v>
      </c>
      <c r="BG3" s="583" t="s">
        <v>380</v>
      </c>
      <c r="BH3" s="583" t="s">
        <v>382</v>
      </c>
      <c r="BI3" s="583" t="s">
        <v>383</v>
      </c>
      <c r="BJ3" s="583" t="s">
        <v>384</v>
      </c>
      <c r="BK3" s="583" t="s">
        <v>385</v>
      </c>
      <c r="BL3" s="583" t="s">
        <v>386</v>
      </c>
      <c r="BM3" s="583" t="s">
        <v>387</v>
      </c>
      <c r="BN3" s="583" t="s">
        <v>388</v>
      </c>
      <c r="BO3" s="583" t="s">
        <v>462</v>
      </c>
      <c r="BP3" s="583" t="s">
        <v>389</v>
      </c>
      <c r="BQ3" s="583" t="s">
        <v>390</v>
      </c>
      <c r="BR3" s="583" t="s">
        <v>391</v>
      </c>
      <c r="BS3" s="583" t="s">
        <v>392</v>
      </c>
      <c r="BT3" s="583" t="s">
        <v>393</v>
      </c>
      <c r="BU3" s="583" t="s">
        <v>394</v>
      </c>
      <c r="BV3" s="583" t="s">
        <v>423</v>
      </c>
      <c r="BW3" s="583" t="s">
        <v>395</v>
      </c>
      <c r="BX3" s="583" t="s">
        <v>381</v>
      </c>
      <c r="BY3" s="583" t="s">
        <v>422</v>
      </c>
      <c r="BZ3" s="583"/>
      <c r="CA3" s="583" t="s">
        <v>396</v>
      </c>
      <c r="CB3" s="583"/>
      <c r="CC3" s="583" t="s">
        <v>397</v>
      </c>
      <c r="CD3" s="585" t="s">
        <v>397</v>
      </c>
      <c r="CE3" s="585" t="s">
        <v>407</v>
      </c>
      <c r="CF3" s="575" t="s">
        <v>452</v>
      </c>
      <c r="CG3" s="5" t="s">
        <v>414</v>
      </c>
      <c r="CH3" s="530" t="s">
        <v>401</v>
      </c>
      <c r="CI3" s="530" t="s">
        <v>402</v>
      </c>
      <c r="CJ3" s="530" t="s">
        <v>403</v>
      </c>
      <c r="CK3" s="530" t="s">
        <v>404</v>
      </c>
      <c r="CL3" s="530" t="s">
        <v>403</v>
      </c>
      <c r="CM3" s="82"/>
      <c r="CN3" s="491"/>
      <c r="CO3" s="888"/>
      <c r="CP3" s="888"/>
      <c r="CQ3" s="906"/>
      <c r="CR3" s="935"/>
      <c r="CS3" s="935"/>
    </row>
    <row r="4" spans="1:101" ht="15" customHeight="1">
      <c r="A4" s="1063">
        <v>1</v>
      </c>
      <c r="B4" s="1064"/>
      <c r="C4" s="1065" t="str">
        <f>IF($G$1="","",VLOOKUP($G$1,$CQ:$CR,2,0))</f>
        <v/>
      </c>
      <c r="D4" s="1231"/>
      <c r="E4" s="1066"/>
      <c r="F4" s="1067"/>
      <c r="G4" s="1067"/>
      <c r="H4" s="1068"/>
      <c r="I4" s="1069"/>
      <c r="J4" s="1070"/>
      <c r="K4" s="1071"/>
      <c r="L4" s="1071"/>
      <c r="M4" s="1072"/>
      <c r="N4" s="946" t="str">
        <f>CU4</f>
        <v>00</v>
      </c>
      <c r="O4" s="994">
        <f>G1</f>
        <v>0</v>
      </c>
      <c r="P4" s="405" t="e">
        <f>IF(O4="","",VLOOKUP(O4,所属コード!$A$2:$E$69,2,FALSE))</f>
        <v>#N/A</v>
      </c>
      <c r="Q4" s="1032" t="e">
        <f>IF(O4="","",VLOOKUP(O4,所属コード!$A$2:$G$11,7,FALSE))</f>
        <v>#N/A</v>
      </c>
      <c r="R4" s="1035"/>
      <c r="S4" s="77"/>
      <c r="T4" s="77"/>
      <c r="U4" s="77"/>
      <c r="V4" s="15"/>
      <c r="X4" s="487"/>
      <c r="Y4" s="945" t="str">
        <f>IF(J4="","",IF(J4="男",1,2))</f>
        <v/>
      </c>
      <c r="Z4" s="489" t="str">
        <f>ASC(H4)</f>
        <v/>
      </c>
      <c r="AA4" s="488" t="s">
        <v>227</v>
      </c>
      <c r="AB4" s="490"/>
      <c r="AC4" s="490"/>
      <c r="AD4" s="488"/>
      <c r="AE4" s="488"/>
      <c r="AF4" s="488"/>
      <c r="AG4" s="491"/>
      <c r="AH4" s="586"/>
      <c r="AI4" s="587"/>
      <c r="AJ4" s="587"/>
      <c r="AK4" s="587"/>
      <c r="AL4" s="587"/>
      <c r="AM4" s="587"/>
      <c r="AN4" s="587"/>
      <c r="AO4" s="587"/>
      <c r="AP4" s="587"/>
      <c r="AQ4" s="587"/>
      <c r="AR4" s="587"/>
      <c r="AS4" s="587"/>
      <c r="AT4" s="587"/>
      <c r="AU4" s="587"/>
      <c r="AV4" s="587"/>
      <c r="AW4" s="1083"/>
      <c r="AX4" s="608">
        <f>AQ4</f>
        <v>0</v>
      </c>
      <c r="AY4" s="601">
        <f t="shared" ref="AY4:AY67" si="0">AO4</f>
        <v>0</v>
      </c>
      <c r="AZ4" s="588">
        <f t="shared" ref="AZ4:AZ67" si="1">AO4</f>
        <v>0</v>
      </c>
      <c r="BA4" s="589">
        <f t="shared" ref="BA4:BB35" si="2">AO4</f>
        <v>0</v>
      </c>
      <c r="BB4" s="588">
        <f t="shared" si="2"/>
        <v>0</v>
      </c>
      <c r="BC4" s="588">
        <f>AH4</f>
        <v>0</v>
      </c>
      <c r="BD4" s="588">
        <f>AL4</f>
        <v>0</v>
      </c>
      <c r="BE4" s="588">
        <f>AH4</f>
        <v>0</v>
      </c>
      <c r="BF4" s="588">
        <f>AL4</f>
        <v>0</v>
      </c>
      <c r="BG4" s="588">
        <f>AK4</f>
        <v>0</v>
      </c>
      <c r="BH4" s="588">
        <f>AH4</f>
        <v>0</v>
      </c>
      <c r="BI4" s="588">
        <f>AI4</f>
        <v>0</v>
      </c>
      <c r="BJ4" s="588">
        <f>AN4</f>
        <v>0</v>
      </c>
      <c r="BK4" s="588">
        <f>AO4</f>
        <v>0</v>
      </c>
      <c r="BL4" s="588">
        <f>AQ4</f>
        <v>0</v>
      </c>
      <c r="BM4" s="588">
        <f>AU4</f>
        <v>0</v>
      </c>
      <c r="BN4" s="588">
        <f>AV4</f>
        <v>0</v>
      </c>
      <c r="BO4" s="588">
        <f>AW4</f>
        <v>0</v>
      </c>
      <c r="BP4" s="588">
        <f>AP4</f>
        <v>0</v>
      </c>
      <c r="BQ4" s="588">
        <f>AH4</f>
        <v>0</v>
      </c>
      <c r="BR4" s="588">
        <f>AL4</f>
        <v>0</v>
      </c>
      <c r="BS4" s="588">
        <f>AO4</f>
        <v>0</v>
      </c>
      <c r="BT4" s="588">
        <f>AS4</f>
        <v>0</v>
      </c>
      <c r="BU4" s="588">
        <f>AP4</f>
        <v>0</v>
      </c>
      <c r="BV4" s="588">
        <f>AK4</f>
        <v>0</v>
      </c>
      <c r="BW4" s="588">
        <f>AU4</f>
        <v>0</v>
      </c>
      <c r="BX4" s="588">
        <f>AH4</f>
        <v>0</v>
      </c>
      <c r="BY4" s="588">
        <f>AL4</f>
        <v>0</v>
      </c>
      <c r="BZ4" s="588">
        <f>AP4</f>
        <v>0</v>
      </c>
      <c r="CA4" s="588">
        <f>AS4</f>
        <v>0</v>
      </c>
      <c r="CB4" s="588">
        <f>AU4</f>
        <v>0</v>
      </c>
      <c r="CC4" s="588">
        <f>AN4</f>
        <v>0</v>
      </c>
      <c r="CD4" s="588">
        <f>AM4</f>
        <v>0</v>
      </c>
      <c r="CE4" s="588">
        <f>AN4</f>
        <v>0</v>
      </c>
      <c r="CF4" s="590">
        <f>AU4</f>
        <v>0</v>
      </c>
      <c r="CG4" s="555" t="str">
        <f>TRIM(G4)</f>
        <v/>
      </c>
      <c r="CH4" s="530" t="str">
        <f>IF(CG4="","",LEN(CG4))</f>
        <v/>
      </c>
      <c r="CI4" s="530" t="str">
        <f>IF(CG4="","",FIND("　",CG4,1))</f>
        <v/>
      </c>
      <c r="CJ4" s="530" t="str">
        <f>IF(CG4="","",CH4-CI4)</f>
        <v/>
      </c>
      <c r="CK4" s="530" t="str">
        <f>IF(CG4="","",LEFT(CG4,CI4-1))</f>
        <v/>
      </c>
      <c r="CL4" s="530" t="str">
        <f>IF(CG4="","",RIGHT(CG4,CJ4))</f>
        <v/>
      </c>
      <c r="CM4" s="82" t="str">
        <f>IF(CG4="","",IF(CH4=4,CONCATENATE(CK4,"　","　",CL4),IF(CH4=6,CONCATENATE(CK4,CL4),CG4)))</f>
        <v/>
      </c>
      <c r="CN4" s="496" t="str">
        <f t="shared" ref="CN4:CN67" si="3">IF(I4="3",3,IF(I4="2",2,IF(I4="1",1,IF(I4=1,1,IF(I4=2,2,IF(I4=3,3,""))))))</f>
        <v/>
      </c>
      <c r="CO4" s="496" t="str">
        <f>IF(M4&lt;10,CONCATENATE(0,M4),M4)</f>
        <v>0</v>
      </c>
      <c r="CP4" s="491">
        <f>K4</f>
        <v>0</v>
      </c>
      <c r="CQ4" s="1010" t="s">
        <v>502</v>
      </c>
      <c r="CR4" s="1010">
        <v>239126</v>
      </c>
      <c r="CS4" s="496">
        <f>IF(L4=1,"01",IF(L4=2,"02",IF(L4=3,"03",IF(L4=4,"04",IF(L4=5,"05",IF(L4=6,"06",IF(L4=7,"07",IF(L4=8,"08",IF(L4=9,"09",L4)))))))))</f>
        <v>0</v>
      </c>
      <c r="CT4" s="496">
        <f>IF(M4=1,"01",IF(M4=2,"02",IF(M4=3,"03",IF(M4=4,"04",IF(M4=5,"05",IF(M4=6,"06",IF(M4=7,"07",IF(M4=8,"08",IF(M4=9,"09",M4)))))))))</f>
        <v>0</v>
      </c>
      <c r="CU4" s="497" t="str">
        <f>CONCATENATE(CS4,CT4)</f>
        <v>00</v>
      </c>
      <c r="CV4" s="497"/>
      <c r="CW4" s="497"/>
    </row>
    <row r="5" spans="1:101" ht="15" customHeight="1">
      <c r="A5" s="1073">
        <v>2</v>
      </c>
      <c r="B5" s="922"/>
      <c r="C5" s="924" t="str">
        <f t="shared" ref="C5:C33" si="4">IF($G$1="","",VLOOKUP($G$1,$CQ:$CR,2,0))</f>
        <v/>
      </c>
      <c r="D5" s="1232"/>
      <c r="E5" s="925"/>
      <c r="F5" s="926"/>
      <c r="G5" s="926"/>
      <c r="H5" s="927"/>
      <c r="I5" s="928"/>
      <c r="J5" s="929"/>
      <c r="K5" s="1012"/>
      <c r="L5" s="1012"/>
      <c r="M5" s="1017"/>
      <c r="N5" s="947" t="str">
        <f t="shared" ref="N5:N68" si="5">CU5</f>
        <v>00</v>
      </c>
      <c r="O5" s="406" t="str">
        <f>IF(G5="","",$O$4)</f>
        <v/>
      </c>
      <c r="P5" s="407" t="str">
        <f>IF(G5="","",$P$4)</f>
        <v/>
      </c>
      <c r="Q5" s="1033" t="str">
        <f>IF(G5="","",$Q$4)</f>
        <v/>
      </c>
      <c r="R5" s="1035"/>
      <c r="S5" s="77"/>
      <c r="T5" s="77"/>
      <c r="U5" s="77"/>
      <c r="V5" s="15"/>
      <c r="X5" s="492"/>
      <c r="Y5" s="945" t="str">
        <f t="shared" ref="Y5:Y68" si="6">IF(J5="","",IF(J5="男",1,2))</f>
        <v/>
      </c>
      <c r="Z5" s="489" t="str">
        <f t="shared" ref="Z5:Z68" si="7">ASC(H5)</f>
        <v/>
      </c>
      <c r="AA5" s="488" t="s">
        <v>228</v>
      </c>
      <c r="AB5" s="488"/>
      <c r="AC5" s="488"/>
      <c r="AD5" s="488"/>
      <c r="AE5" s="488"/>
      <c r="AF5" s="488"/>
      <c r="AG5" s="491"/>
      <c r="AH5" s="591"/>
      <c r="AI5" s="592"/>
      <c r="AJ5" s="592"/>
      <c r="AK5" s="592"/>
      <c r="AL5" s="592"/>
      <c r="AM5" s="592"/>
      <c r="AN5" s="592"/>
      <c r="AO5" s="592"/>
      <c r="AP5" s="592"/>
      <c r="AQ5" s="592"/>
      <c r="AR5" s="592"/>
      <c r="AS5" s="592"/>
      <c r="AT5" s="592"/>
      <c r="AU5" s="592"/>
      <c r="AV5" s="592"/>
      <c r="AW5" s="1084"/>
      <c r="AX5" s="609">
        <f t="shared" ref="AX5:AX68" si="8">AQ5</f>
        <v>0</v>
      </c>
      <c r="AY5" s="602">
        <f t="shared" si="0"/>
        <v>0</v>
      </c>
      <c r="AZ5" s="593">
        <f t="shared" si="1"/>
        <v>0</v>
      </c>
      <c r="BA5" s="594">
        <f t="shared" si="2"/>
        <v>0</v>
      </c>
      <c r="BB5" s="593">
        <f t="shared" si="2"/>
        <v>0</v>
      </c>
      <c r="BC5" s="593">
        <f t="shared" ref="BC5:BC68" si="9">AH5</f>
        <v>0</v>
      </c>
      <c r="BD5" s="593">
        <f t="shared" ref="BD5:BD68" si="10">AL5</f>
        <v>0</v>
      </c>
      <c r="BE5" s="593">
        <f t="shared" ref="BE5:BE68" si="11">AH5</f>
        <v>0</v>
      </c>
      <c r="BF5" s="593">
        <f t="shared" ref="BF5:BF68" si="12">AL5</f>
        <v>0</v>
      </c>
      <c r="BG5" s="593">
        <f t="shared" ref="BG5:BG68" si="13">AK5</f>
        <v>0</v>
      </c>
      <c r="BH5" s="593">
        <f t="shared" ref="BH5:BI68" si="14">AH5</f>
        <v>0</v>
      </c>
      <c r="BI5" s="593">
        <f t="shared" si="14"/>
        <v>0</v>
      </c>
      <c r="BJ5" s="593">
        <f t="shared" ref="BJ5:BK68" si="15">AN5</f>
        <v>0</v>
      </c>
      <c r="BK5" s="593">
        <f t="shared" si="15"/>
        <v>0</v>
      </c>
      <c r="BL5" s="593">
        <f t="shared" ref="BL5:BL68" si="16">AQ5</f>
        <v>0</v>
      </c>
      <c r="BM5" s="593">
        <f t="shared" ref="BM5:BO68" si="17">AU5</f>
        <v>0</v>
      </c>
      <c r="BN5" s="593">
        <f t="shared" si="17"/>
        <v>0</v>
      </c>
      <c r="BO5" s="593">
        <f t="shared" si="17"/>
        <v>0</v>
      </c>
      <c r="BP5" s="593">
        <f t="shared" ref="BP5:BP68" si="18">AP5</f>
        <v>0</v>
      </c>
      <c r="BQ5" s="593">
        <f t="shared" ref="BQ5:BQ68" si="19">AH5</f>
        <v>0</v>
      </c>
      <c r="BR5" s="593">
        <f t="shared" ref="BR5:BR68" si="20">AL5</f>
        <v>0</v>
      </c>
      <c r="BS5" s="593">
        <f t="shared" ref="BS5:BS68" si="21">AO5</f>
        <v>0</v>
      </c>
      <c r="BT5" s="593">
        <f t="shared" ref="BT5:BT68" si="22">AS5</f>
        <v>0</v>
      </c>
      <c r="BU5" s="593">
        <f t="shared" ref="BU5:BU68" si="23">AP5</f>
        <v>0</v>
      </c>
      <c r="BV5" s="593">
        <f t="shared" ref="BV5:BV68" si="24">AK5</f>
        <v>0</v>
      </c>
      <c r="BW5" s="593">
        <f t="shared" ref="BW5:BW68" si="25">AU5</f>
        <v>0</v>
      </c>
      <c r="BX5" s="593">
        <f t="shared" ref="BX5:BX68" si="26">AH5</f>
        <v>0</v>
      </c>
      <c r="BY5" s="593">
        <f t="shared" ref="BY5:BY68" si="27">AL5</f>
        <v>0</v>
      </c>
      <c r="BZ5" s="593">
        <f t="shared" ref="BZ5:BZ68" si="28">AP5</f>
        <v>0</v>
      </c>
      <c r="CA5" s="593">
        <f t="shared" ref="CA5:CA68" si="29">AS5</f>
        <v>0</v>
      </c>
      <c r="CB5" s="593">
        <f t="shared" ref="CB5:CB68" si="30">AU5</f>
        <v>0</v>
      </c>
      <c r="CC5" s="593">
        <f t="shared" ref="CC5:CC68" si="31">AN5</f>
        <v>0</v>
      </c>
      <c r="CD5" s="593">
        <f t="shared" ref="CD5:CE68" si="32">AM5</f>
        <v>0</v>
      </c>
      <c r="CE5" s="593">
        <f t="shared" si="32"/>
        <v>0</v>
      </c>
      <c r="CF5" s="595">
        <f t="shared" ref="CF5:CF68" si="33">AU5</f>
        <v>0</v>
      </c>
      <c r="CG5" s="555" t="str">
        <f t="shared" ref="CG5:CG68" si="34">TRIM(G5)</f>
        <v/>
      </c>
      <c r="CH5" s="530" t="str">
        <f t="shared" ref="CH5:CH68" si="35">IF(CG5="","",LEN(CG5))</f>
        <v/>
      </c>
      <c r="CI5" s="530" t="str">
        <f t="shared" ref="CI5:CI68" si="36">IF(CG5="","",FIND("　",CG5,1))</f>
        <v/>
      </c>
      <c r="CJ5" s="530" t="str">
        <f t="shared" ref="CJ5:CJ68" si="37">IF(CG5="","",CH5-CI5)</f>
        <v/>
      </c>
      <c r="CK5" s="530" t="str">
        <f t="shared" ref="CK5:CK68" si="38">IF(CG5="","",LEFT(CG5,CI5-1))</f>
        <v/>
      </c>
      <c r="CL5" s="530" t="str">
        <f t="shared" ref="CL5:CL68" si="39">IF(CG5="","",RIGHT(CG5,CJ5))</f>
        <v/>
      </c>
      <c r="CM5" s="82" t="str">
        <f t="shared" ref="CM5:CM68" si="40">IF(CG5="","",IF(CH5=4,CONCATENATE(CK5,"　","　",CL5),IF(CH5=6,CONCATENATE(CK5,CL5),CG5)))</f>
        <v/>
      </c>
      <c r="CN5" s="496" t="str">
        <f t="shared" si="3"/>
        <v/>
      </c>
      <c r="CO5" s="496" t="str">
        <f t="shared" ref="CO5:CO68" si="41">IF(M5&lt;10,CONCATENATE(0,M5),M5)</f>
        <v>0</v>
      </c>
      <c r="CP5" s="491">
        <f t="shared" ref="CP5:CP68" si="42">K5</f>
        <v>0</v>
      </c>
      <c r="CQ5" s="1010" t="s">
        <v>504</v>
      </c>
      <c r="CR5" s="1010">
        <v>230082</v>
      </c>
      <c r="CS5" s="496">
        <f t="shared" ref="CS5:CS68" si="43">IF(L5=1,"01",IF(L5=2,"02",IF(L5=3,"03",IF(L5=4,"04",IF(L5=5,"05",IF(L5=6,"06",IF(L5=7,"07",IF(L5=8,"08",IF(L5=9,"09",L5)))))))))</f>
        <v>0</v>
      </c>
      <c r="CT5" s="496">
        <f t="shared" ref="CT5:CT68" si="44">IF(M5=1,"01",IF(M5=2,"02",IF(M5=3,"03",IF(M5=4,"04",IF(M5=5,"05",IF(M5=6,"06",IF(M5=7,"07",IF(M5=8,"08",IF(M5=9,"09",M5)))))))))</f>
        <v>0</v>
      </c>
      <c r="CU5" s="497" t="str">
        <f t="shared" ref="CU5:CU68" si="45">CONCATENATE(CS5,CT5)</f>
        <v>00</v>
      </c>
      <c r="CV5" s="497"/>
      <c r="CW5" s="497"/>
    </row>
    <row r="6" spans="1:101" ht="15" customHeight="1">
      <c r="A6" s="1073">
        <v>3</v>
      </c>
      <c r="B6" s="922"/>
      <c r="C6" s="924" t="str">
        <f t="shared" si="4"/>
        <v/>
      </c>
      <c r="D6" s="1232"/>
      <c r="E6" s="925"/>
      <c r="F6" s="926"/>
      <c r="G6" s="926"/>
      <c r="H6" s="927"/>
      <c r="I6" s="928"/>
      <c r="J6" s="929"/>
      <c r="K6" s="1012"/>
      <c r="L6" s="1012"/>
      <c r="M6" s="1017"/>
      <c r="N6" s="947" t="str">
        <f t="shared" si="5"/>
        <v>00</v>
      </c>
      <c r="O6" s="406" t="str">
        <f t="shared" ref="O6:O69" si="46">IF(G6="","",$O$4)</f>
        <v/>
      </c>
      <c r="P6" s="407" t="str">
        <f>IF(O6="","",VLOOKUP(O6,所属コード!$A$2:$E$11,2,FALSE))</f>
        <v/>
      </c>
      <c r="Q6" s="1033" t="str">
        <f>IF(O6="","",VLOOKUP(O6,所属コード!$A$2:$G$11,7,FALSE))</f>
        <v/>
      </c>
      <c r="R6" s="1035"/>
      <c r="S6" s="77"/>
      <c r="T6" s="77"/>
      <c r="U6" s="77"/>
      <c r="V6" s="15"/>
      <c r="X6" s="492"/>
      <c r="Y6" s="945" t="str">
        <f t="shared" si="6"/>
        <v/>
      </c>
      <c r="Z6" s="489" t="str">
        <f t="shared" si="7"/>
        <v/>
      </c>
      <c r="AA6" s="488" t="s">
        <v>490</v>
      </c>
      <c r="AB6" s="488"/>
      <c r="AC6" s="488"/>
      <c r="AD6" s="488"/>
      <c r="AE6" s="488"/>
      <c r="AF6" s="488"/>
      <c r="AG6" s="491"/>
      <c r="AH6" s="591"/>
      <c r="AI6" s="592"/>
      <c r="AJ6" s="592"/>
      <c r="AK6" s="592"/>
      <c r="AL6" s="592"/>
      <c r="AM6" s="592"/>
      <c r="AN6" s="592"/>
      <c r="AO6" s="592"/>
      <c r="AP6" s="592"/>
      <c r="AQ6" s="592"/>
      <c r="AR6" s="592"/>
      <c r="AS6" s="592"/>
      <c r="AT6" s="592"/>
      <c r="AU6" s="592"/>
      <c r="AV6" s="592"/>
      <c r="AW6" s="1084"/>
      <c r="AX6" s="609">
        <f t="shared" si="8"/>
        <v>0</v>
      </c>
      <c r="AY6" s="602">
        <f t="shared" si="0"/>
        <v>0</v>
      </c>
      <c r="AZ6" s="593">
        <f t="shared" si="1"/>
        <v>0</v>
      </c>
      <c r="BA6" s="594">
        <f t="shared" si="2"/>
        <v>0</v>
      </c>
      <c r="BB6" s="593">
        <f t="shared" si="2"/>
        <v>0</v>
      </c>
      <c r="BC6" s="593">
        <f t="shared" si="9"/>
        <v>0</v>
      </c>
      <c r="BD6" s="593">
        <f t="shared" si="10"/>
        <v>0</v>
      </c>
      <c r="BE6" s="593">
        <f t="shared" si="11"/>
        <v>0</v>
      </c>
      <c r="BF6" s="593">
        <f t="shared" si="12"/>
        <v>0</v>
      </c>
      <c r="BG6" s="593">
        <f t="shared" si="13"/>
        <v>0</v>
      </c>
      <c r="BH6" s="593">
        <f t="shared" si="14"/>
        <v>0</v>
      </c>
      <c r="BI6" s="593">
        <f t="shared" si="14"/>
        <v>0</v>
      </c>
      <c r="BJ6" s="593">
        <f t="shared" si="15"/>
        <v>0</v>
      </c>
      <c r="BK6" s="593">
        <f t="shared" si="15"/>
        <v>0</v>
      </c>
      <c r="BL6" s="593">
        <f t="shared" si="16"/>
        <v>0</v>
      </c>
      <c r="BM6" s="593">
        <f t="shared" si="17"/>
        <v>0</v>
      </c>
      <c r="BN6" s="593">
        <f t="shared" si="17"/>
        <v>0</v>
      </c>
      <c r="BO6" s="593">
        <f t="shared" si="17"/>
        <v>0</v>
      </c>
      <c r="BP6" s="593">
        <f t="shared" si="18"/>
        <v>0</v>
      </c>
      <c r="BQ6" s="593">
        <f t="shared" si="19"/>
        <v>0</v>
      </c>
      <c r="BR6" s="593">
        <f t="shared" si="20"/>
        <v>0</v>
      </c>
      <c r="BS6" s="593">
        <f t="shared" si="21"/>
        <v>0</v>
      </c>
      <c r="BT6" s="593">
        <f t="shared" si="22"/>
        <v>0</v>
      </c>
      <c r="BU6" s="593">
        <f t="shared" si="23"/>
        <v>0</v>
      </c>
      <c r="BV6" s="593">
        <f t="shared" si="24"/>
        <v>0</v>
      </c>
      <c r="BW6" s="593">
        <f t="shared" si="25"/>
        <v>0</v>
      </c>
      <c r="BX6" s="593">
        <f t="shared" si="26"/>
        <v>0</v>
      </c>
      <c r="BY6" s="593">
        <f t="shared" si="27"/>
        <v>0</v>
      </c>
      <c r="BZ6" s="593">
        <f t="shared" si="28"/>
        <v>0</v>
      </c>
      <c r="CA6" s="593">
        <f t="shared" si="29"/>
        <v>0</v>
      </c>
      <c r="CB6" s="593">
        <f t="shared" si="30"/>
        <v>0</v>
      </c>
      <c r="CC6" s="593">
        <f t="shared" si="31"/>
        <v>0</v>
      </c>
      <c r="CD6" s="593">
        <f t="shared" si="32"/>
        <v>0</v>
      </c>
      <c r="CE6" s="593">
        <f t="shared" si="32"/>
        <v>0</v>
      </c>
      <c r="CF6" s="595">
        <f t="shared" si="33"/>
        <v>0</v>
      </c>
      <c r="CG6" s="555" t="str">
        <f t="shared" si="34"/>
        <v/>
      </c>
      <c r="CH6" s="530" t="str">
        <f t="shared" si="35"/>
        <v/>
      </c>
      <c r="CI6" s="530" t="str">
        <f t="shared" si="36"/>
        <v/>
      </c>
      <c r="CJ6" s="530" t="str">
        <f t="shared" si="37"/>
        <v/>
      </c>
      <c r="CK6" s="530" t="str">
        <f t="shared" si="38"/>
        <v/>
      </c>
      <c r="CL6" s="530" t="str">
        <f t="shared" si="39"/>
        <v/>
      </c>
      <c r="CM6" s="82" t="str">
        <f t="shared" si="40"/>
        <v/>
      </c>
      <c r="CN6" s="496" t="str">
        <f t="shared" si="3"/>
        <v/>
      </c>
      <c r="CO6" s="496" t="str">
        <f t="shared" si="41"/>
        <v>0</v>
      </c>
      <c r="CP6" s="491">
        <f t="shared" si="42"/>
        <v>0</v>
      </c>
      <c r="CQ6" s="1010" t="s">
        <v>503</v>
      </c>
      <c r="CR6" s="1010">
        <v>230115</v>
      </c>
      <c r="CS6" s="496">
        <f t="shared" si="43"/>
        <v>0</v>
      </c>
      <c r="CT6" s="496">
        <f t="shared" si="44"/>
        <v>0</v>
      </c>
      <c r="CU6" s="497" t="str">
        <f t="shared" si="45"/>
        <v>00</v>
      </c>
    </row>
    <row r="7" spans="1:101" s="5" customFormat="1" ht="15" customHeight="1">
      <c r="A7" s="1073">
        <v>4</v>
      </c>
      <c r="B7" s="922"/>
      <c r="C7" s="924" t="str">
        <f t="shared" si="4"/>
        <v/>
      </c>
      <c r="D7" s="1232"/>
      <c r="E7" s="925"/>
      <c r="F7" s="926"/>
      <c r="G7" s="926"/>
      <c r="H7" s="927"/>
      <c r="I7" s="928"/>
      <c r="J7" s="929"/>
      <c r="K7" s="1012"/>
      <c r="L7" s="1012"/>
      <c r="M7" s="1017"/>
      <c r="N7" s="947" t="str">
        <f t="shared" si="5"/>
        <v>00</v>
      </c>
      <c r="O7" s="406" t="str">
        <f t="shared" si="46"/>
        <v/>
      </c>
      <c r="P7" s="407" t="str">
        <f>IF(O7="","",VLOOKUP(O7,所属コード!$A$2:$E$11,2,FALSE))</f>
        <v/>
      </c>
      <c r="Q7" s="1033" t="str">
        <f>IF(O7="","",VLOOKUP(O7,所属コード!$A$2:$G$11,7,FALSE))</f>
        <v/>
      </c>
      <c r="R7" s="1035"/>
      <c r="S7" s="77"/>
      <c r="T7" s="77"/>
      <c r="U7" s="77"/>
      <c r="V7" s="15"/>
      <c r="X7" s="492"/>
      <c r="Y7" s="945" t="str">
        <f t="shared" si="6"/>
        <v/>
      </c>
      <c r="Z7" s="489" t="str">
        <f t="shared" si="7"/>
        <v/>
      </c>
      <c r="AA7" s="488"/>
      <c r="AB7" s="488"/>
      <c r="AC7" s="488"/>
      <c r="AD7" s="488"/>
      <c r="AE7" s="488"/>
      <c r="AF7" s="488"/>
      <c r="AG7" s="491"/>
      <c r="AH7" s="591"/>
      <c r="AI7" s="592"/>
      <c r="AJ7" s="592"/>
      <c r="AK7" s="592"/>
      <c r="AL7" s="592"/>
      <c r="AM7" s="592"/>
      <c r="AN7" s="592"/>
      <c r="AO7" s="592"/>
      <c r="AP7" s="592"/>
      <c r="AQ7" s="592"/>
      <c r="AR7" s="592"/>
      <c r="AS7" s="592"/>
      <c r="AT7" s="592"/>
      <c r="AU7" s="592"/>
      <c r="AV7" s="592"/>
      <c r="AW7" s="1084"/>
      <c r="AX7" s="609">
        <f t="shared" si="8"/>
        <v>0</v>
      </c>
      <c r="AY7" s="602">
        <f t="shared" si="0"/>
        <v>0</v>
      </c>
      <c r="AZ7" s="593">
        <f t="shared" si="1"/>
        <v>0</v>
      </c>
      <c r="BA7" s="594">
        <f t="shared" si="2"/>
        <v>0</v>
      </c>
      <c r="BB7" s="593">
        <f t="shared" si="2"/>
        <v>0</v>
      </c>
      <c r="BC7" s="593">
        <f t="shared" si="9"/>
        <v>0</v>
      </c>
      <c r="BD7" s="593">
        <f t="shared" si="10"/>
        <v>0</v>
      </c>
      <c r="BE7" s="593">
        <f t="shared" si="11"/>
        <v>0</v>
      </c>
      <c r="BF7" s="593">
        <f t="shared" si="12"/>
        <v>0</v>
      </c>
      <c r="BG7" s="593">
        <f t="shared" si="13"/>
        <v>0</v>
      </c>
      <c r="BH7" s="593">
        <f t="shared" si="14"/>
        <v>0</v>
      </c>
      <c r="BI7" s="593">
        <f t="shared" si="14"/>
        <v>0</v>
      </c>
      <c r="BJ7" s="593">
        <f t="shared" si="15"/>
        <v>0</v>
      </c>
      <c r="BK7" s="593">
        <f t="shared" si="15"/>
        <v>0</v>
      </c>
      <c r="BL7" s="593">
        <f t="shared" si="16"/>
        <v>0</v>
      </c>
      <c r="BM7" s="593">
        <f t="shared" si="17"/>
        <v>0</v>
      </c>
      <c r="BN7" s="593">
        <f t="shared" si="17"/>
        <v>0</v>
      </c>
      <c r="BO7" s="593">
        <f t="shared" si="17"/>
        <v>0</v>
      </c>
      <c r="BP7" s="593">
        <f t="shared" si="18"/>
        <v>0</v>
      </c>
      <c r="BQ7" s="593">
        <f t="shared" si="19"/>
        <v>0</v>
      </c>
      <c r="BR7" s="593">
        <f t="shared" si="20"/>
        <v>0</v>
      </c>
      <c r="BS7" s="593">
        <f t="shared" si="21"/>
        <v>0</v>
      </c>
      <c r="BT7" s="593">
        <f t="shared" si="22"/>
        <v>0</v>
      </c>
      <c r="BU7" s="593">
        <f t="shared" si="23"/>
        <v>0</v>
      </c>
      <c r="BV7" s="593">
        <f t="shared" si="24"/>
        <v>0</v>
      </c>
      <c r="BW7" s="593">
        <f t="shared" si="25"/>
        <v>0</v>
      </c>
      <c r="BX7" s="593">
        <f t="shared" si="26"/>
        <v>0</v>
      </c>
      <c r="BY7" s="593">
        <f t="shared" si="27"/>
        <v>0</v>
      </c>
      <c r="BZ7" s="593">
        <f t="shared" si="28"/>
        <v>0</v>
      </c>
      <c r="CA7" s="593">
        <f t="shared" si="29"/>
        <v>0</v>
      </c>
      <c r="CB7" s="593">
        <f t="shared" si="30"/>
        <v>0</v>
      </c>
      <c r="CC7" s="593">
        <f t="shared" si="31"/>
        <v>0</v>
      </c>
      <c r="CD7" s="593">
        <f t="shared" si="32"/>
        <v>0</v>
      </c>
      <c r="CE7" s="593">
        <f t="shared" si="32"/>
        <v>0</v>
      </c>
      <c r="CF7" s="595">
        <f t="shared" si="33"/>
        <v>0</v>
      </c>
      <c r="CG7" s="555" t="str">
        <f t="shared" si="34"/>
        <v/>
      </c>
      <c r="CH7" s="530" t="str">
        <f t="shared" si="35"/>
        <v/>
      </c>
      <c r="CI7" s="530" t="str">
        <f t="shared" si="36"/>
        <v/>
      </c>
      <c r="CJ7" s="530" t="str">
        <f t="shared" si="37"/>
        <v/>
      </c>
      <c r="CK7" s="530" t="str">
        <f t="shared" si="38"/>
        <v/>
      </c>
      <c r="CL7" s="530" t="str">
        <f t="shared" si="39"/>
        <v/>
      </c>
      <c r="CM7" s="82" t="str">
        <f t="shared" si="40"/>
        <v/>
      </c>
      <c r="CN7" s="496" t="str">
        <f t="shared" si="3"/>
        <v/>
      </c>
      <c r="CO7" s="496" t="str">
        <f t="shared" si="41"/>
        <v>0</v>
      </c>
      <c r="CP7" s="491">
        <f t="shared" si="42"/>
        <v>0</v>
      </c>
      <c r="CQ7" s="1010" t="s">
        <v>550</v>
      </c>
      <c r="CR7" s="1010">
        <v>239134</v>
      </c>
      <c r="CS7" s="496">
        <f t="shared" si="43"/>
        <v>0</v>
      </c>
      <c r="CT7" s="496">
        <f t="shared" si="44"/>
        <v>0</v>
      </c>
      <c r="CU7" s="497" t="str">
        <f t="shared" si="45"/>
        <v>00</v>
      </c>
    </row>
    <row r="8" spans="1:101" s="5" customFormat="1" ht="15" customHeight="1">
      <c r="A8" s="1073">
        <v>5</v>
      </c>
      <c r="B8" s="922"/>
      <c r="C8" s="924" t="str">
        <f t="shared" si="4"/>
        <v/>
      </c>
      <c r="D8" s="1232"/>
      <c r="E8" s="925"/>
      <c r="F8" s="926"/>
      <c r="G8" s="926"/>
      <c r="H8" s="927"/>
      <c r="I8" s="928"/>
      <c r="J8" s="929"/>
      <c r="K8" s="1012"/>
      <c r="L8" s="1012"/>
      <c r="M8" s="1017"/>
      <c r="N8" s="947" t="str">
        <f t="shared" si="5"/>
        <v>00</v>
      </c>
      <c r="O8" s="406" t="str">
        <f t="shared" si="46"/>
        <v/>
      </c>
      <c r="P8" s="407" t="str">
        <f>IF(O8="","",VLOOKUP(O8,所属コード!$A$2:$E$11,2,FALSE))</f>
        <v/>
      </c>
      <c r="Q8" s="1033" t="str">
        <f>IF(O8="","",VLOOKUP(O8,所属コード!$A$2:$G$11,7,FALSE))</f>
        <v/>
      </c>
      <c r="R8" s="1035"/>
      <c r="S8" s="77"/>
      <c r="T8" s="77"/>
      <c r="U8" s="77"/>
      <c r="V8" s="15"/>
      <c r="X8" s="492"/>
      <c r="Y8" s="945" t="str">
        <f t="shared" si="6"/>
        <v/>
      </c>
      <c r="Z8" s="489" t="str">
        <f t="shared" si="7"/>
        <v/>
      </c>
      <c r="AA8" s="488"/>
      <c r="AB8" s="488"/>
      <c r="AC8" s="488"/>
      <c r="AD8" s="488"/>
      <c r="AE8" s="488"/>
      <c r="AF8" s="488"/>
      <c r="AG8" s="491"/>
      <c r="AH8" s="591"/>
      <c r="AI8" s="592"/>
      <c r="AJ8" s="592"/>
      <c r="AK8" s="592"/>
      <c r="AL8" s="592"/>
      <c r="AM8" s="592"/>
      <c r="AN8" s="592"/>
      <c r="AO8" s="592"/>
      <c r="AP8" s="592"/>
      <c r="AQ8" s="592"/>
      <c r="AR8" s="592"/>
      <c r="AS8" s="592"/>
      <c r="AT8" s="592"/>
      <c r="AU8" s="592"/>
      <c r="AV8" s="592"/>
      <c r="AW8" s="1084"/>
      <c r="AX8" s="609">
        <f t="shared" si="8"/>
        <v>0</v>
      </c>
      <c r="AY8" s="602">
        <f t="shared" si="0"/>
        <v>0</v>
      </c>
      <c r="AZ8" s="593">
        <f t="shared" si="1"/>
        <v>0</v>
      </c>
      <c r="BA8" s="594">
        <f t="shared" si="2"/>
        <v>0</v>
      </c>
      <c r="BB8" s="593">
        <f t="shared" si="2"/>
        <v>0</v>
      </c>
      <c r="BC8" s="593">
        <f t="shared" si="9"/>
        <v>0</v>
      </c>
      <c r="BD8" s="593">
        <f t="shared" si="10"/>
        <v>0</v>
      </c>
      <c r="BE8" s="593">
        <f t="shared" si="11"/>
        <v>0</v>
      </c>
      <c r="BF8" s="593">
        <f t="shared" si="12"/>
        <v>0</v>
      </c>
      <c r="BG8" s="593">
        <f t="shared" si="13"/>
        <v>0</v>
      </c>
      <c r="BH8" s="593">
        <f t="shared" si="14"/>
        <v>0</v>
      </c>
      <c r="BI8" s="593">
        <f t="shared" si="14"/>
        <v>0</v>
      </c>
      <c r="BJ8" s="593">
        <f t="shared" si="15"/>
        <v>0</v>
      </c>
      <c r="BK8" s="593">
        <f t="shared" si="15"/>
        <v>0</v>
      </c>
      <c r="BL8" s="593">
        <f t="shared" si="16"/>
        <v>0</v>
      </c>
      <c r="BM8" s="593">
        <f t="shared" si="17"/>
        <v>0</v>
      </c>
      <c r="BN8" s="593">
        <f t="shared" si="17"/>
        <v>0</v>
      </c>
      <c r="BO8" s="593">
        <f t="shared" si="17"/>
        <v>0</v>
      </c>
      <c r="BP8" s="593">
        <f t="shared" si="18"/>
        <v>0</v>
      </c>
      <c r="BQ8" s="593">
        <f t="shared" si="19"/>
        <v>0</v>
      </c>
      <c r="BR8" s="593">
        <f t="shared" si="20"/>
        <v>0</v>
      </c>
      <c r="BS8" s="593">
        <f t="shared" si="21"/>
        <v>0</v>
      </c>
      <c r="BT8" s="593">
        <f t="shared" si="22"/>
        <v>0</v>
      </c>
      <c r="BU8" s="593">
        <f t="shared" si="23"/>
        <v>0</v>
      </c>
      <c r="BV8" s="593">
        <f t="shared" si="24"/>
        <v>0</v>
      </c>
      <c r="BW8" s="593">
        <f t="shared" si="25"/>
        <v>0</v>
      </c>
      <c r="BX8" s="593">
        <f t="shared" si="26"/>
        <v>0</v>
      </c>
      <c r="BY8" s="593">
        <f t="shared" si="27"/>
        <v>0</v>
      </c>
      <c r="BZ8" s="593">
        <f t="shared" si="28"/>
        <v>0</v>
      </c>
      <c r="CA8" s="593">
        <f t="shared" si="29"/>
        <v>0</v>
      </c>
      <c r="CB8" s="593">
        <f t="shared" si="30"/>
        <v>0</v>
      </c>
      <c r="CC8" s="593">
        <f t="shared" si="31"/>
        <v>0</v>
      </c>
      <c r="CD8" s="593">
        <f t="shared" si="32"/>
        <v>0</v>
      </c>
      <c r="CE8" s="593">
        <f t="shared" si="32"/>
        <v>0</v>
      </c>
      <c r="CF8" s="595">
        <f t="shared" si="33"/>
        <v>0</v>
      </c>
      <c r="CG8" s="555" t="str">
        <f t="shared" si="34"/>
        <v/>
      </c>
      <c r="CH8" s="530" t="str">
        <f t="shared" si="35"/>
        <v/>
      </c>
      <c r="CI8" s="530" t="str">
        <f t="shared" si="36"/>
        <v/>
      </c>
      <c r="CJ8" s="530" t="str">
        <f t="shared" si="37"/>
        <v/>
      </c>
      <c r="CK8" s="530" t="str">
        <f t="shared" si="38"/>
        <v/>
      </c>
      <c r="CL8" s="530" t="str">
        <f t="shared" si="39"/>
        <v/>
      </c>
      <c r="CM8" s="82" t="str">
        <f t="shared" si="40"/>
        <v/>
      </c>
      <c r="CN8" s="496" t="str">
        <f t="shared" si="3"/>
        <v/>
      </c>
      <c r="CO8" s="496" t="str">
        <f t="shared" si="41"/>
        <v>0</v>
      </c>
      <c r="CP8" s="491">
        <f t="shared" si="42"/>
        <v>0</v>
      </c>
      <c r="CQ8" s="906" t="s">
        <v>500</v>
      </c>
      <c r="CR8" s="935">
        <v>239128</v>
      </c>
      <c r="CS8" s="496">
        <f t="shared" si="43"/>
        <v>0</v>
      </c>
      <c r="CT8" s="496">
        <f t="shared" si="44"/>
        <v>0</v>
      </c>
      <c r="CU8" s="497" t="str">
        <f t="shared" si="45"/>
        <v>00</v>
      </c>
    </row>
    <row r="9" spans="1:101" s="5" customFormat="1" ht="15" customHeight="1">
      <c r="A9" s="1073">
        <v>6</v>
      </c>
      <c r="B9" s="922"/>
      <c r="C9" s="924" t="str">
        <f t="shared" si="4"/>
        <v/>
      </c>
      <c r="D9" s="1232"/>
      <c r="E9" s="925"/>
      <c r="F9" s="926"/>
      <c r="G9" s="926"/>
      <c r="H9" s="927"/>
      <c r="I9" s="928"/>
      <c r="J9" s="929"/>
      <c r="K9" s="1012"/>
      <c r="L9" s="1012"/>
      <c r="M9" s="1017"/>
      <c r="N9" s="947" t="str">
        <f t="shared" si="5"/>
        <v>00</v>
      </c>
      <c r="O9" s="406" t="str">
        <f t="shared" si="46"/>
        <v/>
      </c>
      <c r="P9" s="407" t="str">
        <f>IF(O9="","",VLOOKUP(O9,所属コード!$A$2:$E$11,2,FALSE))</f>
        <v/>
      </c>
      <c r="Q9" s="1033" t="str">
        <f>IF(O9="","",VLOOKUP(O9,所属コード!$A$2:$G$11,7,FALSE))</f>
        <v/>
      </c>
      <c r="R9" s="1035"/>
      <c r="S9" s="77"/>
      <c r="T9" s="77"/>
      <c r="U9" s="77"/>
      <c r="V9" s="15"/>
      <c r="X9" s="492"/>
      <c r="Y9" s="945" t="str">
        <f t="shared" si="6"/>
        <v/>
      </c>
      <c r="Z9" s="489" t="str">
        <f t="shared" si="7"/>
        <v/>
      </c>
      <c r="AA9" s="488"/>
      <c r="AB9" s="488"/>
      <c r="AC9" s="488"/>
      <c r="AD9" s="488"/>
      <c r="AE9" s="488"/>
      <c r="AF9" s="488"/>
      <c r="AG9" s="491"/>
      <c r="AH9" s="591"/>
      <c r="AI9" s="592"/>
      <c r="AJ9" s="592"/>
      <c r="AK9" s="592"/>
      <c r="AL9" s="592"/>
      <c r="AM9" s="592"/>
      <c r="AN9" s="592"/>
      <c r="AO9" s="592"/>
      <c r="AP9" s="592"/>
      <c r="AQ9" s="592"/>
      <c r="AR9" s="592"/>
      <c r="AS9" s="592"/>
      <c r="AT9" s="592"/>
      <c r="AU9" s="592"/>
      <c r="AV9" s="592"/>
      <c r="AW9" s="1084"/>
      <c r="AX9" s="609">
        <f t="shared" si="8"/>
        <v>0</v>
      </c>
      <c r="AY9" s="602">
        <f t="shared" si="0"/>
        <v>0</v>
      </c>
      <c r="AZ9" s="593">
        <f t="shared" si="1"/>
        <v>0</v>
      </c>
      <c r="BA9" s="594">
        <f t="shared" si="2"/>
        <v>0</v>
      </c>
      <c r="BB9" s="593">
        <f t="shared" si="2"/>
        <v>0</v>
      </c>
      <c r="BC9" s="593">
        <f t="shared" si="9"/>
        <v>0</v>
      </c>
      <c r="BD9" s="593">
        <f t="shared" si="10"/>
        <v>0</v>
      </c>
      <c r="BE9" s="593">
        <f t="shared" si="11"/>
        <v>0</v>
      </c>
      <c r="BF9" s="593">
        <f t="shared" si="12"/>
        <v>0</v>
      </c>
      <c r="BG9" s="593">
        <f t="shared" si="13"/>
        <v>0</v>
      </c>
      <c r="BH9" s="593">
        <f t="shared" si="14"/>
        <v>0</v>
      </c>
      <c r="BI9" s="593">
        <f t="shared" si="14"/>
        <v>0</v>
      </c>
      <c r="BJ9" s="593">
        <f t="shared" si="15"/>
        <v>0</v>
      </c>
      <c r="BK9" s="593">
        <f t="shared" si="15"/>
        <v>0</v>
      </c>
      <c r="BL9" s="593">
        <f t="shared" si="16"/>
        <v>0</v>
      </c>
      <c r="BM9" s="593">
        <f t="shared" si="17"/>
        <v>0</v>
      </c>
      <c r="BN9" s="593">
        <f t="shared" si="17"/>
        <v>0</v>
      </c>
      <c r="BO9" s="593">
        <f t="shared" si="17"/>
        <v>0</v>
      </c>
      <c r="BP9" s="593">
        <f t="shared" si="18"/>
        <v>0</v>
      </c>
      <c r="BQ9" s="593">
        <f t="shared" si="19"/>
        <v>0</v>
      </c>
      <c r="BR9" s="593">
        <f t="shared" si="20"/>
        <v>0</v>
      </c>
      <c r="BS9" s="593">
        <f t="shared" si="21"/>
        <v>0</v>
      </c>
      <c r="BT9" s="593">
        <f t="shared" si="22"/>
        <v>0</v>
      </c>
      <c r="BU9" s="593">
        <f t="shared" si="23"/>
        <v>0</v>
      </c>
      <c r="BV9" s="593">
        <f t="shared" si="24"/>
        <v>0</v>
      </c>
      <c r="BW9" s="593">
        <f t="shared" si="25"/>
        <v>0</v>
      </c>
      <c r="BX9" s="593">
        <f t="shared" si="26"/>
        <v>0</v>
      </c>
      <c r="BY9" s="593">
        <f t="shared" si="27"/>
        <v>0</v>
      </c>
      <c r="BZ9" s="593">
        <f t="shared" si="28"/>
        <v>0</v>
      </c>
      <c r="CA9" s="593">
        <f t="shared" si="29"/>
        <v>0</v>
      </c>
      <c r="CB9" s="593">
        <f t="shared" si="30"/>
        <v>0</v>
      </c>
      <c r="CC9" s="593">
        <f t="shared" si="31"/>
        <v>0</v>
      </c>
      <c r="CD9" s="593">
        <f t="shared" si="32"/>
        <v>0</v>
      </c>
      <c r="CE9" s="593">
        <f t="shared" si="32"/>
        <v>0</v>
      </c>
      <c r="CF9" s="595">
        <f t="shared" si="33"/>
        <v>0</v>
      </c>
      <c r="CG9" s="555" t="str">
        <f t="shared" si="34"/>
        <v/>
      </c>
      <c r="CH9" s="530" t="str">
        <f t="shared" si="35"/>
        <v/>
      </c>
      <c r="CI9" s="530" t="str">
        <f t="shared" si="36"/>
        <v/>
      </c>
      <c r="CJ9" s="530" t="str">
        <f t="shared" si="37"/>
        <v/>
      </c>
      <c r="CK9" s="530" t="str">
        <f t="shared" si="38"/>
        <v/>
      </c>
      <c r="CL9" s="530" t="str">
        <f t="shared" si="39"/>
        <v/>
      </c>
      <c r="CM9" s="82" t="str">
        <f t="shared" si="40"/>
        <v/>
      </c>
      <c r="CN9" s="496" t="str">
        <f t="shared" si="3"/>
        <v/>
      </c>
      <c r="CO9" s="496" t="str">
        <f t="shared" si="41"/>
        <v>0</v>
      </c>
      <c r="CP9" s="491">
        <f t="shared" si="42"/>
        <v>0</v>
      </c>
      <c r="CQ9" s="906" t="s">
        <v>501</v>
      </c>
      <c r="CR9" s="935">
        <v>239125</v>
      </c>
      <c r="CS9" s="496">
        <f t="shared" si="43"/>
        <v>0</v>
      </c>
      <c r="CT9" s="496">
        <f t="shared" si="44"/>
        <v>0</v>
      </c>
      <c r="CU9" s="497" t="str">
        <f t="shared" si="45"/>
        <v>00</v>
      </c>
    </row>
    <row r="10" spans="1:101" s="5" customFormat="1" ht="15" customHeight="1">
      <c r="A10" s="1073">
        <v>7</v>
      </c>
      <c r="B10" s="922"/>
      <c r="C10" s="924" t="str">
        <f t="shared" si="4"/>
        <v/>
      </c>
      <c r="D10" s="1232"/>
      <c r="E10" s="925"/>
      <c r="F10" s="926"/>
      <c r="G10" s="926"/>
      <c r="H10" s="927"/>
      <c r="I10" s="928"/>
      <c r="J10" s="929"/>
      <c r="K10" s="1012"/>
      <c r="L10" s="1012"/>
      <c r="M10" s="1017"/>
      <c r="N10" s="947" t="str">
        <f t="shared" si="5"/>
        <v>00</v>
      </c>
      <c r="O10" s="406" t="str">
        <f t="shared" si="46"/>
        <v/>
      </c>
      <c r="P10" s="407" t="str">
        <f>IF(O10="","",VLOOKUP(O10,所属コード!$A$2:$E$11,2,FALSE))</f>
        <v/>
      </c>
      <c r="Q10" s="1033" t="str">
        <f>IF(O10="","",VLOOKUP(O10,所属コード!$A$2:$G$11,7,FALSE))</f>
        <v/>
      </c>
      <c r="R10" s="1035"/>
      <c r="S10" s="77"/>
      <c r="T10" s="77"/>
      <c r="U10" s="77"/>
      <c r="V10" s="15"/>
      <c r="X10" s="492"/>
      <c r="Y10" s="945" t="str">
        <f t="shared" si="6"/>
        <v/>
      </c>
      <c r="Z10" s="489" t="str">
        <f t="shared" si="7"/>
        <v/>
      </c>
      <c r="AA10" s="488"/>
      <c r="AB10" s="488"/>
      <c r="AC10" s="488"/>
      <c r="AD10" s="488"/>
      <c r="AE10" s="488"/>
      <c r="AF10" s="488"/>
      <c r="AG10" s="491"/>
      <c r="AH10" s="591"/>
      <c r="AI10" s="592"/>
      <c r="AJ10" s="592"/>
      <c r="AK10" s="592"/>
      <c r="AL10" s="592"/>
      <c r="AM10" s="592"/>
      <c r="AN10" s="592"/>
      <c r="AO10" s="592"/>
      <c r="AP10" s="592"/>
      <c r="AQ10" s="592"/>
      <c r="AR10" s="592"/>
      <c r="AS10" s="592"/>
      <c r="AT10" s="592"/>
      <c r="AU10" s="592"/>
      <c r="AV10" s="592"/>
      <c r="AW10" s="1084"/>
      <c r="AX10" s="609">
        <f t="shared" si="8"/>
        <v>0</v>
      </c>
      <c r="AY10" s="602">
        <f t="shared" si="0"/>
        <v>0</v>
      </c>
      <c r="AZ10" s="593">
        <f t="shared" si="1"/>
        <v>0</v>
      </c>
      <c r="BA10" s="594">
        <f t="shared" si="2"/>
        <v>0</v>
      </c>
      <c r="BB10" s="593">
        <f t="shared" si="2"/>
        <v>0</v>
      </c>
      <c r="BC10" s="593">
        <f t="shared" si="9"/>
        <v>0</v>
      </c>
      <c r="BD10" s="593">
        <f t="shared" si="10"/>
        <v>0</v>
      </c>
      <c r="BE10" s="593">
        <f t="shared" si="11"/>
        <v>0</v>
      </c>
      <c r="BF10" s="593">
        <f t="shared" si="12"/>
        <v>0</v>
      </c>
      <c r="BG10" s="593">
        <f t="shared" si="13"/>
        <v>0</v>
      </c>
      <c r="BH10" s="593">
        <f t="shared" si="14"/>
        <v>0</v>
      </c>
      <c r="BI10" s="593">
        <f t="shared" si="14"/>
        <v>0</v>
      </c>
      <c r="BJ10" s="593">
        <f t="shared" si="15"/>
        <v>0</v>
      </c>
      <c r="BK10" s="593">
        <f t="shared" si="15"/>
        <v>0</v>
      </c>
      <c r="BL10" s="593">
        <f t="shared" si="16"/>
        <v>0</v>
      </c>
      <c r="BM10" s="593">
        <f t="shared" si="17"/>
        <v>0</v>
      </c>
      <c r="BN10" s="593">
        <f t="shared" si="17"/>
        <v>0</v>
      </c>
      <c r="BO10" s="593">
        <f t="shared" si="17"/>
        <v>0</v>
      </c>
      <c r="BP10" s="593">
        <f t="shared" si="18"/>
        <v>0</v>
      </c>
      <c r="BQ10" s="593">
        <f t="shared" si="19"/>
        <v>0</v>
      </c>
      <c r="BR10" s="593">
        <f t="shared" si="20"/>
        <v>0</v>
      </c>
      <c r="BS10" s="593">
        <f t="shared" si="21"/>
        <v>0</v>
      </c>
      <c r="BT10" s="593">
        <f t="shared" si="22"/>
        <v>0</v>
      </c>
      <c r="BU10" s="593">
        <f t="shared" si="23"/>
        <v>0</v>
      </c>
      <c r="BV10" s="593">
        <f t="shared" si="24"/>
        <v>0</v>
      </c>
      <c r="BW10" s="593">
        <f t="shared" si="25"/>
        <v>0</v>
      </c>
      <c r="BX10" s="593">
        <f t="shared" si="26"/>
        <v>0</v>
      </c>
      <c r="BY10" s="593">
        <f t="shared" si="27"/>
        <v>0</v>
      </c>
      <c r="BZ10" s="593">
        <f t="shared" si="28"/>
        <v>0</v>
      </c>
      <c r="CA10" s="593">
        <f t="shared" si="29"/>
        <v>0</v>
      </c>
      <c r="CB10" s="593">
        <f t="shared" si="30"/>
        <v>0</v>
      </c>
      <c r="CC10" s="593">
        <f t="shared" si="31"/>
        <v>0</v>
      </c>
      <c r="CD10" s="593">
        <f t="shared" si="32"/>
        <v>0</v>
      </c>
      <c r="CE10" s="593">
        <f t="shared" si="32"/>
        <v>0</v>
      </c>
      <c r="CF10" s="595">
        <f t="shared" si="33"/>
        <v>0</v>
      </c>
      <c r="CG10" s="555" t="str">
        <f t="shared" si="34"/>
        <v/>
      </c>
      <c r="CH10" s="530" t="str">
        <f t="shared" si="35"/>
        <v/>
      </c>
      <c r="CI10" s="530" t="str">
        <f t="shared" si="36"/>
        <v/>
      </c>
      <c r="CJ10" s="530" t="str">
        <f t="shared" si="37"/>
        <v/>
      </c>
      <c r="CK10" s="530" t="str">
        <f t="shared" si="38"/>
        <v/>
      </c>
      <c r="CL10" s="530" t="str">
        <f t="shared" si="39"/>
        <v/>
      </c>
      <c r="CM10" s="82" t="str">
        <f t="shared" si="40"/>
        <v/>
      </c>
      <c r="CN10" s="496" t="str">
        <f t="shared" si="3"/>
        <v/>
      </c>
      <c r="CO10" s="496" t="str">
        <f t="shared" si="41"/>
        <v>0</v>
      </c>
      <c r="CP10" s="491">
        <f t="shared" si="42"/>
        <v>0</v>
      </c>
      <c r="CQ10" s="906" t="s">
        <v>551</v>
      </c>
      <c r="CR10" s="935">
        <v>239137</v>
      </c>
      <c r="CS10" s="496">
        <f t="shared" si="43"/>
        <v>0</v>
      </c>
      <c r="CT10" s="496">
        <f t="shared" si="44"/>
        <v>0</v>
      </c>
      <c r="CU10" s="497" t="str">
        <f t="shared" si="45"/>
        <v>00</v>
      </c>
    </row>
    <row r="11" spans="1:101" ht="15" customHeight="1">
      <c r="A11" s="1073">
        <v>8</v>
      </c>
      <c r="B11" s="922"/>
      <c r="C11" s="924" t="str">
        <f t="shared" si="4"/>
        <v/>
      </c>
      <c r="D11" s="1232"/>
      <c r="E11" s="925"/>
      <c r="F11" s="926"/>
      <c r="G11" s="926"/>
      <c r="H11" s="927"/>
      <c r="I11" s="928"/>
      <c r="J11" s="929"/>
      <c r="K11" s="1012"/>
      <c r="L11" s="1012"/>
      <c r="M11" s="1017"/>
      <c r="N11" s="947" t="str">
        <f t="shared" si="5"/>
        <v>00</v>
      </c>
      <c r="O11" s="406" t="str">
        <f t="shared" si="46"/>
        <v/>
      </c>
      <c r="P11" s="407" t="str">
        <f>IF(O11="","",VLOOKUP(O11,所属コード!$A$2:$E$11,2,FALSE))</f>
        <v/>
      </c>
      <c r="Q11" s="1033" t="str">
        <f>IF(O11="","",VLOOKUP(O11,所属コード!$A$2:$G$11,7,FALSE))</f>
        <v/>
      </c>
      <c r="R11" s="1035"/>
      <c r="S11" s="77"/>
      <c r="T11" s="77"/>
      <c r="U11" s="77"/>
      <c r="V11" s="15"/>
      <c r="X11" s="492"/>
      <c r="Y11" s="945" t="str">
        <f t="shared" si="6"/>
        <v/>
      </c>
      <c r="Z11" s="489" t="str">
        <f t="shared" si="7"/>
        <v/>
      </c>
      <c r="AA11" s="488"/>
      <c r="AB11" s="488"/>
      <c r="AC11" s="488"/>
      <c r="AD11" s="488"/>
      <c r="AE11" s="488"/>
      <c r="AF11" s="488"/>
      <c r="AG11" s="491"/>
      <c r="AH11" s="591"/>
      <c r="AI11" s="592"/>
      <c r="AJ11" s="592"/>
      <c r="AK11" s="592"/>
      <c r="AL11" s="592"/>
      <c r="AM11" s="592"/>
      <c r="AN11" s="592"/>
      <c r="AO11" s="592"/>
      <c r="AP11" s="592"/>
      <c r="AQ11" s="592"/>
      <c r="AR11" s="592"/>
      <c r="AS11" s="592"/>
      <c r="AT11" s="592"/>
      <c r="AU11" s="592"/>
      <c r="AV11" s="592"/>
      <c r="AW11" s="1084"/>
      <c r="AX11" s="609">
        <f t="shared" si="8"/>
        <v>0</v>
      </c>
      <c r="AY11" s="602">
        <f t="shared" si="0"/>
        <v>0</v>
      </c>
      <c r="AZ11" s="593">
        <f t="shared" si="1"/>
        <v>0</v>
      </c>
      <c r="BA11" s="594">
        <f t="shared" si="2"/>
        <v>0</v>
      </c>
      <c r="BB11" s="593">
        <f t="shared" si="2"/>
        <v>0</v>
      </c>
      <c r="BC11" s="593">
        <f t="shared" si="9"/>
        <v>0</v>
      </c>
      <c r="BD11" s="593">
        <f t="shared" si="10"/>
        <v>0</v>
      </c>
      <c r="BE11" s="593">
        <f t="shared" si="11"/>
        <v>0</v>
      </c>
      <c r="BF11" s="593">
        <f t="shared" si="12"/>
        <v>0</v>
      </c>
      <c r="BG11" s="593">
        <f t="shared" si="13"/>
        <v>0</v>
      </c>
      <c r="BH11" s="593">
        <f t="shared" si="14"/>
        <v>0</v>
      </c>
      <c r="BI11" s="593">
        <f t="shared" si="14"/>
        <v>0</v>
      </c>
      <c r="BJ11" s="593">
        <f t="shared" si="15"/>
        <v>0</v>
      </c>
      <c r="BK11" s="593">
        <f t="shared" si="15"/>
        <v>0</v>
      </c>
      <c r="BL11" s="593">
        <f t="shared" si="16"/>
        <v>0</v>
      </c>
      <c r="BM11" s="593">
        <f t="shared" si="17"/>
        <v>0</v>
      </c>
      <c r="BN11" s="593">
        <f t="shared" si="17"/>
        <v>0</v>
      </c>
      <c r="BO11" s="593">
        <f t="shared" si="17"/>
        <v>0</v>
      </c>
      <c r="BP11" s="593">
        <f t="shared" si="18"/>
        <v>0</v>
      </c>
      <c r="BQ11" s="593">
        <f t="shared" si="19"/>
        <v>0</v>
      </c>
      <c r="BR11" s="593">
        <f t="shared" si="20"/>
        <v>0</v>
      </c>
      <c r="BS11" s="593">
        <f t="shared" si="21"/>
        <v>0</v>
      </c>
      <c r="BT11" s="593">
        <f t="shared" si="22"/>
        <v>0</v>
      </c>
      <c r="BU11" s="593">
        <f t="shared" si="23"/>
        <v>0</v>
      </c>
      <c r="BV11" s="593">
        <f t="shared" si="24"/>
        <v>0</v>
      </c>
      <c r="BW11" s="593">
        <f t="shared" si="25"/>
        <v>0</v>
      </c>
      <c r="BX11" s="593">
        <f t="shared" si="26"/>
        <v>0</v>
      </c>
      <c r="BY11" s="593">
        <f t="shared" si="27"/>
        <v>0</v>
      </c>
      <c r="BZ11" s="593">
        <f t="shared" si="28"/>
        <v>0</v>
      </c>
      <c r="CA11" s="593">
        <f t="shared" si="29"/>
        <v>0</v>
      </c>
      <c r="CB11" s="593">
        <f t="shared" si="30"/>
        <v>0</v>
      </c>
      <c r="CC11" s="593">
        <f t="shared" si="31"/>
        <v>0</v>
      </c>
      <c r="CD11" s="593">
        <f t="shared" si="32"/>
        <v>0</v>
      </c>
      <c r="CE11" s="593">
        <f t="shared" si="32"/>
        <v>0</v>
      </c>
      <c r="CF11" s="595">
        <f t="shared" si="33"/>
        <v>0</v>
      </c>
      <c r="CG11" s="555" t="str">
        <f t="shared" si="34"/>
        <v/>
      </c>
      <c r="CH11" s="530" t="str">
        <f t="shared" si="35"/>
        <v/>
      </c>
      <c r="CI11" s="530" t="str">
        <f t="shared" si="36"/>
        <v/>
      </c>
      <c r="CJ11" s="530" t="str">
        <f t="shared" si="37"/>
        <v/>
      </c>
      <c r="CK11" s="530" t="str">
        <f t="shared" si="38"/>
        <v/>
      </c>
      <c r="CL11" s="530" t="str">
        <f t="shared" si="39"/>
        <v/>
      </c>
      <c r="CM11" s="82" t="str">
        <f t="shared" si="40"/>
        <v/>
      </c>
      <c r="CN11" s="496" t="str">
        <f t="shared" si="3"/>
        <v/>
      </c>
      <c r="CO11" s="496" t="str">
        <f t="shared" si="41"/>
        <v>0</v>
      </c>
      <c r="CP11" s="491">
        <f t="shared" si="42"/>
        <v>0</v>
      </c>
      <c r="CQ11" s="906" t="s">
        <v>552</v>
      </c>
      <c r="CR11" s="935">
        <v>230102</v>
      </c>
      <c r="CS11" s="496">
        <f t="shared" si="43"/>
        <v>0</v>
      </c>
      <c r="CT11" s="496">
        <f t="shared" si="44"/>
        <v>0</v>
      </c>
      <c r="CU11" s="497" t="str">
        <f t="shared" si="45"/>
        <v>00</v>
      </c>
    </row>
    <row r="12" spans="1:101" ht="15" customHeight="1">
      <c r="A12" s="1073">
        <v>9</v>
      </c>
      <c r="B12" s="922"/>
      <c r="C12" s="924" t="str">
        <f t="shared" si="4"/>
        <v/>
      </c>
      <c r="D12" s="1232"/>
      <c r="E12" s="925"/>
      <c r="F12" s="926"/>
      <c r="G12" s="926"/>
      <c r="H12" s="927"/>
      <c r="I12" s="928"/>
      <c r="J12" s="929"/>
      <c r="K12" s="1012"/>
      <c r="L12" s="1012"/>
      <c r="M12" s="1017"/>
      <c r="N12" s="947" t="str">
        <f t="shared" si="5"/>
        <v>00</v>
      </c>
      <c r="O12" s="406" t="str">
        <f t="shared" si="46"/>
        <v/>
      </c>
      <c r="P12" s="407" t="str">
        <f>IF(O12="","",VLOOKUP(O12,所属コード!$A$2:$E$11,2,FALSE))</f>
        <v/>
      </c>
      <c r="Q12" s="1033" t="str">
        <f>IF(O12="","",VLOOKUP(O12,所属コード!$A$2:$G$11,7,FALSE))</f>
        <v/>
      </c>
      <c r="R12" s="1035"/>
      <c r="S12" s="77"/>
      <c r="T12" s="77"/>
      <c r="U12" s="77"/>
      <c r="V12" s="15"/>
      <c r="X12" s="492"/>
      <c r="Y12" s="945" t="str">
        <f t="shared" si="6"/>
        <v/>
      </c>
      <c r="Z12" s="489" t="str">
        <f t="shared" si="7"/>
        <v/>
      </c>
      <c r="AA12" s="488"/>
      <c r="AB12" s="488"/>
      <c r="AC12" s="488"/>
      <c r="AD12" s="488"/>
      <c r="AE12" s="488"/>
      <c r="AF12" s="488"/>
      <c r="AG12" s="491"/>
      <c r="AH12" s="591"/>
      <c r="AI12" s="592"/>
      <c r="AJ12" s="592"/>
      <c r="AK12" s="592"/>
      <c r="AL12" s="592"/>
      <c r="AM12" s="592"/>
      <c r="AN12" s="592"/>
      <c r="AO12" s="592"/>
      <c r="AP12" s="592"/>
      <c r="AQ12" s="592"/>
      <c r="AR12" s="592"/>
      <c r="AS12" s="592"/>
      <c r="AT12" s="592"/>
      <c r="AU12" s="592"/>
      <c r="AV12" s="592"/>
      <c r="AW12" s="1084"/>
      <c r="AX12" s="609">
        <f t="shared" si="8"/>
        <v>0</v>
      </c>
      <c r="AY12" s="602">
        <f t="shared" si="0"/>
        <v>0</v>
      </c>
      <c r="AZ12" s="593">
        <f t="shared" si="1"/>
        <v>0</v>
      </c>
      <c r="BA12" s="594">
        <f t="shared" si="2"/>
        <v>0</v>
      </c>
      <c r="BB12" s="593">
        <f t="shared" si="2"/>
        <v>0</v>
      </c>
      <c r="BC12" s="593">
        <f t="shared" si="9"/>
        <v>0</v>
      </c>
      <c r="BD12" s="593">
        <f t="shared" si="10"/>
        <v>0</v>
      </c>
      <c r="BE12" s="593">
        <f t="shared" si="11"/>
        <v>0</v>
      </c>
      <c r="BF12" s="593">
        <f t="shared" si="12"/>
        <v>0</v>
      </c>
      <c r="BG12" s="593">
        <f t="shared" si="13"/>
        <v>0</v>
      </c>
      <c r="BH12" s="593">
        <f t="shared" si="14"/>
        <v>0</v>
      </c>
      <c r="BI12" s="593">
        <f t="shared" si="14"/>
        <v>0</v>
      </c>
      <c r="BJ12" s="593">
        <f t="shared" si="15"/>
        <v>0</v>
      </c>
      <c r="BK12" s="593">
        <f t="shared" si="15"/>
        <v>0</v>
      </c>
      <c r="BL12" s="593">
        <f t="shared" si="16"/>
        <v>0</v>
      </c>
      <c r="BM12" s="593">
        <f t="shared" si="17"/>
        <v>0</v>
      </c>
      <c r="BN12" s="593">
        <f t="shared" si="17"/>
        <v>0</v>
      </c>
      <c r="BO12" s="593">
        <f t="shared" si="17"/>
        <v>0</v>
      </c>
      <c r="BP12" s="593">
        <f t="shared" si="18"/>
        <v>0</v>
      </c>
      <c r="BQ12" s="593">
        <f t="shared" si="19"/>
        <v>0</v>
      </c>
      <c r="BR12" s="593">
        <f t="shared" si="20"/>
        <v>0</v>
      </c>
      <c r="BS12" s="593">
        <f t="shared" si="21"/>
        <v>0</v>
      </c>
      <c r="BT12" s="593">
        <f t="shared" si="22"/>
        <v>0</v>
      </c>
      <c r="BU12" s="593">
        <f t="shared" si="23"/>
        <v>0</v>
      </c>
      <c r="BV12" s="593">
        <f t="shared" si="24"/>
        <v>0</v>
      </c>
      <c r="BW12" s="593">
        <f t="shared" si="25"/>
        <v>0</v>
      </c>
      <c r="BX12" s="593">
        <f t="shared" si="26"/>
        <v>0</v>
      </c>
      <c r="BY12" s="593">
        <f t="shared" si="27"/>
        <v>0</v>
      </c>
      <c r="BZ12" s="593">
        <f t="shared" si="28"/>
        <v>0</v>
      </c>
      <c r="CA12" s="593">
        <f t="shared" si="29"/>
        <v>0</v>
      </c>
      <c r="CB12" s="593">
        <f t="shared" si="30"/>
        <v>0</v>
      </c>
      <c r="CC12" s="593">
        <f t="shared" si="31"/>
        <v>0</v>
      </c>
      <c r="CD12" s="593">
        <f t="shared" si="32"/>
        <v>0</v>
      </c>
      <c r="CE12" s="593">
        <f t="shared" si="32"/>
        <v>0</v>
      </c>
      <c r="CF12" s="595">
        <f t="shared" si="33"/>
        <v>0</v>
      </c>
      <c r="CG12" s="555" t="str">
        <f t="shared" si="34"/>
        <v/>
      </c>
      <c r="CH12" s="530" t="str">
        <f t="shared" si="35"/>
        <v/>
      </c>
      <c r="CI12" s="530" t="str">
        <f t="shared" si="36"/>
        <v/>
      </c>
      <c r="CJ12" s="530" t="str">
        <f t="shared" si="37"/>
        <v/>
      </c>
      <c r="CK12" s="530" t="str">
        <f t="shared" si="38"/>
        <v/>
      </c>
      <c r="CL12" s="530" t="str">
        <f t="shared" si="39"/>
        <v/>
      </c>
      <c r="CM12" s="82" t="str">
        <f t="shared" si="40"/>
        <v/>
      </c>
      <c r="CN12" s="496" t="str">
        <f t="shared" si="3"/>
        <v/>
      </c>
      <c r="CO12" s="496" t="str">
        <f t="shared" si="41"/>
        <v>0</v>
      </c>
      <c r="CP12" s="491">
        <f t="shared" si="42"/>
        <v>0</v>
      </c>
      <c r="CS12" s="496">
        <f t="shared" si="43"/>
        <v>0</v>
      </c>
      <c r="CT12" s="496">
        <f t="shared" si="44"/>
        <v>0</v>
      </c>
      <c r="CU12" s="497" t="str">
        <f t="shared" si="45"/>
        <v>00</v>
      </c>
    </row>
    <row r="13" spans="1:101" ht="15" customHeight="1">
      <c r="A13" s="1073">
        <v>10</v>
      </c>
      <c r="B13" s="922"/>
      <c r="C13" s="924" t="str">
        <f t="shared" si="4"/>
        <v/>
      </c>
      <c r="D13" s="1232"/>
      <c r="E13" s="925"/>
      <c r="F13" s="926"/>
      <c r="G13" s="926"/>
      <c r="H13" s="927"/>
      <c r="I13" s="928"/>
      <c r="J13" s="929"/>
      <c r="K13" s="1012"/>
      <c r="L13" s="1012"/>
      <c r="M13" s="1017"/>
      <c r="N13" s="947" t="str">
        <f t="shared" si="5"/>
        <v>00</v>
      </c>
      <c r="O13" s="406" t="str">
        <f t="shared" si="46"/>
        <v/>
      </c>
      <c r="P13" s="407" t="str">
        <f>IF(O13="","",VLOOKUP(O13,所属コード!$A$2:$E$11,2,FALSE))</f>
        <v/>
      </c>
      <c r="Q13" s="1033" t="str">
        <f>IF(O13="","",VLOOKUP(O13,所属コード!$A$2:$G$11,7,FALSE))</f>
        <v/>
      </c>
      <c r="R13" s="1035"/>
      <c r="S13" s="77"/>
      <c r="T13" s="77"/>
      <c r="U13" s="77"/>
      <c r="V13" s="15"/>
      <c r="X13" s="492"/>
      <c r="Y13" s="945" t="str">
        <f t="shared" si="6"/>
        <v/>
      </c>
      <c r="Z13" s="489" t="str">
        <f t="shared" si="7"/>
        <v/>
      </c>
      <c r="AA13" s="488"/>
      <c r="AB13" s="488"/>
      <c r="AC13" s="488"/>
      <c r="AD13" s="488"/>
      <c r="AE13" s="488"/>
      <c r="AF13" s="488"/>
      <c r="AG13" s="491"/>
      <c r="AH13" s="591"/>
      <c r="AI13" s="592"/>
      <c r="AJ13" s="592"/>
      <c r="AK13" s="592"/>
      <c r="AL13" s="592"/>
      <c r="AM13" s="592"/>
      <c r="AN13" s="592"/>
      <c r="AO13" s="592"/>
      <c r="AP13" s="592"/>
      <c r="AQ13" s="592"/>
      <c r="AR13" s="592"/>
      <c r="AS13" s="592"/>
      <c r="AT13" s="592"/>
      <c r="AU13" s="592"/>
      <c r="AV13" s="592"/>
      <c r="AW13" s="1084"/>
      <c r="AX13" s="609">
        <f t="shared" si="8"/>
        <v>0</v>
      </c>
      <c r="AY13" s="602">
        <f t="shared" si="0"/>
        <v>0</v>
      </c>
      <c r="AZ13" s="593">
        <f t="shared" si="1"/>
        <v>0</v>
      </c>
      <c r="BA13" s="594">
        <f t="shared" si="2"/>
        <v>0</v>
      </c>
      <c r="BB13" s="593">
        <f t="shared" si="2"/>
        <v>0</v>
      </c>
      <c r="BC13" s="593">
        <f t="shared" si="9"/>
        <v>0</v>
      </c>
      <c r="BD13" s="593">
        <f t="shared" si="10"/>
        <v>0</v>
      </c>
      <c r="BE13" s="593">
        <f t="shared" si="11"/>
        <v>0</v>
      </c>
      <c r="BF13" s="593">
        <f t="shared" si="12"/>
        <v>0</v>
      </c>
      <c r="BG13" s="593">
        <f t="shared" si="13"/>
        <v>0</v>
      </c>
      <c r="BH13" s="593">
        <f t="shared" si="14"/>
        <v>0</v>
      </c>
      <c r="BI13" s="593">
        <f t="shared" si="14"/>
        <v>0</v>
      </c>
      <c r="BJ13" s="593">
        <f t="shared" si="15"/>
        <v>0</v>
      </c>
      <c r="BK13" s="593">
        <f t="shared" si="15"/>
        <v>0</v>
      </c>
      <c r="BL13" s="593">
        <f t="shared" si="16"/>
        <v>0</v>
      </c>
      <c r="BM13" s="593">
        <f t="shared" si="17"/>
        <v>0</v>
      </c>
      <c r="BN13" s="593">
        <f t="shared" si="17"/>
        <v>0</v>
      </c>
      <c r="BO13" s="593">
        <f t="shared" si="17"/>
        <v>0</v>
      </c>
      <c r="BP13" s="593">
        <f t="shared" si="18"/>
        <v>0</v>
      </c>
      <c r="BQ13" s="593">
        <f t="shared" si="19"/>
        <v>0</v>
      </c>
      <c r="BR13" s="593">
        <f t="shared" si="20"/>
        <v>0</v>
      </c>
      <c r="BS13" s="593">
        <f t="shared" si="21"/>
        <v>0</v>
      </c>
      <c r="BT13" s="593">
        <f t="shared" si="22"/>
        <v>0</v>
      </c>
      <c r="BU13" s="593">
        <f t="shared" si="23"/>
        <v>0</v>
      </c>
      <c r="BV13" s="593">
        <f t="shared" si="24"/>
        <v>0</v>
      </c>
      <c r="BW13" s="593">
        <f t="shared" si="25"/>
        <v>0</v>
      </c>
      <c r="BX13" s="593">
        <f t="shared" si="26"/>
        <v>0</v>
      </c>
      <c r="BY13" s="593">
        <f t="shared" si="27"/>
        <v>0</v>
      </c>
      <c r="BZ13" s="593">
        <f t="shared" si="28"/>
        <v>0</v>
      </c>
      <c r="CA13" s="593">
        <f t="shared" si="29"/>
        <v>0</v>
      </c>
      <c r="CB13" s="593">
        <f t="shared" si="30"/>
        <v>0</v>
      </c>
      <c r="CC13" s="593">
        <f t="shared" si="31"/>
        <v>0</v>
      </c>
      <c r="CD13" s="593">
        <f t="shared" si="32"/>
        <v>0</v>
      </c>
      <c r="CE13" s="593">
        <f t="shared" si="32"/>
        <v>0</v>
      </c>
      <c r="CF13" s="595">
        <f t="shared" si="33"/>
        <v>0</v>
      </c>
      <c r="CG13" s="555" t="str">
        <f t="shared" si="34"/>
        <v/>
      </c>
      <c r="CH13" s="530" t="str">
        <f t="shared" si="35"/>
        <v/>
      </c>
      <c r="CI13" s="530" t="str">
        <f t="shared" si="36"/>
        <v/>
      </c>
      <c r="CJ13" s="530" t="str">
        <f t="shared" si="37"/>
        <v/>
      </c>
      <c r="CK13" s="530" t="str">
        <f t="shared" si="38"/>
        <v/>
      </c>
      <c r="CL13" s="530" t="str">
        <f t="shared" si="39"/>
        <v/>
      </c>
      <c r="CM13" s="82" t="str">
        <f t="shared" si="40"/>
        <v/>
      </c>
      <c r="CN13" s="496" t="str">
        <f t="shared" si="3"/>
        <v/>
      </c>
      <c r="CO13" s="496" t="str">
        <f t="shared" si="41"/>
        <v>0</v>
      </c>
      <c r="CP13" s="491">
        <f t="shared" si="42"/>
        <v>0</v>
      </c>
      <c r="CS13" s="496">
        <f t="shared" si="43"/>
        <v>0</v>
      </c>
      <c r="CT13" s="496">
        <f t="shared" si="44"/>
        <v>0</v>
      </c>
      <c r="CU13" s="497" t="str">
        <f t="shared" si="45"/>
        <v>00</v>
      </c>
    </row>
    <row r="14" spans="1:101" ht="15" customHeight="1">
      <c r="A14" s="1073">
        <v>11</v>
      </c>
      <c r="B14" s="922"/>
      <c r="C14" s="924" t="str">
        <f t="shared" si="4"/>
        <v/>
      </c>
      <c r="D14" s="1232"/>
      <c r="E14" s="925"/>
      <c r="F14" s="926"/>
      <c r="G14" s="926"/>
      <c r="H14" s="927"/>
      <c r="I14" s="928"/>
      <c r="J14" s="929"/>
      <c r="K14" s="1012"/>
      <c r="L14" s="1012"/>
      <c r="M14" s="1017"/>
      <c r="N14" s="947" t="str">
        <f t="shared" si="5"/>
        <v>00</v>
      </c>
      <c r="O14" s="406" t="str">
        <f t="shared" si="46"/>
        <v/>
      </c>
      <c r="P14" s="407" t="str">
        <f>IF(O14="","",VLOOKUP(O14,所属コード!$A$2:$E$11,2,FALSE))</f>
        <v/>
      </c>
      <c r="Q14" s="1033" t="str">
        <f>IF(O14="","",VLOOKUP(O14,所属コード!$A$2:$G$11,7,FALSE))</f>
        <v/>
      </c>
      <c r="R14" s="1035"/>
      <c r="S14" s="77"/>
      <c r="T14" s="77"/>
      <c r="U14" s="77"/>
      <c r="V14" s="15"/>
      <c r="X14" s="492"/>
      <c r="Y14" s="945" t="str">
        <f t="shared" si="6"/>
        <v/>
      </c>
      <c r="Z14" s="489" t="str">
        <f t="shared" si="7"/>
        <v/>
      </c>
      <c r="AA14" s="488"/>
      <c r="AB14" s="488"/>
      <c r="AC14" s="488"/>
      <c r="AD14" s="488"/>
      <c r="AE14" s="488"/>
      <c r="AF14" s="488"/>
      <c r="AG14" s="491"/>
      <c r="AH14" s="591"/>
      <c r="AI14" s="592"/>
      <c r="AJ14" s="592"/>
      <c r="AK14" s="592"/>
      <c r="AL14" s="592"/>
      <c r="AM14" s="592"/>
      <c r="AN14" s="592"/>
      <c r="AO14" s="592"/>
      <c r="AP14" s="592"/>
      <c r="AQ14" s="592"/>
      <c r="AR14" s="592"/>
      <c r="AS14" s="592"/>
      <c r="AT14" s="592"/>
      <c r="AU14" s="592"/>
      <c r="AV14" s="592"/>
      <c r="AW14" s="1084"/>
      <c r="AX14" s="609">
        <f t="shared" si="8"/>
        <v>0</v>
      </c>
      <c r="AY14" s="602">
        <f t="shared" si="0"/>
        <v>0</v>
      </c>
      <c r="AZ14" s="593">
        <f t="shared" si="1"/>
        <v>0</v>
      </c>
      <c r="BA14" s="594">
        <f t="shared" si="2"/>
        <v>0</v>
      </c>
      <c r="BB14" s="593">
        <f t="shared" si="2"/>
        <v>0</v>
      </c>
      <c r="BC14" s="593">
        <f t="shared" si="9"/>
        <v>0</v>
      </c>
      <c r="BD14" s="593">
        <f t="shared" si="10"/>
        <v>0</v>
      </c>
      <c r="BE14" s="593">
        <f t="shared" si="11"/>
        <v>0</v>
      </c>
      <c r="BF14" s="593">
        <f t="shared" si="12"/>
        <v>0</v>
      </c>
      <c r="BG14" s="593">
        <f t="shared" si="13"/>
        <v>0</v>
      </c>
      <c r="BH14" s="593">
        <f t="shared" si="14"/>
        <v>0</v>
      </c>
      <c r="BI14" s="593">
        <f t="shared" si="14"/>
        <v>0</v>
      </c>
      <c r="BJ14" s="593">
        <f t="shared" si="15"/>
        <v>0</v>
      </c>
      <c r="BK14" s="593">
        <f t="shared" si="15"/>
        <v>0</v>
      </c>
      <c r="BL14" s="593">
        <f t="shared" si="16"/>
        <v>0</v>
      </c>
      <c r="BM14" s="593">
        <f t="shared" si="17"/>
        <v>0</v>
      </c>
      <c r="BN14" s="593">
        <f t="shared" si="17"/>
        <v>0</v>
      </c>
      <c r="BO14" s="593">
        <f t="shared" si="17"/>
        <v>0</v>
      </c>
      <c r="BP14" s="593">
        <f t="shared" si="18"/>
        <v>0</v>
      </c>
      <c r="BQ14" s="593">
        <f t="shared" si="19"/>
        <v>0</v>
      </c>
      <c r="BR14" s="593">
        <f t="shared" si="20"/>
        <v>0</v>
      </c>
      <c r="BS14" s="593">
        <f t="shared" si="21"/>
        <v>0</v>
      </c>
      <c r="BT14" s="593">
        <f t="shared" si="22"/>
        <v>0</v>
      </c>
      <c r="BU14" s="593">
        <f t="shared" si="23"/>
        <v>0</v>
      </c>
      <c r="BV14" s="593">
        <f t="shared" si="24"/>
        <v>0</v>
      </c>
      <c r="BW14" s="593">
        <f t="shared" si="25"/>
        <v>0</v>
      </c>
      <c r="BX14" s="593">
        <f t="shared" si="26"/>
        <v>0</v>
      </c>
      <c r="BY14" s="593">
        <f t="shared" si="27"/>
        <v>0</v>
      </c>
      <c r="BZ14" s="593">
        <f t="shared" si="28"/>
        <v>0</v>
      </c>
      <c r="CA14" s="593">
        <f t="shared" si="29"/>
        <v>0</v>
      </c>
      <c r="CB14" s="593">
        <f t="shared" si="30"/>
        <v>0</v>
      </c>
      <c r="CC14" s="593">
        <f t="shared" si="31"/>
        <v>0</v>
      </c>
      <c r="CD14" s="593">
        <f t="shared" si="32"/>
        <v>0</v>
      </c>
      <c r="CE14" s="593">
        <f t="shared" si="32"/>
        <v>0</v>
      </c>
      <c r="CF14" s="595">
        <f t="shared" si="33"/>
        <v>0</v>
      </c>
      <c r="CG14" s="555" t="str">
        <f t="shared" si="34"/>
        <v/>
      </c>
      <c r="CH14" s="530" t="str">
        <f t="shared" si="35"/>
        <v/>
      </c>
      <c r="CI14" s="530" t="str">
        <f t="shared" si="36"/>
        <v/>
      </c>
      <c r="CJ14" s="530" t="str">
        <f t="shared" si="37"/>
        <v/>
      </c>
      <c r="CK14" s="530" t="str">
        <f t="shared" si="38"/>
        <v/>
      </c>
      <c r="CL14" s="530" t="str">
        <f t="shared" si="39"/>
        <v/>
      </c>
      <c r="CM14" s="82" t="str">
        <f t="shared" si="40"/>
        <v/>
      </c>
      <c r="CN14" s="496" t="str">
        <f t="shared" si="3"/>
        <v/>
      </c>
      <c r="CO14" s="496" t="str">
        <f t="shared" si="41"/>
        <v>0</v>
      </c>
      <c r="CP14" s="491">
        <f t="shared" si="42"/>
        <v>0</v>
      </c>
      <c r="CS14" s="496">
        <f t="shared" si="43"/>
        <v>0</v>
      </c>
      <c r="CT14" s="496">
        <f t="shared" si="44"/>
        <v>0</v>
      </c>
      <c r="CU14" s="497" t="str">
        <f t="shared" si="45"/>
        <v>00</v>
      </c>
    </row>
    <row r="15" spans="1:101" s="5" customFormat="1" ht="15" customHeight="1">
      <c r="A15" s="1073">
        <v>12</v>
      </c>
      <c r="B15" s="922"/>
      <c r="C15" s="924" t="str">
        <f t="shared" si="4"/>
        <v/>
      </c>
      <c r="D15" s="1232"/>
      <c r="E15" s="925"/>
      <c r="F15" s="926"/>
      <c r="G15" s="926"/>
      <c r="H15" s="927"/>
      <c r="I15" s="928"/>
      <c r="J15" s="929"/>
      <c r="K15" s="1012"/>
      <c r="L15" s="1012"/>
      <c r="M15" s="1017"/>
      <c r="N15" s="947" t="str">
        <f t="shared" si="5"/>
        <v>00</v>
      </c>
      <c r="O15" s="406" t="str">
        <f t="shared" si="46"/>
        <v/>
      </c>
      <c r="P15" s="407" t="str">
        <f>IF(O15="","",VLOOKUP(O15,所属コード!$A$2:$E$11,2,FALSE))</f>
        <v/>
      </c>
      <c r="Q15" s="1033" t="str">
        <f>IF(O15="","",VLOOKUP(O15,所属コード!$A$2:$G$11,7,FALSE))</f>
        <v/>
      </c>
      <c r="R15" s="1035"/>
      <c r="S15" s="77"/>
      <c r="T15" s="77"/>
      <c r="U15" s="77"/>
      <c r="V15" s="15"/>
      <c r="X15" s="492"/>
      <c r="Y15" s="945" t="str">
        <f t="shared" si="6"/>
        <v/>
      </c>
      <c r="Z15" s="489" t="str">
        <f t="shared" si="7"/>
        <v/>
      </c>
      <c r="AA15" s="488"/>
      <c r="AB15" s="488"/>
      <c r="AC15" s="488"/>
      <c r="AD15" s="488"/>
      <c r="AE15" s="488"/>
      <c r="AF15" s="488"/>
      <c r="AG15" s="491"/>
      <c r="AH15" s="591"/>
      <c r="AI15" s="592"/>
      <c r="AJ15" s="592"/>
      <c r="AK15" s="592"/>
      <c r="AL15" s="592"/>
      <c r="AM15" s="592"/>
      <c r="AN15" s="592"/>
      <c r="AO15" s="592"/>
      <c r="AP15" s="592"/>
      <c r="AQ15" s="592"/>
      <c r="AR15" s="592"/>
      <c r="AS15" s="592"/>
      <c r="AT15" s="592"/>
      <c r="AU15" s="592"/>
      <c r="AV15" s="592"/>
      <c r="AW15" s="1084"/>
      <c r="AX15" s="609">
        <f t="shared" si="8"/>
        <v>0</v>
      </c>
      <c r="AY15" s="602">
        <f t="shared" si="0"/>
        <v>0</v>
      </c>
      <c r="AZ15" s="593">
        <f t="shared" si="1"/>
        <v>0</v>
      </c>
      <c r="BA15" s="594">
        <f t="shared" si="2"/>
        <v>0</v>
      </c>
      <c r="BB15" s="593">
        <f t="shared" si="2"/>
        <v>0</v>
      </c>
      <c r="BC15" s="593">
        <f t="shared" si="9"/>
        <v>0</v>
      </c>
      <c r="BD15" s="593">
        <f t="shared" si="10"/>
        <v>0</v>
      </c>
      <c r="BE15" s="593">
        <f t="shared" si="11"/>
        <v>0</v>
      </c>
      <c r="BF15" s="593">
        <f t="shared" si="12"/>
        <v>0</v>
      </c>
      <c r="BG15" s="593">
        <f t="shared" si="13"/>
        <v>0</v>
      </c>
      <c r="BH15" s="593">
        <f t="shared" si="14"/>
        <v>0</v>
      </c>
      <c r="BI15" s="593">
        <f t="shared" si="14"/>
        <v>0</v>
      </c>
      <c r="BJ15" s="593">
        <f t="shared" si="15"/>
        <v>0</v>
      </c>
      <c r="BK15" s="593">
        <f t="shared" si="15"/>
        <v>0</v>
      </c>
      <c r="BL15" s="593">
        <f t="shared" si="16"/>
        <v>0</v>
      </c>
      <c r="BM15" s="593">
        <f t="shared" si="17"/>
        <v>0</v>
      </c>
      <c r="BN15" s="593">
        <f t="shared" si="17"/>
        <v>0</v>
      </c>
      <c r="BO15" s="593">
        <f t="shared" si="17"/>
        <v>0</v>
      </c>
      <c r="BP15" s="593">
        <f t="shared" si="18"/>
        <v>0</v>
      </c>
      <c r="BQ15" s="593">
        <f t="shared" si="19"/>
        <v>0</v>
      </c>
      <c r="BR15" s="593">
        <f t="shared" si="20"/>
        <v>0</v>
      </c>
      <c r="BS15" s="593">
        <f t="shared" si="21"/>
        <v>0</v>
      </c>
      <c r="BT15" s="593">
        <f t="shared" si="22"/>
        <v>0</v>
      </c>
      <c r="BU15" s="593">
        <f t="shared" si="23"/>
        <v>0</v>
      </c>
      <c r="BV15" s="593">
        <f t="shared" si="24"/>
        <v>0</v>
      </c>
      <c r="BW15" s="593">
        <f t="shared" si="25"/>
        <v>0</v>
      </c>
      <c r="BX15" s="593">
        <f t="shared" si="26"/>
        <v>0</v>
      </c>
      <c r="BY15" s="593">
        <f t="shared" si="27"/>
        <v>0</v>
      </c>
      <c r="BZ15" s="593">
        <f t="shared" si="28"/>
        <v>0</v>
      </c>
      <c r="CA15" s="593">
        <f t="shared" si="29"/>
        <v>0</v>
      </c>
      <c r="CB15" s="593">
        <f t="shared" si="30"/>
        <v>0</v>
      </c>
      <c r="CC15" s="593">
        <f t="shared" si="31"/>
        <v>0</v>
      </c>
      <c r="CD15" s="593">
        <f t="shared" si="32"/>
        <v>0</v>
      </c>
      <c r="CE15" s="593">
        <f t="shared" si="32"/>
        <v>0</v>
      </c>
      <c r="CF15" s="595">
        <f t="shared" si="33"/>
        <v>0</v>
      </c>
      <c r="CG15" s="555" t="str">
        <f t="shared" si="34"/>
        <v/>
      </c>
      <c r="CH15" s="530" t="str">
        <f t="shared" si="35"/>
        <v/>
      </c>
      <c r="CI15" s="530" t="str">
        <f t="shared" si="36"/>
        <v/>
      </c>
      <c r="CJ15" s="530" t="str">
        <f t="shared" si="37"/>
        <v/>
      </c>
      <c r="CK15" s="530" t="str">
        <f t="shared" si="38"/>
        <v/>
      </c>
      <c r="CL15" s="530" t="str">
        <f t="shared" si="39"/>
        <v/>
      </c>
      <c r="CM15" s="82" t="str">
        <f t="shared" si="40"/>
        <v/>
      </c>
      <c r="CN15" s="496" t="str">
        <f t="shared" si="3"/>
        <v/>
      </c>
      <c r="CO15" s="496" t="str">
        <f t="shared" si="41"/>
        <v>0</v>
      </c>
      <c r="CP15" s="491">
        <f t="shared" si="42"/>
        <v>0</v>
      </c>
      <c r="CQ15" s="906"/>
      <c r="CR15" s="935"/>
      <c r="CS15" s="496">
        <f t="shared" si="43"/>
        <v>0</v>
      </c>
      <c r="CT15" s="496">
        <f t="shared" si="44"/>
        <v>0</v>
      </c>
      <c r="CU15" s="497" t="str">
        <f t="shared" si="45"/>
        <v>00</v>
      </c>
    </row>
    <row r="16" spans="1:101" s="5" customFormat="1" ht="15" customHeight="1">
      <c r="A16" s="1073">
        <v>13</v>
      </c>
      <c r="B16" s="922"/>
      <c r="C16" s="924" t="str">
        <f t="shared" si="4"/>
        <v/>
      </c>
      <c r="D16" s="1232"/>
      <c r="E16" s="913"/>
      <c r="F16" s="914"/>
      <c r="G16" s="926"/>
      <c r="H16" s="915"/>
      <c r="I16" s="916"/>
      <c r="J16" s="917"/>
      <c r="K16" s="1012"/>
      <c r="L16" s="1012"/>
      <c r="M16" s="1017"/>
      <c r="N16" s="947" t="str">
        <f t="shared" si="5"/>
        <v>00</v>
      </c>
      <c r="O16" s="406" t="str">
        <f t="shared" si="46"/>
        <v/>
      </c>
      <c r="P16" s="407" t="str">
        <f>IF(O16="","",VLOOKUP(O16,所属コード!$A$2:$E$11,2,FALSE))</f>
        <v/>
      </c>
      <c r="Q16" s="1033" t="str">
        <f>IF(O16="","",VLOOKUP(O16,所属コード!$A$2:$G$11,7,FALSE))</f>
        <v/>
      </c>
      <c r="R16" s="1035"/>
      <c r="S16" s="77"/>
      <c r="T16" s="77"/>
      <c r="U16" s="77"/>
      <c r="V16" s="15"/>
      <c r="X16" s="492"/>
      <c r="Y16" s="945" t="str">
        <f t="shared" si="6"/>
        <v/>
      </c>
      <c r="Z16" s="489" t="str">
        <f t="shared" si="7"/>
        <v/>
      </c>
      <c r="AA16" s="488"/>
      <c r="AB16" s="488"/>
      <c r="AC16" s="488"/>
      <c r="AD16" s="488"/>
      <c r="AE16" s="488"/>
      <c r="AF16" s="488"/>
      <c r="AG16" s="491"/>
      <c r="AH16" s="591"/>
      <c r="AI16" s="592"/>
      <c r="AJ16" s="592"/>
      <c r="AK16" s="592"/>
      <c r="AL16" s="592"/>
      <c r="AM16" s="592"/>
      <c r="AN16" s="592"/>
      <c r="AO16" s="592"/>
      <c r="AP16" s="592"/>
      <c r="AQ16" s="592"/>
      <c r="AR16" s="592"/>
      <c r="AS16" s="592"/>
      <c r="AT16" s="592"/>
      <c r="AU16" s="592"/>
      <c r="AV16" s="592"/>
      <c r="AW16" s="1084"/>
      <c r="AX16" s="609">
        <f t="shared" si="8"/>
        <v>0</v>
      </c>
      <c r="AY16" s="602">
        <f t="shared" si="0"/>
        <v>0</v>
      </c>
      <c r="AZ16" s="593">
        <f t="shared" si="1"/>
        <v>0</v>
      </c>
      <c r="BA16" s="594">
        <f t="shared" si="2"/>
        <v>0</v>
      </c>
      <c r="BB16" s="593">
        <f t="shared" si="2"/>
        <v>0</v>
      </c>
      <c r="BC16" s="593">
        <f t="shared" si="9"/>
        <v>0</v>
      </c>
      <c r="BD16" s="593">
        <f t="shared" si="10"/>
        <v>0</v>
      </c>
      <c r="BE16" s="593">
        <f t="shared" si="11"/>
        <v>0</v>
      </c>
      <c r="BF16" s="593">
        <f t="shared" si="12"/>
        <v>0</v>
      </c>
      <c r="BG16" s="593">
        <f t="shared" si="13"/>
        <v>0</v>
      </c>
      <c r="BH16" s="593">
        <f t="shared" si="14"/>
        <v>0</v>
      </c>
      <c r="BI16" s="593">
        <f t="shared" si="14"/>
        <v>0</v>
      </c>
      <c r="BJ16" s="593">
        <f t="shared" si="15"/>
        <v>0</v>
      </c>
      <c r="BK16" s="593">
        <f t="shared" si="15"/>
        <v>0</v>
      </c>
      <c r="BL16" s="593">
        <f t="shared" si="16"/>
        <v>0</v>
      </c>
      <c r="BM16" s="593">
        <f t="shared" si="17"/>
        <v>0</v>
      </c>
      <c r="BN16" s="593">
        <f t="shared" si="17"/>
        <v>0</v>
      </c>
      <c r="BO16" s="593">
        <f t="shared" si="17"/>
        <v>0</v>
      </c>
      <c r="BP16" s="593">
        <f t="shared" si="18"/>
        <v>0</v>
      </c>
      <c r="BQ16" s="593">
        <f t="shared" si="19"/>
        <v>0</v>
      </c>
      <c r="BR16" s="593">
        <f t="shared" si="20"/>
        <v>0</v>
      </c>
      <c r="BS16" s="593">
        <f t="shared" si="21"/>
        <v>0</v>
      </c>
      <c r="BT16" s="593">
        <f t="shared" si="22"/>
        <v>0</v>
      </c>
      <c r="BU16" s="593">
        <f t="shared" si="23"/>
        <v>0</v>
      </c>
      <c r="BV16" s="593">
        <f t="shared" si="24"/>
        <v>0</v>
      </c>
      <c r="BW16" s="593">
        <f t="shared" si="25"/>
        <v>0</v>
      </c>
      <c r="BX16" s="593">
        <f t="shared" si="26"/>
        <v>0</v>
      </c>
      <c r="BY16" s="593">
        <f t="shared" si="27"/>
        <v>0</v>
      </c>
      <c r="BZ16" s="593">
        <f t="shared" si="28"/>
        <v>0</v>
      </c>
      <c r="CA16" s="593">
        <f t="shared" si="29"/>
        <v>0</v>
      </c>
      <c r="CB16" s="593">
        <f t="shared" si="30"/>
        <v>0</v>
      </c>
      <c r="CC16" s="593">
        <f t="shared" si="31"/>
        <v>0</v>
      </c>
      <c r="CD16" s="593">
        <f t="shared" si="32"/>
        <v>0</v>
      </c>
      <c r="CE16" s="593">
        <f t="shared" si="32"/>
        <v>0</v>
      </c>
      <c r="CF16" s="595">
        <f t="shared" si="33"/>
        <v>0</v>
      </c>
      <c r="CG16" s="555" t="str">
        <f t="shared" si="34"/>
        <v/>
      </c>
      <c r="CH16" s="530" t="str">
        <f t="shared" si="35"/>
        <v/>
      </c>
      <c r="CI16" s="530" t="str">
        <f t="shared" si="36"/>
        <v/>
      </c>
      <c r="CJ16" s="530" t="str">
        <f t="shared" si="37"/>
        <v/>
      </c>
      <c r="CK16" s="530" t="str">
        <f t="shared" si="38"/>
        <v/>
      </c>
      <c r="CL16" s="530" t="str">
        <f t="shared" si="39"/>
        <v/>
      </c>
      <c r="CM16" s="82" t="str">
        <f t="shared" si="40"/>
        <v/>
      </c>
      <c r="CN16" s="496" t="str">
        <f t="shared" si="3"/>
        <v/>
      </c>
      <c r="CO16" s="496" t="str">
        <f t="shared" si="41"/>
        <v>0</v>
      </c>
      <c r="CP16" s="491">
        <f t="shared" si="42"/>
        <v>0</v>
      </c>
      <c r="CQ16" s="906"/>
      <c r="CR16" s="935"/>
      <c r="CS16" s="496">
        <f t="shared" si="43"/>
        <v>0</v>
      </c>
      <c r="CT16" s="496">
        <f t="shared" si="44"/>
        <v>0</v>
      </c>
      <c r="CU16" s="497" t="str">
        <f t="shared" si="45"/>
        <v>00</v>
      </c>
    </row>
    <row r="17" spans="1:99" s="5" customFormat="1" ht="15" customHeight="1">
      <c r="A17" s="1073">
        <v>14</v>
      </c>
      <c r="B17" s="922"/>
      <c r="C17" s="924" t="str">
        <f t="shared" si="4"/>
        <v/>
      </c>
      <c r="D17" s="1232"/>
      <c r="E17" s="913"/>
      <c r="F17" s="914"/>
      <c r="G17" s="926"/>
      <c r="H17" s="915"/>
      <c r="I17" s="916"/>
      <c r="J17" s="917"/>
      <c r="K17" s="1012"/>
      <c r="L17" s="1012"/>
      <c r="M17" s="1017"/>
      <c r="N17" s="947" t="str">
        <f t="shared" si="5"/>
        <v>00</v>
      </c>
      <c r="O17" s="406" t="str">
        <f t="shared" si="46"/>
        <v/>
      </c>
      <c r="P17" s="407" t="str">
        <f>IF(O17="","",VLOOKUP(O17,所属コード!$A$2:$E$11,2,FALSE))</f>
        <v/>
      </c>
      <c r="Q17" s="1033" t="str">
        <f>IF(O17="","",VLOOKUP(O17,所属コード!$A$2:$G$11,7,FALSE))</f>
        <v/>
      </c>
      <c r="R17" s="1035"/>
      <c r="S17" s="77"/>
      <c r="T17" s="77"/>
      <c r="U17" s="77"/>
      <c r="V17" s="15"/>
      <c r="X17" s="492"/>
      <c r="Y17" s="945" t="str">
        <f t="shared" si="6"/>
        <v/>
      </c>
      <c r="Z17" s="489" t="str">
        <f t="shared" si="7"/>
        <v/>
      </c>
      <c r="AA17" s="488"/>
      <c r="AB17" s="488"/>
      <c r="AC17" s="488"/>
      <c r="AD17" s="488"/>
      <c r="AE17" s="488"/>
      <c r="AF17" s="488"/>
      <c r="AG17" s="491"/>
      <c r="AH17" s="591"/>
      <c r="AI17" s="592"/>
      <c r="AJ17" s="592"/>
      <c r="AK17" s="592"/>
      <c r="AL17" s="592"/>
      <c r="AM17" s="592"/>
      <c r="AN17" s="592"/>
      <c r="AO17" s="592"/>
      <c r="AP17" s="592"/>
      <c r="AQ17" s="592"/>
      <c r="AR17" s="592"/>
      <c r="AS17" s="592"/>
      <c r="AT17" s="592"/>
      <c r="AU17" s="592"/>
      <c r="AV17" s="592"/>
      <c r="AW17" s="1084"/>
      <c r="AX17" s="609">
        <f t="shared" si="8"/>
        <v>0</v>
      </c>
      <c r="AY17" s="602">
        <f t="shared" si="0"/>
        <v>0</v>
      </c>
      <c r="AZ17" s="593">
        <f t="shared" si="1"/>
        <v>0</v>
      </c>
      <c r="BA17" s="594">
        <f t="shared" si="2"/>
        <v>0</v>
      </c>
      <c r="BB17" s="593">
        <f t="shared" si="2"/>
        <v>0</v>
      </c>
      <c r="BC17" s="593">
        <f t="shared" si="9"/>
        <v>0</v>
      </c>
      <c r="BD17" s="593">
        <f t="shared" si="10"/>
        <v>0</v>
      </c>
      <c r="BE17" s="593">
        <f t="shared" si="11"/>
        <v>0</v>
      </c>
      <c r="BF17" s="593">
        <f t="shared" si="12"/>
        <v>0</v>
      </c>
      <c r="BG17" s="593">
        <f t="shared" si="13"/>
        <v>0</v>
      </c>
      <c r="BH17" s="593">
        <f t="shared" si="14"/>
        <v>0</v>
      </c>
      <c r="BI17" s="593">
        <f t="shared" si="14"/>
        <v>0</v>
      </c>
      <c r="BJ17" s="593">
        <f t="shared" si="15"/>
        <v>0</v>
      </c>
      <c r="BK17" s="593">
        <f t="shared" si="15"/>
        <v>0</v>
      </c>
      <c r="BL17" s="593">
        <f t="shared" si="16"/>
        <v>0</v>
      </c>
      <c r="BM17" s="593">
        <f t="shared" si="17"/>
        <v>0</v>
      </c>
      <c r="BN17" s="593">
        <f t="shared" si="17"/>
        <v>0</v>
      </c>
      <c r="BO17" s="593">
        <f t="shared" si="17"/>
        <v>0</v>
      </c>
      <c r="BP17" s="593">
        <f t="shared" si="18"/>
        <v>0</v>
      </c>
      <c r="BQ17" s="593">
        <f t="shared" si="19"/>
        <v>0</v>
      </c>
      <c r="BR17" s="593">
        <f t="shared" si="20"/>
        <v>0</v>
      </c>
      <c r="BS17" s="593">
        <f t="shared" si="21"/>
        <v>0</v>
      </c>
      <c r="BT17" s="593">
        <f t="shared" si="22"/>
        <v>0</v>
      </c>
      <c r="BU17" s="593">
        <f t="shared" si="23"/>
        <v>0</v>
      </c>
      <c r="BV17" s="593">
        <f t="shared" si="24"/>
        <v>0</v>
      </c>
      <c r="BW17" s="593">
        <f t="shared" si="25"/>
        <v>0</v>
      </c>
      <c r="BX17" s="593">
        <f t="shared" si="26"/>
        <v>0</v>
      </c>
      <c r="BY17" s="593">
        <f t="shared" si="27"/>
        <v>0</v>
      </c>
      <c r="BZ17" s="593">
        <f t="shared" si="28"/>
        <v>0</v>
      </c>
      <c r="CA17" s="593">
        <f t="shared" si="29"/>
        <v>0</v>
      </c>
      <c r="CB17" s="593">
        <f t="shared" si="30"/>
        <v>0</v>
      </c>
      <c r="CC17" s="593">
        <f t="shared" si="31"/>
        <v>0</v>
      </c>
      <c r="CD17" s="593">
        <f t="shared" si="32"/>
        <v>0</v>
      </c>
      <c r="CE17" s="593">
        <f t="shared" si="32"/>
        <v>0</v>
      </c>
      <c r="CF17" s="595">
        <f t="shared" si="33"/>
        <v>0</v>
      </c>
      <c r="CG17" s="555" t="str">
        <f t="shared" si="34"/>
        <v/>
      </c>
      <c r="CH17" s="530" t="str">
        <f t="shared" si="35"/>
        <v/>
      </c>
      <c r="CI17" s="530" t="str">
        <f t="shared" si="36"/>
        <v/>
      </c>
      <c r="CJ17" s="530" t="str">
        <f t="shared" si="37"/>
        <v/>
      </c>
      <c r="CK17" s="530" t="str">
        <f t="shared" si="38"/>
        <v/>
      </c>
      <c r="CL17" s="530" t="str">
        <f t="shared" si="39"/>
        <v/>
      </c>
      <c r="CM17" s="82" t="str">
        <f t="shared" si="40"/>
        <v/>
      </c>
      <c r="CN17" s="496" t="str">
        <f t="shared" si="3"/>
        <v/>
      </c>
      <c r="CO17" s="496" t="str">
        <f t="shared" si="41"/>
        <v>0</v>
      </c>
      <c r="CP17" s="491">
        <f t="shared" si="42"/>
        <v>0</v>
      </c>
      <c r="CQ17" s="906"/>
      <c r="CR17" s="935"/>
      <c r="CS17" s="496">
        <f t="shared" si="43"/>
        <v>0</v>
      </c>
      <c r="CT17" s="496">
        <f t="shared" si="44"/>
        <v>0</v>
      </c>
      <c r="CU17" s="497" t="str">
        <f t="shared" si="45"/>
        <v>00</v>
      </c>
    </row>
    <row r="18" spans="1:99" s="5" customFormat="1" ht="15" customHeight="1">
      <c r="A18" s="1073">
        <v>15</v>
      </c>
      <c r="B18" s="922"/>
      <c r="C18" s="924" t="str">
        <f t="shared" si="4"/>
        <v/>
      </c>
      <c r="D18" s="1232"/>
      <c r="E18" s="913"/>
      <c r="F18" s="914"/>
      <c r="G18" s="926"/>
      <c r="H18" s="915"/>
      <c r="I18" s="916"/>
      <c r="J18" s="917"/>
      <c r="K18" s="1012"/>
      <c r="L18" s="1012"/>
      <c r="M18" s="1017"/>
      <c r="N18" s="947" t="str">
        <f t="shared" si="5"/>
        <v>00</v>
      </c>
      <c r="O18" s="406" t="str">
        <f t="shared" si="46"/>
        <v/>
      </c>
      <c r="P18" s="407" t="str">
        <f>IF(O18="","",VLOOKUP(O18,所属コード!$A$2:$E$11,2,FALSE))</f>
        <v/>
      </c>
      <c r="Q18" s="1033" t="str">
        <f>IF(O18="","",VLOOKUP(O18,所属コード!$A$2:$G$11,7,FALSE))</f>
        <v/>
      </c>
      <c r="R18" s="1035"/>
      <c r="S18" s="77"/>
      <c r="T18" s="77"/>
      <c r="U18" s="77"/>
      <c r="V18" s="15"/>
      <c r="X18" s="492"/>
      <c r="Y18" s="945" t="str">
        <f t="shared" si="6"/>
        <v/>
      </c>
      <c r="Z18" s="489" t="str">
        <f t="shared" si="7"/>
        <v/>
      </c>
      <c r="AA18" s="488"/>
      <c r="AB18" s="488"/>
      <c r="AC18" s="488"/>
      <c r="AD18" s="488"/>
      <c r="AE18" s="488"/>
      <c r="AF18" s="488"/>
      <c r="AG18" s="491"/>
      <c r="AH18" s="591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1084"/>
      <c r="AX18" s="609">
        <f t="shared" si="8"/>
        <v>0</v>
      </c>
      <c r="AY18" s="602">
        <f t="shared" si="0"/>
        <v>0</v>
      </c>
      <c r="AZ18" s="593">
        <f t="shared" si="1"/>
        <v>0</v>
      </c>
      <c r="BA18" s="594">
        <f t="shared" si="2"/>
        <v>0</v>
      </c>
      <c r="BB18" s="593">
        <f t="shared" si="2"/>
        <v>0</v>
      </c>
      <c r="BC18" s="593">
        <f t="shared" si="9"/>
        <v>0</v>
      </c>
      <c r="BD18" s="593">
        <f t="shared" si="10"/>
        <v>0</v>
      </c>
      <c r="BE18" s="593">
        <f t="shared" si="11"/>
        <v>0</v>
      </c>
      <c r="BF18" s="593">
        <f t="shared" si="12"/>
        <v>0</v>
      </c>
      <c r="BG18" s="593">
        <f t="shared" si="13"/>
        <v>0</v>
      </c>
      <c r="BH18" s="593">
        <f t="shared" si="14"/>
        <v>0</v>
      </c>
      <c r="BI18" s="593">
        <f t="shared" si="14"/>
        <v>0</v>
      </c>
      <c r="BJ18" s="593">
        <f t="shared" si="15"/>
        <v>0</v>
      </c>
      <c r="BK18" s="593">
        <f t="shared" si="15"/>
        <v>0</v>
      </c>
      <c r="BL18" s="593">
        <f t="shared" si="16"/>
        <v>0</v>
      </c>
      <c r="BM18" s="593">
        <f t="shared" si="17"/>
        <v>0</v>
      </c>
      <c r="BN18" s="593">
        <f t="shared" si="17"/>
        <v>0</v>
      </c>
      <c r="BO18" s="593">
        <f t="shared" si="17"/>
        <v>0</v>
      </c>
      <c r="BP18" s="593">
        <f t="shared" si="18"/>
        <v>0</v>
      </c>
      <c r="BQ18" s="593">
        <f t="shared" si="19"/>
        <v>0</v>
      </c>
      <c r="BR18" s="593">
        <f t="shared" si="20"/>
        <v>0</v>
      </c>
      <c r="BS18" s="593">
        <f t="shared" si="21"/>
        <v>0</v>
      </c>
      <c r="BT18" s="593">
        <f t="shared" si="22"/>
        <v>0</v>
      </c>
      <c r="BU18" s="593">
        <f t="shared" si="23"/>
        <v>0</v>
      </c>
      <c r="BV18" s="593">
        <f t="shared" si="24"/>
        <v>0</v>
      </c>
      <c r="BW18" s="593">
        <f t="shared" si="25"/>
        <v>0</v>
      </c>
      <c r="BX18" s="593">
        <f t="shared" si="26"/>
        <v>0</v>
      </c>
      <c r="BY18" s="593">
        <f t="shared" si="27"/>
        <v>0</v>
      </c>
      <c r="BZ18" s="593">
        <f t="shared" si="28"/>
        <v>0</v>
      </c>
      <c r="CA18" s="593">
        <f t="shared" si="29"/>
        <v>0</v>
      </c>
      <c r="CB18" s="593">
        <f t="shared" si="30"/>
        <v>0</v>
      </c>
      <c r="CC18" s="593">
        <f t="shared" si="31"/>
        <v>0</v>
      </c>
      <c r="CD18" s="593">
        <f t="shared" si="32"/>
        <v>0</v>
      </c>
      <c r="CE18" s="593">
        <f t="shared" si="32"/>
        <v>0</v>
      </c>
      <c r="CF18" s="595">
        <f t="shared" si="33"/>
        <v>0</v>
      </c>
      <c r="CG18" s="555" t="str">
        <f t="shared" si="34"/>
        <v/>
      </c>
      <c r="CH18" s="530" t="str">
        <f t="shared" si="35"/>
        <v/>
      </c>
      <c r="CI18" s="530" t="str">
        <f t="shared" si="36"/>
        <v/>
      </c>
      <c r="CJ18" s="530" t="str">
        <f t="shared" si="37"/>
        <v/>
      </c>
      <c r="CK18" s="530" t="str">
        <f t="shared" si="38"/>
        <v/>
      </c>
      <c r="CL18" s="530" t="str">
        <f t="shared" si="39"/>
        <v/>
      </c>
      <c r="CM18" s="82" t="str">
        <f t="shared" si="40"/>
        <v/>
      </c>
      <c r="CN18" s="496" t="str">
        <f t="shared" si="3"/>
        <v/>
      </c>
      <c r="CO18" s="496" t="str">
        <f t="shared" si="41"/>
        <v>0</v>
      </c>
      <c r="CP18" s="491">
        <f t="shared" si="42"/>
        <v>0</v>
      </c>
      <c r="CQ18" s="906"/>
      <c r="CR18" s="935"/>
      <c r="CS18" s="496">
        <f t="shared" si="43"/>
        <v>0</v>
      </c>
      <c r="CT18" s="496">
        <f t="shared" si="44"/>
        <v>0</v>
      </c>
      <c r="CU18" s="497" t="str">
        <f t="shared" si="45"/>
        <v>00</v>
      </c>
    </row>
    <row r="19" spans="1:99" s="5" customFormat="1" ht="15" customHeight="1">
      <c r="A19" s="1073">
        <v>16</v>
      </c>
      <c r="B19" s="922"/>
      <c r="C19" s="924" t="str">
        <f t="shared" si="4"/>
        <v/>
      </c>
      <c r="D19" s="1232"/>
      <c r="E19" s="913"/>
      <c r="F19" s="914"/>
      <c r="G19" s="926"/>
      <c r="H19" s="915"/>
      <c r="I19" s="916"/>
      <c r="J19" s="917"/>
      <c r="K19" s="1012"/>
      <c r="L19" s="1012"/>
      <c r="M19" s="1017"/>
      <c r="N19" s="947" t="str">
        <f t="shared" si="5"/>
        <v>00</v>
      </c>
      <c r="O19" s="406" t="str">
        <f t="shared" si="46"/>
        <v/>
      </c>
      <c r="P19" s="407" t="str">
        <f>IF(O19="","",VLOOKUP(O19,所属コード!$A$2:$E$11,2,FALSE))</f>
        <v/>
      </c>
      <c r="Q19" s="1033" t="str">
        <f>IF(O19="","",VLOOKUP(O19,所属コード!$A$2:$G$11,7,FALSE))</f>
        <v/>
      </c>
      <c r="R19" s="1035"/>
      <c r="S19" s="77"/>
      <c r="T19" s="77"/>
      <c r="U19" s="77"/>
      <c r="V19" s="15"/>
      <c r="X19" s="492"/>
      <c r="Y19" s="945" t="str">
        <f t="shared" si="6"/>
        <v/>
      </c>
      <c r="Z19" s="489" t="str">
        <f t="shared" si="7"/>
        <v/>
      </c>
      <c r="AA19" s="488"/>
      <c r="AB19" s="488"/>
      <c r="AC19" s="488"/>
      <c r="AD19" s="488"/>
      <c r="AE19" s="488"/>
      <c r="AF19" s="488"/>
      <c r="AG19" s="491"/>
      <c r="AH19" s="591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1084"/>
      <c r="AX19" s="609">
        <f t="shared" si="8"/>
        <v>0</v>
      </c>
      <c r="AY19" s="602">
        <f t="shared" si="0"/>
        <v>0</v>
      </c>
      <c r="AZ19" s="593">
        <f t="shared" si="1"/>
        <v>0</v>
      </c>
      <c r="BA19" s="594">
        <f t="shared" si="2"/>
        <v>0</v>
      </c>
      <c r="BB19" s="593">
        <f t="shared" si="2"/>
        <v>0</v>
      </c>
      <c r="BC19" s="593">
        <f t="shared" si="9"/>
        <v>0</v>
      </c>
      <c r="BD19" s="593">
        <f t="shared" si="10"/>
        <v>0</v>
      </c>
      <c r="BE19" s="593">
        <f t="shared" si="11"/>
        <v>0</v>
      </c>
      <c r="BF19" s="593">
        <f t="shared" si="12"/>
        <v>0</v>
      </c>
      <c r="BG19" s="593">
        <f t="shared" si="13"/>
        <v>0</v>
      </c>
      <c r="BH19" s="593">
        <f t="shared" si="14"/>
        <v>0</v>
      </c>
      <c r="BI19" s="593">
        <f t="shared" si="14"/>
        <v>0</v>
      </c>
      <c r="BJ19" s="593">
        <f t="shared" si="15"/>
        <v>0</v>
      </c>
      <c r="BK19" s="593">
        <f t="shared" si="15"/>
        <v>0</v>
      </c>
      <c r="BL19" s="593">
        <f t="shared" si="16"/>
        <v>0</v>
      </c>
      <c r="BM19" s="593">
        <f t="shared" si="17"/>
        <v>0</v>
      </c>
      <c r="BN19" s="593">
        <f t="shared" si="17"/>
        <v>0</v>
      </c>
      <c r="BO19" s="593">
        <f t="shared" si="17"/>
        <v>0</v>
      </c>
      <c r="BP19" s="593">
        <f t="shared" si="18"/>
        <v>0</v>
      </c>
      <c r="BQ19" s="593">
        <f t="shared" si="19"/>
        <v>0</v>
      </c>
      <c r="BR19" s="593">
        <f t="shared" si="20"/>
        <v>0</v>
      </c>
      <c r="BS19" s="593">
        <f t="shared" si="21"/>
        <v>0</v>
      </c>
      <c r="BT19" s="593">
        <f t="shared" si="22"/>
        <v>0</v>
      </c>
      <c r="BU19" s="593">
        <f t="shared" si="23"/>
        <v>0</v>
      </c>
      <c r="BV19" s="593">
        <f t="shared" si="24"/>
        <v>0</v>
      </c>
      <c r="BW19" s="593">
        <f t="shared" si="25"/>
        <v>0</v>
      </c>
      <c r="BX19" s="593">
        <f t="shared" si="26"/>
        <v>0</v>
      </c>
      <c r="BY19" s="593">
        <f t="shared" si="27"/>
        <v>0</v>
      </c>
      <c r="BZ19" s="593">
        <f t="shared" si="28"/>
        <v>0</v>
      </c>
      <c r="CA19" s="593">
        <f t="shared" si="29"/>
        <v>0</v>
      </c>
      <c r="CB19" s="593">
        <f t="shared" si="30"/>
        <v>0</v>
      </c>
      <c r="CC19" s="593">
        <f t="shared" si="31"/>
        <v>0</v>
      </c>
      <c r="CD19" s="593">
        <f t="shared" si="32"/>
        <v>0</v>
      </c>
      <c r="CE19" s="593">
        <f t="shared" si="32"/>
        <v>0</v>
      </c>
      <c r="CF19" s="595">
        <f t="shared" si="33"/>
        <v>0</v>
      </c>
      <c r="CG19" s="555" t="str">
        <f t="shared" si="34"/>
        <v/>
      </c>
      <c r="CH19" s="530" t="str">
        <f t="shared" si="35"/>
        <v/>
      </c>
      <c r="CI19" s="530" t="str">
        <f t="shared" si="36"/>
        <v/>
      </c>
      <c r="CJ19" s="530" t="str">
        <f t="shared" si="37"/>
        <v/>
      </c>
      <c r="CK19" s="530" t="str">
        <f t="shared" si="38"/>
        <v/>
      </c>
      <c r="CL19" s="530" t="str">
        <f t="shared" si="39"/>
        <v/>
      </c>
      <c r="CM19" s="82" t="str">
        <f t="shared" si="40"/>
        <v/>
      </c>
      <c r="CN19" s="496" t="str">
        <f t="shared" si="3"/>
        <v/>
      </c>
      <c r="CO19" s="496" t="str">
        <f t="shared" si="41"/>
        <v>0</v>
      </c>
      <c r="CP19" s="491">
        <f t="shared" si="42"/>
        <v>0</v>
      </c>
      <c r="CQ19" s="906"/>
      <c r="CR19" s="935"/>
      <c r="CS19" s="496">
        <f t="shared" si="43"/>
        <v>0</v>
      </c>
      <c r="CT19" s="496">
        <f t="shared" si="44"/>
        <v>0</v>
      </c>
      <c r="CU19" s="497" t="str">
        <f t="shared" si="45"/>
        <v>00</v>
      </c>
    </row>
    <row r="20" spans="1:99" s="5" customFormat="1" ht="15" customHeight="1">
      <c r="A20" s="1073">
        <v>17</v>
      </c>
      <c r="B20" s="922"/>
      <c r="C20" s="924" t="str">
        <f t="shared" si="4"/>
        <v/>
      </c>
      <c r="D20" s="1232"/>
      <c r="E20" s="913"/>
      <c r="F20" s="914"/>
      <c r="G20" s="926"/>
      <c r="H20" s="915"/>
      <c r="I20" s="916"/>
      <c r="J20" s="917"/>
      <c r="K20" s="1012"/>
      <c r="L20" s="1012"/>
      <c r="M20" s="1017"/>
      <c r="N20" s="947" t="str">
        <f t="shared" si="5"/>
        <v>00</v>
      </c>
      <c r="O20" s="406" t="str">
        <f t="shared" si="46"/>
        <v/>
      </c>
      <c r="P20" s="407" t="str">
        <f>IF(O20="","",VLOOKUP(O20,所属コード!$A$2:$E$11,2,FALSE))</f>
        <v/>
      </c>
      <c r="Q20" s="1033" t="str">
        <f>IF(O20="","",VLOOKUP(O20,所属コード!$A$2:$G$11,7,FALSE))</f>
        <v/>
      </c>
      <c r="R20" s="1035"/>
      <c r="S20" s="77"/>
      <c r="T20" s="77"/>
      <c r="U20" s="77"/>
      <c r="V20" s="15"/>
      <c r="X20" s="492"/>
      <c r="Y20" s="945" t="str">
        <f t="shared" si="6"/>
        <v/>
      </c>
      <c r="Z20" s="489" t="str">
        <f t="shared" si="7"/>
        <v/>
      </c>
      <c r="AA20" s="488"/>
      <c r="AB20" s="488"/>
      <c r="AC20" s="488"/>
      <c r="AD20" s="488"/>
      <c r="AE20" s="488"/>
      <c r="AF20" s="488"/>
      <c r="AG20" s="491"/>
      <c r="AH20" s="591"/>
      <c r="AI20" s="592"/>
      <c r="AJ20" s="592"/>
      <c r="AK20" s="592"/>
      <c r="AL20" s="592"/>
      <c r="AM20" s="592"/>
      <c r="AN20" s="592"/>
      <c r="AO20" s="592"/>
      <c r="AP20" s="592"/>
      <c r="AQ20" s="592"/>
      <c r="AR20" s="592"/>
      <c r="AS20" s="592"/>
      <c r="AT20" s="592"/>
      <c r="AU20" s="592"/>
      <c r="AV20" s="592"/>
      <c r="AW20" s="1084"/>
      <c r="AX20" s="609">
        <f t="shared" si="8"/>
        <v>0</v>
      </c>
      <c r="AY20" s="602">
        <f t="shared" si="0"/>
        <v>0</v>
      </c>
      <c r="AZ20" s="593">
        <f t="shared" si="1"/>
        <v>0</v>
      </c>
      <c r="BA20" s="594">
        <f t="shared" si="2"/>
        <v>0</v>
      </c>
      <c r="BB20" s="593">
        <f t="shared" si="2"/>
        <v>0</v>
      </c>
      <c r="BC20" s="593">
        <f t="shared" si="9"/>
        <v>0</v>
      </c>
      <c r="BD20" s="593">
        <f t="shared" si="10"/>
        <v>0</v>
      </c>
      <c r="BE20" s="593">
        <f t="shared" si="11"/>
        <v>0</v>
      </c>
      <c r="BF20" s="593">
        <f t="shared" si="12"/>
        <v>0</v>
      </c>
      <c r="BG20" s="593">
        <f t="shared" si="13"/>
        <v>0</v>
      </c>
      <c r="BH20" s="593">
        <f t="shared" si="14"/>
        <v>0</v>
      </c>
      <c r="BI20" s="593">
        <f t="shared" si="14"/>
        <v>0</v>
      </c>
      <c r="BJ20" s="593">
        <f t="shared" si="15"/>
        <v>0</v>
      </c>
      <c r="BK20" s="593">
        <f t="shared" si="15"/>
        <v>0</v>
      </c>
      <c r="BL20" s="593">
        <f t="shared" si="16"/>
        <v>0</v>
      </c>
      <c r="BM20" s="593">
        <f t="shared" si="17"/>
        <v>0</v>
      </c>
      <c r="BN20" s="593">
        <f t="shared" si="17"/>
        <v>0</v>
      </c>
      <c r="BO20" s="593">
        <f t="shared" si="17"/>
        <v>0</v>
      </c>
      <c r="BP20" s="593">
        <f t="shared" si="18"/>
        <v>0</v>
      </c>
      <c r="BQ20" s="593">
        <f t="shared" si="19"/>
        <v>0</v>
      </c>
      <c r="BR20" s="593">
        <f t="shared" si="20"/>
        <v>0</v>
      </c>
      <c r="BS20" s="593">
        <f t="shared" si="21"/>
        <v>0</v>
      </c>
      <c r="BT20" s="593">
        <f t="shared" si="22"/>
        <v>0</v>
      </c>
      <c r="BU20" s="593">
        <f t="shared" si="23"/>
        <v>0</v>
      </c>
      <c r="BV20" s="593">
        <f t="shared" si="24"/>
        <v>0</v>
      </c>
      <c r="BW20" s="593">
        <f t="shared" si="25"/>
        <v>0</v>
      </c>
      <c r="BX20" s="593">
        <f t="shared" si="26"/>
        <v>0</v>
      </c>
      <c r="BY20" s="593">
        <f t="shared" si="27"/>
        <v>0</v>
      </c>
      <c r="BZ20" s="593">
        <f t="shared" si="28"/>
        <v>0</v>
      </c>
      <c r="CA20" s="593">
        <f t="shared" si="29"/>
        <v>0</v>
      </c>
      <c r="CB20" s="593">
        <f t="shared" si="30"/>
        <v>0</v>
      </c>
      <c r="CC20" s="593">
        <f t="shared" si="31"/>
        <v>0</v>
      </c>
      <c r="CD20" s="593">
        <f t="shared" si="32"/>
        <v>0</v>
      </c>
      <c r="CE20" s="593">
        <f t="shared" si="32"/>
        <v>0</v>
      </c>
      <c r="CF20" s="595">
        <f t="shared" si="33"/>
        <v>0</v>
      </c>
      <c r="CG20" s="555" t="str">
        <f t="shared" si="34"/>
        <v/>
      </c>
      <c r="CH20" s="530" t="str">
        <f t="shared" si="35"/>
        <v/>
      </c>
      <c r="CI20" s="530" t="str">
        <f t="shared" si="36"/>
        <v/>
      </c>
      <c r="CJ20" s="530" t="str">
        <f t="shared" si="37"/>
        <v/>
      </c>
      <c r="CK20" s="530" t="str">
        <f t="shared" si="38"/>
        <v/>
      </c>
      <c r="CL20" s="530" t="str">
        <f t="shared" si="39"/>
        <v/>
      </c>
      <c r="CM20" s="82" t="str">
        <f t="shared" si="40"/>
        <v/>
      </c>
      <c r="CN20" s="496" t="str">
        <f t="shared" si="3"/>
        <v/>
      </c>
      <c r="CO20" s="496" t="str">
        <f t="shared" si="41"/>
        <v>0</v>
      </c>
      <c r="CP20" s="491">
        <f t="shared" si="42"/>
        <v>0</v>
      </c>
      <c r="CQ20" s="906"/>
      <c r="CR20" s="935"/>
      <c r="CS20" s="496">
        <f t="shared" si="43"/>
        <v>0</v>
      </c>
      <c r="CT20" s="496">
        <f t="shared" si="44"/>
        <v>0</v>
      </c>
      <c r="CU20" s="497" t="str">
        <f t="shared" si="45"/>
        <v>00</v>
      </c>
    </row>
    <row r="21" spans="1:99" s="5" customFormat="1" ht="15" customHeight="1">
      <c r="A21" s="1073">
        <v>18</v>
      </c>
      <c r="B21" s="922"/>
      <c r="C21" s="924" t="str">
        <f t="shared" si="4"/>
        <v/>
      </c>
      <c r="D21" s="1232"/>
      <c r="E21" s="913"/>
      <c r="F21" s="914"/>
      <c r="G21" s="926"/>
      <c r="H21" s="915"/>
      <c r="I21" s="916"/>
      <c r="J21" s="917"/>
      <c r="K21" s="1012"/>
      <c r="L21" s="1012"/>
      <c r="M21" s="1017"/>
      <c r="N21" s="947" t="str">
        <f t="shared" si="5"/>
        <v>00</v>
      </c>
      <c r="O21" s="406" t="str">
        <f t="shared" si="46"/>
        <v/>
      </c>
      <c r="P21" s="407" t="str">
        <f>IF(O21="","",VLOOKUP(O21,所属コード!$A$2:$E$11,2,FALSE))</f>
        <v/>
      </c>
      <c r="Q21" s="1033" t="str">
        <f>IF(O21="","",VLOOKUP(O21,所属コード!$A$2:$G$11,7,FALSE))</f>
        <v/>
      </c>
      <c r="R21" s="1035"/>
      <c r="S21" s="77"/>
      <c r="T21" s="77"/>
      <c r="U21" s="77"/>
      <c r="V21" s="15"/>
      <c r="X21" s="492"/>
      <c r="Y21" s="945" t="str">
        <f t="shared" si="6"/>
        <v/>
      </c>
      <c r="Z21" s="489" t="str">
        <f t="shared" si="7"/>
        <v/>
      </c>
      <c r="AA21" s="488"/>
      <c r="AB21" s="488"/>
      <c r="AC21" s="488"/>
      <c r="AD21" s="488"/>
      <c r="AE21" s="488"/>
      <c r="AF21" s="488"/>
      <c r="AG21" s="491"/>
      <c r="AH21" s="591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1084"/>
      <c r="AX21" s="609">
        <f t="shared" si="8"/>
        <v>0</v>
      </c>
      <c r="AY21" s="602">
        <f t="shared" si="0"/>
        <v>0</v>
      </c>
      <c r="AZ21" s="593">
        <f t="shared" si="1"/>
        <v>0</v>
      </c>
      <c r="BA21" s="594">
        <f t="shared" si="2"/>
        <v>0</v>
      </c>
      <c r="BB21" s="593">
        <f t="shared" si="2"/>
        <v>0</v>
      </c>
      <c r="BC21" s="593">
        <f t="shared" si="9"/>
        <v>0</v>
      </c>
      <c r="BD21" s="593">
        <f t="shared" si="10"/>
        <v>0</v>
      </c>
      <c r="BE21" s="593">
        <f t="shared" si="11"/>
        <v>0</v>
      </c>
      <c r="BF21" s="593">
        <f t="shared" si="12"/>
        <v>0</v>
      </c>
      <c r="BG21" s="593">
        <f t="shared" si="13"/>
        <v>0</v>
      </c>
      <c r="BH21" s="593">
        <f t="shared" si="14"/>
        <v>0</v>
      </c>
      <c r="BI21" s="593">
        <f t="shared" si="14"/>
        <v>0</v>
      </c>
      <c r="BJ21" s="593">
        <f t="shared" si="15"/>
        <v>0</v>
      </c>
      <c r="BK21" s="593">
        <f t="shared" si="15"/>
        <v>0</v>
      </c>
      <c r="BL21" s="593">
        <f t="shared" si="16"/>
        <v>0</v>
      </c>
      <c r="BM21" s="593">
        <f t="shared" si="17"/>
        <v>0</v>
      </c>
      <c r="BN21" s="593">
        <f t="shared" si="17"/>
        <v>0</v>
      </c>
      <c r="BO21" s="593">
        <f t="shared" si="17"/>
        <v>0</v>
      </c>
      <c r="BP21" s="593">
        <f t="shared" si="18"/>
        <v>0</v>
      </c>
      <c r="BQ21" s="593">
        <f t="shared" si="19"/>
        <v>0</v>
      </c>
      <c r="BR21" s="593">
        <f t="shared" si="20"/>
        <v>0</v>
      </c>
      <c r="BS21" s="593">
        <f t="shared" si="21"/>
        <v>0</v>
      </c>
      <c r="BT21" s="593">
        <f t="shared" si="22"/>
        <v>0</v>
      </c>
      <c r="BU21" s="593">
        <f t="shared" si="23"/>
        <v>0</v>
      </c>
      <c r="BV21" s="593">
        <f t="shared" si="24"/>
        <v>0</v>
      </c>
      <c r="BW21" s="593">
        <f t="shared" si="25"/>
        <v>0</v>
      </c>
      <c r="BX21" s="593">
        <f t="shared" si="26"/>
        <v>0</v>
      </c>
      <c r="BY21" s="593">
        <f t="shared" si="27"/>
        <v>0</v>
      </c>
      <c r="BZ21" s="593">
        <f t="shared" si="28"/>
        <v>0</v>
      </c>
      <c r="CA21" s="593">
        <f t="shared" si="29"/>
        <v>0</v>
      </c>
      <c r="CB21" s="593">
        <f t="shared" si="30"/>
        <v>0</v>
      </c>
      <c r="CC21" s="593">
        <f t="shared" si="31"/>
        <v>0</v>
      </c>
      <c r="CD21" s="593">
        <f t="shared" si="32"/>
        <v>0</v>
      </c>
      <c r="CE21" s="593">
        <f t="shared" si="32"/>
        <v>0</v>
      </c>
      <c r="CF21" s="595">
        <f t="shared" si="33"/>
        <v>0</v>
      </c>
      <c r="CG21" s="555" t="str">
        <f t="shared" si="34"/>
        <v/>
      </c>
      <c r="CH21" s="530" t="str">
        <f t="shared" si="35"/>
        <v/>
      </c>
      <c r="CI21" s="530" t="str">
        <f t="shared" si="36"/>
        <v/>
      </c>
      <c r="CJ21" s="530" t="str">
        <f t="shared" si="37"/>
        <v/>
      </c>
      <c r="CK21" s="530" t="str">
        <f t="shared" si="38"/>
        <v/>
      </c>
      <c r="CL21" s="530" t="str">
        <f t="shared" si="39"/>
        <v/>
      </c>
      <c r="CM21" s="82" t="str">
        <f t="shared" si="40"/>
        <v/>
      </c>
      <c r="CN21" s="496" t="str">
        <f t="shared" si="3"/>
        <v/>
      </c>
      <c r="CO21" s="496" t="str">
        <f t="shared" si="41"/>
        <v>0</v>
      </c>
      <c r="CP21" s="491">
        <f t="shared" si="42"/>
        <v>0</v>
      </c>
      <c r="CQ21" s="906"/>
      <c r="CR21" s="935"/>
      <c r="CS21" s="496">
        <f t="shared" si="43"/>
        <v>0</v>
      </c>
      <c r="CT21" s="496">
        <f t="shared" si="44"/>
        <v>0</v>
      </c>
      <c r="CU21" s="497" t="str">
        <f t="shared" si="45"/>
        <v>00</v>
      </c>
    </row>
    <row r="22" spans="1:99" s="5" customFormat="1" ht="15" customHeight="1">
      <c r="A22" s="1073">
        <v>19</v>
      </c>
      <c r="B22" s="922"/>
      <c r="C22" s="924" t="str">
        <f t="shared" si="4"/>
        <v/>
      </c>
      <c r="D22" s="1232"/>
      <c r="E22" s="913"/>
      <c r="F22" s="914"/>
      <c r="G22" s="926"/>
      <c r="H22" s="915"/>
      <c r="I22" s="916"/>
      <c r="J22" s="917"/>
      <c r="K22" s="1012"/>
      <c r="L22" s="1012"/>
      <c r="M22" s="1017"/>
      <c r="N22" s="947" t="str">
        <f t="shared" si="5"/>
        <v>00</v>
      </c>
      <c r="O22" s="406" t="str">
        <f t="shared" si="46"/>
        <v/>
      </c>
      <c r="P22" s="407" t="str">
        <f>IF(O22="","",VLOOKUP(O22,所属コード!$A$2:$E$11,2,FALSE))</f>
        <v/>
      </c>
      <c r="Q22" s="1033" t="str">
        <f>IF(O22="","",VLOOKUP(O22,所属コード!$A$2:$G$11,7,FALSE))</f>
        <v/>
      </c>
      <c r="R22" s="1035"/>
      <c r="S22" s="77"/>
      <c r="T22" s="77"/>
      <c r="U22" s="77"/>
      <c r="V22" s="15"/>
      <c r="X22" s="492"/>
      <c r="Y22" s="945" t="str">
        <f t="shared" si="6"/>
        <v/>
      </c>
      <c r="Z22" s="489" t="str">
        <f t="shared" si="7"/>
        <v/>
      </c>
      <c r="AA22" s="488"/>
      <c r="AB22" s="488"/>
      <c r="AC22" s="488"/>
      <c r="AD22" s="488"/>
      <c r="AE22" s="488"/>
      <c r="AF22" s="488"/>
      <c r="AG22" s="491"/>
      <c r="AH22" s="591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1084"/>
      <c r="AX22" s="609">
        <f t="shared" si="8"/>
        <v>0</v>
      </c>
      <c r="AY22" s="602">
        <f t="shared" si="0"/>
        <v>0</v>
      </c>
      <c r="AZ22" s="593">
        <f t="shared" si="1"/>
        <v>0</v>
      </c>
      <c r="BA22" s="594">
        <f t="shared" si="2"/>
        <v>0</v>
      </c>
      <c r="BB22" s="593">
        <f t="shared" si="2"/>
        <v>0</v>
      </c>
      <c r="BC22" s="593">
        <f t="shared" si="9"/>
        <v>0</v>
      </c>
      <c r="BD22" s="593">
        <f t="shared" si="10"/>
        <v>0</v>
      </c>
      <c r="BE22" s="593">
        <f t="shared" si="11"/>
        <v>0</v>
      </c>
      <c r="BF22" s="593">
        <f t="shared" si="12"/>
        <v>0</v>
      </c>
      <c r="BG22" s="593">
        <f t="shared" si="13"/>
        <v>0</v>
      </c>
      <c r="BH22" s="593">
        <f t="shared" si="14"/>
        <v>0</v>
      </c>
      <c r="BI22" s="593">
        <f t="shared" si="14"/>
        <v>0</v>
      </c>
      <c r="BJ22" s="593">
        <f t="shared" si="15"/>
        <v>0</v>
      </c>
      <c r="BK22" s="593">
        <f t="shared" si="15"/>
        <v>0</v>
      </c>
      <c r="BL22" s="593">
        <f t="shared" si="16"/>
        <v>0</v>
      </c>
      <c r="BM22" s="593">
        <f t="shared" si="17"/>
        <v>0</v>
      </c>
      <c r="BN22" s="593">
        <f t="shared" si="17"/>
        <v>0</v>
      </c>
      <c r="BO22" s="593">
        <f t="shared" si="17"/>
        <v>0</v>
      </c>
      <c r="BP22" s="593">
        <f t="shared" si="18"/>
        <v>0</v>
      </c>
      <c r="BQ22" s="593">
        <f t="shared" si="19"/>
        <v>0</v>
      </c>
      <c r="BR22" s="593">
        <f t="shared" si="20"/>
        <v>0</v>
      </c>
      <c r="BS22" s="593">
        <f t="shared" si="21"/>
        <v>0</v>
      </c>
      <c r="BT22" s="593">
        <f t="shared" si="22"/>
        <v>0</v>
      </c>
      <c r="BU22" s="593">
        <f t="shared" si="23"/>
        <v>0</v>
      </c>
      <c r="BV22" s="593">
        <f t="shared" si="24"/>
        <v>0</v>
      </c>
      <c r="BW22" s="593">
        <f t="shared" si="25"/>
        <v>0</v>
      </c>
      <c r="BX22" s="593">
        <f t="shared" si="26"/>
        <v>0</v>
      </c>
      <c r="BY22" s="593">
        <f t="shared" si="27"/>
        <v>0</v>
      </c>
      <c r="BZ22" s="593">
        <f t="shared" si="28"/>
        <v>0</v>
      </c>
      <c r="CA22" s="593">
        <f t="shared" si="29"/>
        <v>0</v>
      </c>
      <c r="CB22" s="593">
        <f t="shared" si="30"/>
        <v>0</v>
      </c>
      <c r="CC22" s="593">
        <f t="shared" si="31"/>
        <v>0</v>
      </c>
      <c r="CD22" s="593">
        <f t="shared" si="32"/>
        <v>0</v>
      </c>
      <c r="CE22" s="593">
        <f t="shared" si="32"/>
        <v>0</v>
      </c>
      <c r="CF22" s="595">
        <f t="shared" si="33"/>
        <v>0</v>
      </c>
      <c r="CG22" s="555" t="str">
        <f t="shared" si="34"/>
        <v/>
      </c>
      <c r="CH22" s="530" t="str">
        <f t="shared" si="35"/>
        <v/>
      </c>
      <c r="CI22" s="530" t="str">
        <f t="shared" si="36"/>
        <v/>
      </c>
      <c r="CJ22" s="530" t="str">
        <f t="shared" si="37"/>
        <v/>
      </c>
      <c r="CK22" s="530" t="str">
        <f t="shared" si="38"/>
        <v/>
      </c>
      <c r="CL22" s="530" t="str">
        <f t="shared" si="39"/>
        <v/>
      </c>
      <c r="CM22" s="82" t="str">
        <f t="shared" si="40"/>
        <v/>
      </c>
      <c r="CN22" s="496" t="str">
        <f t="shared" si="3"/>
        <v/>
      </c>
      <c r="CO22" s="496" t="str">
        <f t="shared" si="41"/>
        <v>0</v>
      </c>
      <c r="CP22" s="491">
        <f t="shared" si="42"/>
        <v>0</v>
      </c>
      <c r="CQ22" s="906"/>
      <c r="CR22" s="935"/>
      <c r="CS22" s="496">
        <f t="shared" si="43"/>
        <v>0</v>
      </c>
      <c r="CT22" s="496">
        <f t="shared" si="44"/>
        <v>0</v>
      </c>
      <c r="CU22" s="497" t="str">
        <f t="shared" si="45"/>
        <v>00</v>
      </c>
    </row>
    <row r="23" spans="1:99" s="5" customFormat="1" ht="15" customHeight="1">
      <c r="A23" s="1073">
        <v>20</v>
      </c>
      <c r="B23" s="922"/>
      <c r="C23" s="924" t="str">
        <f t="shared" si="4"/>
        <v/>
      </c>
      <c r="D23" s="1232"/>
      <c r="E23" s="913"/>
      <c r="F23" s="914"/>
      <c r="G23" s="926"/>
      <c r="H23" s="915"/>
      <c r="I23" s="916"/>
      <c r="J23" s="917"/>
      <c r="K23" s="1012"/>
      <c r="L23" s="1012"/>
      <c r="M23" s="1017"/>
      <c r="N23" s="947" t="str">
        <f t="shared" si="5"/>
        <v>00</v>
      </c>
      <c r="O23" s="406" t="str">
        <f t="shared" si="46"/>
        <v/>
      </c>
      <c r="P23" s="407" t="str">
        <f>IF(O23="","",VLOOKUP(O23,所属コード!$A$2:$E$11,2,FALSE))</f>
        <v/>
      </c>
      <c r="Q23" s="1033" t="str">
        <f>IF(O23="","",VLOOKUP(O23,所属コード!$A$2:$G$11,7,FALSE))</f>
        <v/>
      </c>
      <c r="R23" s="1035"/>
      <c r="S23" s="77"/>
      <c r="T23" s="77"/>
      <c r="U23" s="77"/>
      <c r="V23" s="15"/>
      <c r="X23" s="492"/>
      <c r="Y23" s="945" t="str">
        <f t="shared" si="6"/>
        <v/>
      </c>
      <c r="Z23" s="489" t="str">
        <f t="shared" si="7"/>
        <v/>
      </c>
      <c r="AA23" s="488"/>
      <c r="AB23" s="488"/>
      <c r="AC23" s="488"/>
      <c r="AD23" s="488"/>
      <c r="AE23" s="488"/>
      <c r="AF23" s="488"/>
      <c r="AG23" s="491"/>
      <c r="AH23" s="591"/>
      <c r="AI23" s="592"/>
      <c r="AJ23" s="592"/>
      <c r="AK23" s="592"/>
      <c r="AL23" s="592"/>
      <c r="AM23" s="592"/>
      <c r="AN23" s="592"/>
      <c r="AO23" s="592"/>
      <c r="AP23" s="592"/>
      <c r="AQ23" s="592"/>
      <c r="AR23" s="592"/>
      <c r="AS23" s="592"/>
      <c r="AT23" s="592"/>
      <c r="AU23" s="592"/>
      <c r="AV23" s="592"/>
      <c r="AW23" s="1084"/>
      <c r="AX23" s="609">
        <f t="shared" si="8"/>
        <v>0</v>
      </c>
      <c r="AY23" s="602">
        <f t="shared" si="0"/>
        <v>0</v>
      </c>
      <c r="AZ23" s="593">
        <f t="shared" si="1"/>
        <v>0</v>
      </c>
      <c r="BA23" s="594">
        <f t="shared" si="2"/>
        <v>0</v>
      </c>
      <c r="BB23" s="593">
        <f t="shared" si="2"/>
        <v>0</v>
      </c>
      <c r="BC23" s="593">
        <f t="shared" si="9"/>
        <v>0</v>
      </c>
      <c r="BD23" s="593">
        <f t="shared" si="10"/>
        <v>0</v>
      </c>
      <c r="BE23" s="593">
        <f t="shared" si="11"/>
        <v>0</v>
      </c>
      <c r="BF23" s="593">
        <f t="shared" si="12"/>
        <v>0</v>
      </c>
      <c r="BG23" s="593">
        <f t="shared" si="13"/>
        <v>0</v>
      </c>
      <c r="BH23" s="593">
        <f t="shared" si="14"/>
        <v>0</v>
      </c>
      <c r="BI23" s="593">
        <f t="shared" si="14"/>
        <v>0</v>
      </c>
      <c r="BJ23" s="593">
        <f t="shared" si="15"/>
        <v>0</v>
      </c>
      <c r="BK23" s="593">
        <f t="shared" si="15"/>
        <v>0</v>
      </c>
      <c r="BL23" s="593">
        <f t="shared" si="16"/>
        <v>0</v>
      </c>
      <c r="BM23" s="593">
        <f t="shared" si="17"/>
        <v>0</v>
      </c>
      <c r="BN23" s="593">
        <f t="shared" si="17"/>
        <v>0</v>
      </c>
      <c r="BO23" s="593">
        <f t="shared" si="17"/>
        <v>0</v>
      </c>
      <c r="BP23" s="593">
        <f t="shared" si="18"/>
        <v>0</v>
      </c>
      <c r="BQ23" s="593">
        <f t="shared" si="19"/>
        <v>0</v>
      </c>
      <c r="BR23" s="593">
        <f t="shared" si="20"/>
        <v>0</v>
      </c>
      <c r="BS23" s="593">
        <f t="shared" si="21"/>
        <v>0</v>
      </c>
      <c r="BT23" s="593">
        <f t="shared" si="22"/>
        <v>0</v>
      </c>
      <c r="BU23" s="593">
        <f t="shared" si="23"/>
        <v>0</v>
      </c>
      <c r="BV23" s="593">
        <f t="shared" si="24"/>
        <v>0</v>
      </c>
      <c r="BW23" s="593">
        <f t="shared" si="25"/>
        <v>0</v>
      </c>
      <c r="BX23" s="593">
        <f t="shared" si="26"/>
        <v>0</v>
      </c>
      <c r="BY23" s="593">
        <f t="shared" si="27"/>
        <v>0</v>
      </c>
      <c r="BZ23" s="593">
        <f t="shared" si="28"/>
        <v>0</v>
      </c>
      <c r="CA23" s="593">
        <f t="shared" si="29"/>
        <v>0</v>
      </c>
      <c r="CB23" s="593">
        <f t="shared" si="30"/>
        <v>0</v>
      </c>
      <c r="CC23" s="593">
        <f t="shared" si="31"/>
        <v>0</v>
      </c>
      <c r="CD23" s="593">
        <f t="shared" si="32"/>
        <v>0</v>
      </c>
      <c r="CE23" s="593">
        <f t="shared" si="32"/>
        <v>0</v>
      </c>
      <c r="CF23" s="595">
        <f t="shared" si="33"/>
        <v>0</v>
      </c>
      <c r="CG23" s="555" t="str">
        <f t="shared" si="34"/>
        <v/>
      </c>
      <c r="CH23" s="530" t="str">
        <f t="shared" si="35"/>
        <v/>
      </c>
      <c r="CI23" s="530" t="str">
        <f t="shared" si="36"/>
        <v/>
      </c>
      <c r="CJ23" s="530" t="str">
        <f t="shared" si="37"/>
        <v/>
      </c>
      <c r="CK23" s="530" t="str">
        <f t="shared" si="38"/>
        <v/>
      </c>
      <c r="CL23" s="530" t="str">
        <f t="shared" si="39"/>
        <v/>
      </c>
      <c r="CM23" s="82" t="str">
        <f t="shared" si="40"/>
        <v/>
      </c>
      <c r="CN23" s="496" t="str">
        <f t="shared" si="3"/>
        <v/>
      </c>
      <c r="CO23" s="496" t="str">
        <f t="shared" si="41"/>
        <v>0</v>
      </c>
      <c r="CP23" s="491">
        <f t="shared" si="42"/>
        <v>0</v>
      </c>
      <c r="CQ23" s="906"/>
      <c r="CR23" s="935"/>
      <c r="CS23" s="496">
        <f t="shared" si="43"/>
        <v>0</v>
      </c>
      <c r="CT23" s="496">
        <f t="shared" si="44"/>
        <v>0</v>
      </c>
      <c r="CU23" s="497" t="str">
        <f t="shared" si="45"/>
        <v>00</v>
      </c>
    </row>
    <row r="24" spans="1:99" s="5" customFormat="1" ht="15" customHeight="1">
      <c r="A24" s="1073">
        <v>21</v>
      </c>
      <c r="B24" s="922"/>
      <c r="C24" s="924" t="str">
        <f t="shared" si="4"/>
        <v/>
      </c>
      <c r="D24" s="1232"/>
      <c r="E24" s="913"/>
      <c r="F24" s="914"/>
      <c r="G24" s="926"/>
      <c r="H24" s="915"/>
      <c r="I24" s="916"/>
      <c r="J24" s="917"/>
      <c r="K24" s="1012"/>
      <c r="L24" s="1012"/>
      <c r="M24" s="1017"/>
      <c r="N24" s="947" t="str">
        <f t="shared" si="5"/>
        <v>00</v>
      </c>
      <c r="O24" s="406" t="str">
        <f t="shared" si="46"/>
        <v/>
      </c>
      <c r="P24" s="407" t="str">
        <f>IF(O24="","",VLOOKUP(O24,所属コード!$A$2:$E$11,2,FALSE))</f>
        <v/>
      </c>
      <c r="Q24" s="1033" t="str">
        <f>IF(O24="","",VLOOKUP(O24,所属コード!$A$2:$G$11,7,FALSE))</f>
        <v/>
      </c>
      <c r="R24" s="1035"/>
      <c r="S24" s="77"/>
      <c r="T24" s="77"/>
      <c r="U24" s="77"/>
      <c r="V24" s="15"/>
      <c r="X24" s="492"/>
      <c r="Y24" s="945" t="str">
        <f t="shared" si="6"/>
        <v/>
      </c>
      <c r="Z24" s="489" t="str">
        <f t="shared" si="7"/>
        <v/>
      </c>
      <c r="AA24" s="488"/>
      <c r="AB24" s="488"/>
      <c r="AC24" s="488"/>
      <c r="AD24" s="488"/>
      <c r="AE24" s="488"/>
      <c r="AF24" s="488"/>
      <c r="AG24" s="491"/>
      <c r="AH24" s="591"/>
      <c r="AI24" s="592"/>
      <c r="AJ24" s="592"/>
      <c r="AK24" s="592"/>
      <c r="AL24" s="592"/>
      <c r="AM24" s="592"/>
      <c r="AN24" s="592"/>
      <c r="AO24" s="592"/>
      <c r="AP24" s="592"/>
      <c r="AQ24" s="592"/>
      <c r="AR24" s="592"/>
      <c r="AS24" s="592"/>
      <c r="AT24" s="592"/>
      <c r="AU24" s="592"/>
      <c r="AV24" s="592"/>
      <c r="AW24" s="1084"/>
      <c r="AX24" s="609">
        <f t="shared" si="8"/>
        <v>0</v>
      </c>
      <c r="AY24" s="602">
        <f t="shared" si="0"/>
        <v>0</v>
      </c>
      <c r="AZ24" s="593">
        <f t="shared" si="1"/>
        <v>0</v>
      </c>
      <c r="BA24" s="594">
        <f t="shared" si="2"/>
        <v>0</v>
      </c>
      <c r="BB24" s="593">
        <f t="shared" si="2"/>
        <v>0</v>
      </c>
      <c r="BC24" s="593">
        <f t="shared" si="9"/>
        <v>0</v>
      </c>
      <c r="BD24" s="593">
        <f t="shared" si="10"/>
        <v>0</v>
      </c>
      <c r="BE24" s="593">
        <f t="shared" si="11"/>
        <v>0</v>
      </c>
      <c r="BF24" s="593">
        <f t="shared" si="12"/>
        <v>0</v>
      </c>
      <c r="BG24" s="593">
        <f t="shared" si="13"/>
        <v>0</v>
      </c>
      <c r="BH24" s="593">
        <f t="shared" si="14"/>
        <v>0</v>
      </c>
      <c r="BI24" s="593">
        <f t="shared" si="14"/>
        <v>0</v>
      </c>
      <c r="BJ24" s="593">
        <f t="shared" si="15"/>
        <v>0</v>
      </c>
      <c r="BK24" s="593">
        <f t="shared" si="15"/>
        <v>0</v>
      </c>
      <c r="BL24" s="593">
        <f t="shared" si="16"/>
        <v>0</v>
      </c>
      <c r="BM24" s="593">
        <f t="shared" si="17"/>
        <v>0</v>
      </c>
      <c r="BN24" s="593">
        <f t="shared" si="17"/>
        <v>0</v>
      </c>
      <c r="BO24" s="593">
        <f t="shared" si="17"/>
        <v>0</v>
      </c>
      <c r="BP24" s="593">
        <f t="shared" si="18"/>
        <v>0</v>
      </c>
      <c r="BQ24" s="593">
        <f t="shared" si="19"/>
        <v>0</v>
      </c>
      <c r="BR24" s="593">
        <f t="shared" si="20"/>
        <v>0</v>
      </c>
      <c r="BS24" s="593">
        <f t="shared" si="21"/>
        <v>0</v>
      </c>
      <c r="BT24" s="593">
        <f t="shared" si="22"/>
        <v>0</v>
      </c>
      <c r="BU24" s="593">
        <f t="shared" si="23"/>
        <v>0</v>
      </c>
      <c r="BV24" s="593">
        <f t="shared" si="24"/>
        <v>0</v>
      </c>
      <c r="BW24" s="593">
        <f t="shared" si="25"/>
        <v>0</v>
      </c>
      <c r="BX24" s="593">
        <f t="shared" si="26"/>
        <v>0</v>
      </c>
      <c r="BY24" s="593">
        <f t="shared" si="27"/>
        <v>0</v>
      </c>
      <c r="BZ24" s="593">
        <f t="shared" si="28"/>
        <v>0</v>
      </c>
      <c r="CA24" s="593">
        <f t="shared" si="29"/>
        <v>0</v>
      </c>
      <c r="CB24" s="593">
        <f t="shared" si="30"/>
        <v>0</v>
      </c>
      <c r="CC24" s="593">
        <f t="shared" si="31"/>
        <v>0</v>
      </c>
      <c r="CD24" s="593">
        <f t="shared" si="32"/>
        <v>0</v>
      </c>
      <c r="CE24" s="593">
        <f t="shared" si="32"/>
        <v>0</v>
      </c>
      <c r="CF24" s="595">
        <f t="shared" si="33"/>
        <v>0</v>
      </c>
      <c r="CG24" s="555" t="str">
        <f t="shared" si="34"/>
        <v/>
      </c>
      <c r="CH24" s="530" t="str">
        <f t="shared" si="35"/>
        <v/>
      </c>
      <c r="CI24" s="530" t="str">
        <f t="shared" si="36"/>
        <v/>
      </c>
      <c r="CJ24" s="530" t="str">
        <f t="shared" si="37"/>
        <v/>
      </c>
      <c r="CK24" s="530" t="str">
        <f t="shared" si="38"/>
        <v/>
      </c>
      <c r="CL24" s="530" t="str">
        <f t="shared" si="39"/>
        <v/>
      </c>
      <c r="CM24" s="82" t="str">
        <f t="shared" si="40"/>
        <v/>
      </c>
      <c r="CN24" s="496" t="str">
        <f t="shared" si="3"/>
        <v/>
      </c>
      <c r="CO24" s="496" t="str">
        <f t="shared" si="41"/>
        <v>0</v>
      </c>
      <c r="CP24" s="491">
        <f t="shared" si="42"/>
        <v>0</v>
      </c>
      <c r="CQ24" s="906"/>
      <c r="CR24" s="935"/>
      <c r="CS24" s="496">
        <f t="shared" si="43"/>
        <v>0</v>
      </c>
      <c r="CT24" s="496">
        <f t="shared" si="44"/>
        <v>0</v>
      </c>
      <c r="CU24" s="497" t="str">
        <f t="shared" si="45"/>
        <v>00</v>
      </c>
    </row>
    <row r="25" spans="1:99" s="5" customFormat="1" ht="15" customHeight="1">
      <c r="A25" s="1073">
        <v>22</v>
      </c>
      <c r="B25" s="922"/>
      <c r="C25" s="924" t="str">
        <f t="shared" si="4"/>
        <v/>
      </c>
      <c r="D25" s="1232"/>
      <c r="E25" s="913"/>
      <c r="F25" s="914"/>
      <c r="G25" s="926"/>
      <c r="H25" s="915"/>
      <c r="I25" s="916"/>
      <c r="J25" s="917"/>
      <c r="K25" s="1012"/>
      <c r="L25" s="1012"/>
      <c r="M25" s="1017"/>
      <c r="N25" s="947" t="str">
        <f t="shared" si="5"/>
        <v>00</v>
      </c>
      <c r="O25" s="406" t="str">
        <f t="shared" si="46"/>
        <v/>
      </c>
      <c r="P25" s="407" t="str">
        <f>IF(O25="","",VLOOKUP(O25,所属コード!$A$2:$E$11,2,FALSE))</f>
        <v/>
      </c>
      <c r="Q25" s="1033" t="str">
        <f>IF(O25="","",VLOOKUP(O25,所属コード!$A$2:$G$11,7,FALSE))</f>
        <v/>
      </c>
      <c r="R25" s="1035"/>
      <c r="S25" s="77"/>
      <c r="T25" s="77"/>
      <c r="U25" s="77"/>
      <c r="V25" s="15"/>
      <c r="X25" s="492"/>
      <c r="Y25" s="945" t="str">
        <f t="shared" si="6"/>
        <v/>
      </c>
      <c r="Z25" s="489" t="str">
        <f t="shared" si="7"/>
        <v/>
      </c>
      <c r="AA25" s="488"/>
      <c r="AB25" s="488"/>
      <c r="AC25" s="488"/>
      <c r="AD25" s="488"/>
      <c r="AE25" s="488"/>
      <c r="AF25" s="488"/>
      <c r="AG25" s="491"/>
      <c r="AH25" s="591"/>
      <c r="AI25" s="592"/>
      <c r="AJ25" s="592"/>
      <c r="AK25" s="592"/>
      <c r="AL25" s="592"/>
      <c r="AM25" s="592"/>
      <c r="AN25" s="592"/>
      <c r="AO25" s="592"/>
      <c r="AP25" s="592"/>
      <c r="AQ25" s="592"/>
      <c r="AR25" s="592"/>
      <c r="AS25" s="592"/>
      <c r="AT25" s="592"/>
      <c r="AU25" s="592"/>
      <c r="AV25" s="592"/>
      <c r="AW25" s="1084"/>
      <c r="AX25" s="609">
        <f t="shared" si="8"/>
        <v>0</v>
      </c>
      <c r="AY25" s="602">
        <f t="shared" si="0"/>
        <v>0</v>
      </c>
      <c r="AZ25" s="593">
        <f t="shared" si="1"/>
        <v>0</v>
      </c>
      <c r="BA25" s="594">
        <f t="shared" si="2"/>
        <v>0</v>
      </c>
      <c r="BB25" s="593">
        <f t="shared" si="2"/>
        <v>0</v>
      </c>
      <c r="BC25" s="593">
        <f t="shared" si="9"/>
        <v>0</v>
      </c>
      <c r="BD25" s="593">
        <f t="shared" si="10"/>
        <v>0</v>
      </c>
      <c r="BE25" s="593">
        <f t="shared" si="11"/>
        <v>0</v>
      </c>
      <c r="BF25" s="593">
        <f t="shared" si="12"/>
        <v>0</v>
      </c>
      <c r="BG25" s="593">
        <f t="shared" si="13"/>
        <v>0</v>
      </c>
      <c r="BH25" s="593">
        <f t="shared" si="14"/>
        <v>0</v>
      </c>
      <c r="BI25" s="593">
        <f t="shared" si="14"/>
        <v>0</v>
      </c>
      <c r="BJ25" s="593">
        <f t="shared" si="15"/>
        <v>0</v>
      </c>
      <c r="BK25" s="593">
        <f t="shared" si="15"/>
        <v>0</v>
      </c>
      <c r="BL25" s="593">
        <f t="shared" si="16"/>
        <v>0</v>
      </c>
      <c r="BM25" s="593">
        <f t="shared" si="17"/>
        <v>0</v>
      </c>
      <c r="BN25" s="593">
        <f t="shared" si="17"/>
        <v>0</v>
      </c>
      <c r="BO25" s="593">
        <f t="shared" si="17"/>
        <v>0</v>
      </c>
      <c r="BP25" s="593">
        <f t="shared" si="18"/>
        <v>0</v>
      </c>
      <c r="BQ25" s="593">
        <f t="shared" si="19"/>
        <v>0</v>
      </c>
      <c r="BR25" s="593">
        <f t="shared" si="20"/>
        <v>0</v>
      </c>
      <c r="BS25" s="593">
        <f t="shared" si="21"/>
        <v>0</v>
      </c>
      <c r="BT25" s="593">
        <f t="shared" si="22"/>
        <v>0</v>
      </c>
      <c r="BU25" s="593">
        <f t="shared" si="23"/>
        <v>0</v>
      </c>
      <c r="BV25" s="593">
        <f t="shared" si="24"/>
        <v>0</v>
      </c>
      <c r="BW25" s="593">
        <f t="shared" si="25"/>
        <v>0</v>
      </c>
      <c r="BX25" s="593">
        <f t="shared" si="26"/>
        <v>0</v>
      </c>
      <c r="BY25" s="593">
        <f t="shared" si="27"/>
        <v>0</v>
      </c>
      <c r="BZ25" s="593">
        <f t="shared" si="28"/>
        <v>0</v>
      </c>
      <c r="CA25" s="593">
        <f t="shared" si="29"/>
        <v>0</v>
      </c>
      <c r="CB25" s="593">
        <f t="shared" si="30"/>
        <v>0</v>
      </c>
      <c r="CC25" s="593">
        <f t="shared" si="31"/>
        <v>0</v>
      </c>
      <c r="CD25" s="593">
        <f t="shared" si="32"/>
        <v>0</v>
      </c>
      <c r="CE25" s="593">
        <f t="shared" si="32"/>
        <v>0</v>
      </c>
      <c r="CF25" s="595">
        <f t="shared" si="33"/>
        <v>0</v>
      </c>
      <c r="CG25" s="555" t="str">
        <f t="shared" si="34"/>
        <v/>
      </c>
      <c r="CH25" s="530" t="str">
        <f t="shared" si="35"/>
        <v/>
      </c>
      <c r="CI25" s="530" t="str">
        <f t="shared" si="36"/>
        <v/>
      </c>
      <c r="CJ25" s="530" t="str">
        <f t="shared" si="37"/>
        <v/>
      </c>
      <c r="CK25" s="530" t="str">
        <f t="shared" si="38"/>
        <v/>
      </c>
      <c r="CL25" s="530" t="str">
        <f t="shared" si="39"/>
        <v/>
      </c>
      <c r="CM25" s="82" t="str">
        <f t="shared" si="40"/>
        <v/>
      </c>
      <c r="CN25" s="496" t="str">
        <f t="shared" si="3"/>
        <v/>
      </c>
      <c r="CO25" s="496" t="str">
        <f t="shared" si="41"/>
        <v>0</v>
      </c>
      <c r="CP25" s="491">
        <f t="shared" si="42"/>
        <v>0</v>
      </c>
      <c r="CQ25" s="906"/>
      <c r="CR25" s="935"/>
      <c r="CS25" s="496">
        <f t="shared" si="43"/>
        <v>0</v>
      </c>
      <c r="CT25" s="496">
        <f t="shared" si="44"/>
        <v>0</v>
      </c>
      <c r="CU25" s="497" t="str">
        <f t="shared" si="45"/>
        <v>00</v>
      </c>
    </row>
    <row r="26" spans="1:99" s="5" customFormat="1" ht="15" customHeight="1">
      <c r="A26" s="1073">
        <v>23</v>
      </c>
      <c r="B26" s="922"/>
      <c r="C26" s="924" t="str">
        <f t="shared" si="4"/>
        <v/>
      </c>
      <c r="D26" s="1232"/>
      <c r="E26" s="913"/>
      <c r="F26" s="914"/>
      <c r="G26" s="926"/>
      <c r="H26" s="915"/>
      <c r="I26" s="916"/>
      <c r="J26" s="917"/>
      <c r="K26" s="1012"/>
      <c r="L26" s="1012"/>
      <c r="M26" s="1017"/>
      <c r="N26" s="947" t="str">
        <f t="shared" si="5"/>
        <v>00</v>
      </c>
      <c r="O26" s="406" t="str">
        <f t="shared" si="46"/>
        <v/>
      </c>
      <c r="P26" s="407" t="str">
        <f>IF(O26="","",VLOOKUP(O26,所属コード!$A$2:$E$11,2,FALSE))</f>
        <v/>
      </c>
      <c r="Q26" s="1033" t="str">
        <f>IF(O26="","",VLOOKUP(O26,所属コード!$A$2:$G$11,7,FALSE))</f>
        <v/>
      </c>
      <c r="R26" s="1035"/>
      <c r="S26" s="77"/>
      <c r="T26" s="77"/>
      <c r="U26" s="77"/>
      <c r="V26" s="15"/>
      <c r="X26" s="492"/>
      <c r="Y26" s="945" t="str">
        <f t="shared" si="6"/>
        <v/>
      </c>
      <c r="Z26" s="489" t="str">
        <f t="shared" si="7"/>
        <v/>
      </c>
      <c r="AA26" s="488"/>
      <c r="AB26" s="488"/>
      <c r="AC26" s="488"/>
      <c r="AD26" s="488"/>
      <c r="AE26" s="488"/>
      <c r="AF26" s="488"/>
      <c r="AG26" s="491"/>
      <c r="AH26" s="591"/>
      <c r="AI26" s="592"/>
      <c r="AJ26" s="592"/>
      <c r="AK26" s="592"/>
      <c r="AL26" s="592"/>
      <c r="AM26" s="592"/>
      <c r="AN26" s="592"/>
      <c r="AO26" s="592"/>
      <c r="AP26" s="592"/>
      <c r="AQ26" s="592"/>
      <c r="AR26" s="592"/>
      <c r="AS26" s="592"/>
      <c r="AT26" s="592"/>
      <c r="AU26" s="592"/>
      <c r="AV26" s="592"/>
      <c r="AW26" s="1084"/>
      <c r="AX26" s="609">
        <f t="shared" si="8"/>
        <v>0</v>
      </c>
      <c r="AY26" s="602">
        <f t="shared" si="0"/>
        <v>0</v>
      </c>
      <c r="AZ26" s="593">
        <f t="shared" si="1"/>
        <v>0</v>
      </c>
      <c r="BA26" s="594">
        <f t="shared" si="2"/>
        <v>0</v>
      </c>
      <c r="BB26" s="593">
        <f t="shared" si="2"/>
        <v>0</v>
      </c>
      <c r="BC26" s="593">
        <f t="shared" si="9"/>
        <v>0</v>
      </c>
      <c r="BD26" s="593">
        <f t="shared" si="10"/>
        <v>0</v>
      </c>
      <c r="BE26" s="593">
        <f t="shared" si="11"/>
        <v>0</v>
      </c>
      <c r="BF26" s="593">
        <f t="shared" si="12"/>
        <v>0</v>
      </c>
      <c r="BG26" s="593">
        <f t="shared" si="13"/>
        <v>0</v>
      </c>
      <c r="BH26" s="593">
        <f t="shared" si="14"/>
        <v>0</v>
      </c>
      <c r="BI26" s="593">
        <f t="shared" si="14"/>
        <v>0</v>
      </c>
      <c r="BJ26" s="593">
        <f t="shared" si="15"/>
        <v>0</v>
      </c>
      <c r="BK26" s="593">
        <f t="shared" si="15"/>
        <v>0</v>
      </c>
      <c r="BL26" s="593">
        <f t="shared" si="16"/>
        <v>0</v>
      </c>
      <c r="BM26" s="593">
        <f t="shared" si="17"/>
        <v>0</v>
      </c>
      <c r="BN26" s="593">
        <f t="shared" si="17"/>
        <v>0</v>
      </c>
      <c r="BO26" s="593">
        <f t="shared" si="17"/>
        <v>0</v>
      </c>
      <c r="BP26" s="593">
        <f t="shared" si="18"/>
        <v>0</v>
      </c>
      <c r="BQ26" s="593">
        <f t="shared" si="19"/>
        <v>0</v>
      </c>
      <c r="BR26" s="593">
        <f t="shared" si="20"/>
        <v>0</v>
      </c>
      <c r="BS26" s="593">
        <f t="shared" si="21"/>
        <v>0</v>
      </c>
      <c r="BT26" s="593">
        <f t="shared" si="22"/>
        <v>0</v>
      </c>
      <c r="BU26" s="593">
        <f t="shared" si="23"/>
        <v>0</v>
      </c>
      <c r="BV26" s="593">
        <f t="shared" si="24"/>
        <v>0</v>
      </c>
      <c r="BW26" s="593">
        <f t="shared" si="25"/>
        <v>0</v>
      </c>
      <c r="BX26" s="593">
        <f t="shared" si="26"/>
        <v>0</v>
      </c>
      <c r="BY26" s="593">
        <f t="shared" si="27"/>
        <v>0</v>
      </c>
      <c r="BZ26" s="593">
        <f t="shared" si="28"/>
        <v>0</v>
      </c>
      <c r="CA26" s="593">
        <f t="shared" si="29"/>
        <v>0</v>
      </c>
      <c r="CB26" s="593">
        <f t="shared" si="30"/>
        <v>0</v>
      </c>
      <c r="CC26" s="593">
        <f t="shared" si="31"/>
        <v>0</v>
      </c>
      <c r="CD26" s="593">
        <f t="shared" si="32"/>
        <v>0</v>
      </c>
      <c r="CE26" s="593">
        <f t="shared" si="32"/>
        <v>0</v>
      </c>
      <c r="CF26" s="595">
        <f t="shared" si="33"/>
        <v>0</v>
      </c>
      <c r="CG26" s="555" t="str">
        <f t="shared" si="34"/>
        <v/>
      </c>
      <c r="CH26" s="530" t="str">
        <f t="shared" si="35"/>
        <v/>
      </c>
      <c r="CI26" s="530" t="str">
        <f t="shared" si="36"/>
        <v/>
      </c>
      <c r="CJ26" s="530" t="str">
        <f t="shared" si="37"/>
        <v/>
      </c>
      <c r="CK26" s="530" t="str">
        <f t="shared" si="38"/>
        <v/>
      </c>
      <c r="CL26" s="530" t="str">
        <f t="shared" si="39"/>
        <v/>
      </c>
      <c r="CM26" s="82" t="str">
        <f t="shared" si="40"/>
        <v/>
      </c>
      <c r="CN26" s="496" t="str">
        <f t="shared" si="3"/>
        <v/>
      </c>
      <c r="CO26" s="496" t="str">
        <f t="shared" si="41"/>
        <v>0</v>
      </c>
      <c r="CP26" s="491">
        <f t="shared" si="42"/>
        <v>0</v>
      </c>
      <c r="CQ26" s="906"/>
      <c r="CR26" s="935"/>
      <c r="CS26" s="496">
        <f t="shared" si="43"/>
        <v>0</v>
      </c>
      <c r="CT26" s="496">
        <f t="shared" si="44"/>
        <v>0</v>
      </c>
      <c r="CU26" s="497" t="str">
        <f t="shared" si="45"/>
        <v>00</v>
      </c>
    </row>
    <row r="27" spans="1:99" s="5" customFormat="1" ht="15" customHeight="1">
      <c r="A27" s="1073">
        <v>24</v>
      </c>
      <c r="B27" s="922"/>
      <c r="C27" s="924" t="str">
        <f t="shared" si="4"/>
        <v/>
      </c>
      <c r="D27" s="1232"/>
      <c r="E27" s="913"/>
      <c r="F27" s="914"/>
      <c r="G27" s="926"/>
      <c r="H27" s="915"/>
      <c r="I27" s="916"/>
      <c r="J27" s="917"/>
      <c r="K27" s="1012"/>
      <c r="L27" s="1012"/>
      <c r="M27" s="1017"/>
      <c r="N27" s="947" t="str">
        <f t="shared" si="5"/>
        <v>00</v>
      </c>
      <c r="O27" s="406" t="str">
        <f t="shared" si="46"/>
        <v/>
      </c>
      <c r="P27" s="407" t="str">
        <f>IF(O27="","",VLOOKUP(O27,所属コード!$A$2:$E$11,2,FALSE))</f>
        <v/>
      </c>
      <c r="Q27" s="1033" t="str">
        <f>IF(O27="","",VLOOKUP(O27,所属コード!$A$2:$G$11,7,FALSE))</f>
        <v/>
      </c>
      <c r="R27" s="1035"/>
      <c r="S27" s="77"/>
      <c r="T27" s="77"/>
      <c r="U27" s="77"/>
      <c r="V27" s="15"/>
      <c r="X27" s="492"/>
      <c r="Y27" s="945" t="str">
        <f t="shared" si="6"/>
        <v/>
      </c>
      <c r="Z27" s="489" t="str">
        <f t="shared" si="7"/>
        <v/>
      </c>
      <c r="AA27" s="488"/>
      <c r="AB27" s="488"/>
      <c r="AC27" s="488"/>
      <c r="AD27" s="488"/>
      <c r="AE27" s="488"/>
      <c r="AF27" s="488"/>
      <c r="AG27" s="491"/>
      <c r="AH27" s="591"/>
      <c r="AI27" s="592"/>
      <c r="AJ27" s="592"/>
      <c r="AK27" s="592"/>
      <c r="AL27" s="592"/>
      <c r="AM27" s="592"/>
      <c r="AN27" s="592"/>
      <c r="AO27" s="592"/>
      <c r="AP27" s="592"/>
      <c r="AQ27" s="592"/>
      <c r="AR27" s="592"/>
      <c r="AS27" s="592"/>
      <c r="AT27" s="592"/>
      <c r="AU27" s="592"/>
      <c r="AV27" s="592"/>
      <c r="AW27" s="1084"/>
      <c r="AX27" s="609">
        <f t="shared" si="8"/>
        <v>0</v>
      </c>
      <c r="AY27" s="602">
        <f t="shared" si="0"/>
        <v>0</v>
      </c>
      <c r="AZ27" s="593">
        <f t="shared" si="1"/>
        <v>0</v>
      </c>
      <c r="BA27" s="594">
        <f t="shared" si="2"/>
        <v>0</v>
      </c>
      <c r="BB27" s="593">
        <f t="shared" si="2"/>
        <v>0</v>
      </c>
      <c r="BC27" s="593">
        <f t="shared" si="9"/>
        <v>0</v>
      </c>
      <c r="BD27" s="593">
        <f t="shared" si="10"/>
        <v>0</v>
      </c>
      <c r="BE27" s="593">
        <f t="shared" si="11"/>
        <v>0</v>
      </c>
      <c r="BF27" s="593">
        <f t="shared" si="12"/>
        <v>0</v>
      </c>
      <c r="BG27" s="593">
        <f t="shared" si="13"/>
        <v>0</v>
      </c>
      <c r="BH27" s="593">
        <f t="shared" si="14"/>
        <v>0</v>
      </c>
      <c r="BI27" s="593">
        <f t="shared" si="14"/>
        <v>0</v>
      </c>
      <c r="BJ27" s="593">
        <f t="shared" si="15"/>
        <v>0</v>
      </c>
      <c r="BK27" s="593">
        <f t="shared" si="15"/>
        <v>0</v>
      </c>
      <c r="BL27" s="593">
        <f t="shared" si="16"/>
        <v>0</v>
      </c>
      <c r="BM27" s="593">
        <f t="shared" si="17"/>
        <v>0</v>
      </c>
      <c r="BN27" s="593">
        <f t="shared" si="17"/>
        <v>0</v>
      </c>
      <c r="BO27" s="593">
        <f t="shared" si="17"/>
        <v>0</v>
      </c>
      <c r="BP27" s="593">
        <f t="shared" si="18"/>
        <v>0</v>
      </c>
      <c r="BQ27" s="593">
        <f t="shared" si="19"/>
        <v>0</v>
      </c>
      <c r="BR27" s="593">
        <f t="shared" si="20"/>
        <v>0</v>
      </c>
      <c r="BS27" s="593">
        <f t="shared" si="21"/>
        <v>0</v>
      </c>
      <c r="BT27" s="593">
        <f t="shared" si="22"/>
        <v>0</v>
      </c>
      <c r="BU27" s="593">
        <f t="shared" si="23"/>
        <v>0</v>
      </c>
      <c r="BV27" s="593">
        <f t="shared" si="24"/>
        <v>0</v>
      </c>
      <c r="BW27" s="593">
        <f t="shared" si="25"/>
        <v>0</v>
      </c>
      <c r="BX27" s="593">
        <f t="shared" si="26"/>
        <v>0</v>
      </c>
      <c r="BY27" s="593">
        <f t="shared" si="27"/>
        <v>0</v>
      </c>
      <c r="BZ27" s="593">
        <f t="shared" si="28"/>
        <v>0</v>
      </c>
      <c r="CA27" s="593">
        <f t="shared" si="29"/>
        <v>0</v>
      </c>
      <c r="CB27" s="593">
        <f t="shared" si="30"/>
        <v>0</v>
      </c>
      <c r="CC27" s="593">
        <f t="shared" si="31"/>
        <v>0</v>
      </c>
      <c r="CD27" s="593">
        <f t="shared" si="32"/>
        <v>0</v>
      </c>
      <c r="CE27" s="593">
        <f t="shared" si="32"/>
        <v>0</v>
      </c>
      <c r="CF27" s="595">
        <f t="shared" si="33"/>
        <v>0</v>
      </c>
      <c r="CG27" s="555" t="str">
        <f t="shared" si="34"/>
        <v/>
      </c>
      <c r="CH27" s="530" t="str">
        <f t="shared" si="35"/>
        <v/>
      </c>
      <c r="CI27" s="530" t="str">
        <f t="shared" si="36"/>
        <v/>
      </c>
      <c r="CJ27" s="530" t="str">
        <f t="shared" si="37"/>
        <v/>
      </c>
      <c r="CK27" s="530" t="str">
        <f t="shared" si="38"/>
        <v/>
      </c>
      <c r="CL27" s="530" t="str">
        <f t="shared" si="39"/>
        <v/>
      </c>
      <c r="CM27" s="82" t="str">
        <f t="shared" si="40"/>
        <v/>
      </c>
      <c r="CN27" s="496" t="str">
        <f t="shared" si="3"/>
        <v/>
      </c>
      <c r="CO27" s="496" t="str">
        <f t="shared" si="41"/>
        <v>0</v>
      </c>
      <c r="CP27" s="491">
        <f t="shared" si="42"/>
        <v>0</v>
      </c>
      <c r="CQ27" s="906"/>
      <c r="CR27" s="935"/>
      <c r="CS27" s="496">
        <f t="shared" si="43"/>
        <v>0</v>
      </c>
      <c r="CT27" s="496">
        <f t="shared" si="44"/>
        <v>0</v>
      </c>
      <c r="CU27" s="497" t="str">
        <f t="shared" si="45"/>
        <v>00</v>
      </c>
    </row>
    <row r="28" spans="1:99" s="5" customFormat="1" ht="15" customHeight="1">
      <c r="A28" s="1073">
        <v>25</v>
      </c>
      <c r="B28" s="922"/>
      <c r="C28" s="924" t="str">
        <f t="shared" si="4"/>
        <v/>
      </c>
      <c r="D28" s="1232"/>
      <c r="E28" s="913"/>
      <c r="F28" s="914"/>
      <c r="G28" s="926"/>
      <c r="H28" s="915"/>
      <c r="I28" s="916"/>
      <c r="J28" s="917"/>
      <c r="K28" s="1012"/>
      <c r="L28" s="1012"/>
      <c r="M28" s="1017"/>
      <c r="N28" s="947" t="str">
        <f t="shared" si="5"/>
        <v>00</v>
      </c>
      <c r="O28" s="406" t="str">
        <f t="shared" si="46"/>
        <v/>
      </c>
      <c r="P28" s="407" t="str">
        <f>IF(O28="","",VLOOKUP(O28,所属コード!$A$2:$E$11,2,FALSE))</f>
        <v/>
      </c>
      <c r="Q28" s="1033" t="str">
        <f>IF(O28="","",VLOOKUP(O28,所属コード!$A$2:$G$11,7,FALSE))</f>
        <v/>
      </c>
      <c r="R28" s="1035"/>
      <c r="S28" s="77"/>
      <c r="T28" s="77"/>
      <c r="U28" s="77"/>
      <c r="V28" s="15"/>
      <c r="X28" s="492"/>
      <c r="Y28" s="945" t="str">
        <f t="shared" si="6"/>
        <v/>
      </c>
      <c r="Z28" s="489" t="str">
        <f t="shared" si="7"/>
        <v/>
      </c>
      <c r="AA28" s="488"/>
      <c r="AB28" s="488"/>
      <c r="AC28" s="488"/>
      <c r="AD28" s="488"/>
      <c r="AE28" s="488"/>
      <c r="AF28" s="488"/>
      <c r="AG28" s="491"/>
      <c r="AH28" s="591"/>
      <c r="AI28" s="592"/>
      <c r="AJ28" s="592"/>
      <c r="AK28" s="592"/>
      <c r="AL28" s="592"/>
      <c r="AM28" s="592"/>
      <c r="AN28" s="592"/>
      <c r="AO28" s="592"/>
      <c r="AP28" s="592"/>
      <c r="AQ28" s="592"/>
      <c r="AR28" s="592"/>
      <c r="AS28" s="592"/>
      <c r="AT28" s="592"/>
      <c r="AU28" s="592"/>
      <c r="AV28" s="592"/>
      <c r="AW28" s="1084"/>
      <c r="AX28" s="609">
        <f t="shared" si="8"/>
        <v>0</v>
      </c>
      <c r="AY28" s="602">
        <f t="shared" si="0"/>
        <v>0</v>
      </c>
      <c r="AZ28" s="593">
        <f t="shared" si="1"/>
        <v>0</v>
      </c>
      <c r="BA28" s="594">
        <f t="shared" si="2"/>
        <v>0</v>
      </c>
      <c r="BB28" s="593">
        <f t="shared" si="2"/>
        <v>0</v>
      </c>
      <c r="BC28" s="593">
        <f t="shared" si="9"/>
        <v>0</v>
      </c>
      <c r="BD28" s="593">
        <f t="shared" si="10"/>
        <v>0</v>
      </c>
      <c r="BE28" s="593">
        <f t="shared" si="11"/>
        <v>0</v>
      </c>
      <c r="BF28" s="593">
        <f t="shared" si="12"/>
        <v>0</v>
      </c>
      <c r="BG28" s="593">
        <f t="shared" si="13"/>
        <v>0</v>
      </c>
      <c r="BH28" s="593">
        <f t="shared" si="14"/>
        <v>0</v>
      </c>
      <c r="BI28" s="593">
        <f t="shared" si="14"/>
        <v>0</v>
      </c>
      <c r="BJ28" s="593">
        <f t="shared" si="15"/>
        <v>0</v>
      </c>
      <c r="BK28" s="593">
        <f t="shared" si="15"/>
        <v>0</v>
      </c>
      <c r="BL28" s="593">
        <f t="shared" si="16"/>
        <v>0</v>
      </c>
      <c r="BM28" s="593">
        <f t="shared" si="17"/>
        <v>0</v>
      </c>
      <c r="BN28" s="593">
        <f t="shared" si="17"/>
        <v>0</v>
      </c>
      <c r="BO28" s="593">
        <f t="shared" si="17"/>
        <v>0</v>
      </c>
      <c r="BP28" s="593">
        <f t="shared" si="18"/>
        <v>0</v>
      </c>
      <c r="BQ28" s="593">
        <f t="shared" si="19"/>
        <v>0</v>
      </c>
      <c r="BR28" s="593">
        <f t="shared" si="20"/>
        <v>0</v>
      </c>
      <c r="BS28" s="593">
        <f t="shared" si="21"/>
        <v>0</v>
      </c>
      <c r="BT28" s="593">
        <f t="shared" si="22"/>
        <v>0</v>
      </c>
      <c r="BU28" s="593">
        <f t="shared" si="23"/>
        <v>0</v>
      </c>
      <c r="BV28" s="593">
        <f t="shared" si="24"/>
        <v>0</v>
      </c>
      <c r="BW28" s="593">
        <f t="shared" si="25"/>
        <v>0</v>
      </c>
      <c r="BX28" s="593">
        <f t="shared" si="26"/>
        <v>0</v>
      </c>
      <c r="BY28" s="593">
        <f t="shared" si="27"/>
        <v>0</v>
      </c>
      <c r="BZ28" s="593">
        <f t="shared" si="28"/>
        <v>0</v>
      </c>
      <c r="CA28" s="593">
        <f t="shared" si="29"/>
        <v>0</v>
      </c>
      <c r="CB28" s="593">
        <f t="shared" si="30"/>
        <v>0</v>
      </c>
      <c r="CC28" s="593">
        <f t="shared" si="31"/>
        <v>0</v>
      </c>
      <c r="CD28" s="593">
        <f t="shared" si="32"/>
        <v>0</v>
      </c>
      <c r="CE28" s="593">
        <f t="shared" si="32"/>
        <v>0</v>
      </c>
      <c r="CF28" s="595">
        <f t="shared" si="33"/>
        <v>0</v>
      </c>
      <c r="CG28" s="555" t="str">
        <f t="shared" si="34"/>
        <v/>
      </c>
      <c r="CH28" s="530" t="str">
        <f t="shared" si="35"/>
        <v/>
      </c>
      <c r="CI28" s="530" t="str">
        <f t="shared" si="36"/>
        <v/>
      </c>
      <c r="CJ28" s="530" t="str">
        <f t="shared" si="37"/>
        <v/>
      </c>
      <c r="CK28" s="530" t="str">
        <f t="shared" si="38"/>
        <v/>
      </c>
      <c r="CL28" s="530" t="str">
        <f t="shared" si="39"/>
        <v/>
      </c>
      <c r="CM28" s="82" t="str">
        <f t="shared" si="40"/>
        <v/>
      </c>
      <c r="CN28" s="496" t="str">
        <f t="shared" si="3"/>
        <v/>
      </c>
      <c r="CO28" s="496" t="str">
        <f t="shared" si="41"/>
        <v>0</v>
      </c>
      <c r="CP28" s="491">
        <f t="shared" si="42"/>
        <v>0</v>
      </c>
      <c r="CQ28" s="906"/>
      <c r="CR28" s="935"/>
      <c r="CS28" s="496">
        <f t="shared" si="43"/>
        <v>0</v>
      </c>
      <c r="CT28" s="496">
        <f t="shared" si="44"/>
        <v>0</v>
      </c>
      <c r="CU28" s="497" t="str">
        <f t="shared" si="45"/>
        <v>00</v>
      </c>
    </row>
    <row r="29" spans="1:99" s="5" customFormat="1" ht="15" customHeight="1">
      <c r="A29" s="1073">
        <v>26</v>
      </c>
      <c r="B29" s="922"/>
      <c r="C29" s="924" t="str">
        <f t="shared" si="4"/>
        <v/>
      </c>
      <c r="D29" s="1232"/>
      <c r="E29" s="913"/>
      <c r="F29" s="914"/>
      <c r="G29" s="926"/>
      <c r="H29" s="915"/>
      <c r="I29" s="916"/>
      <c r="J29" s="917"/>
      <c r="K29" s="1012"/>
      <c r="L29" s="1012"/>
      <c r="M29" s="1017"/>
      <c r="N29" s="947" t="str">
        <f t="shared" si="5"/>
        <v>00</v>
      </c>
      <c r="O29" s="406" t="str">
        <f t="shared" si="46"/>
        <v/>
      </c>
      <c r="P29" s="407" t="str">
        <f>IF(O29="","",VLOOKUP(O29,所属コード!$A$2:$E$11,2,FALSE))</f>
        <v/>
      </c>
      <c r="Q29" s="1033" t="str">
        <f>IF(O29="","",VLOOKUP(O29,所属コード!$A$2:$G$11,7,FALSE))</f>
        <v/>
      </c>
      <c r="R29" s="1035"/>
      <c r="S29" s="77"/>
      <c r="T29" s="77"/>
      <c r="U29" s="77"/>
      <c r="V29" s="15"/>
      <c r="X29" s="492"/>
      <c r="Y29" s="945" t="str">
        <f t="shared" si="6"/>
        <v/>
      </c>
      <c r="Z29" s="489" t="str">
        <f t="shared" si="7"/>
        <v/>
      </c>
      <c r="AA29" s="488"/>
      <c r="AB29" s="488"/>
      <c r="AC29" s="488"/>
      <c r="AD29" s="488"/>
      <c r="AE29" s="488"/>
      <c r="AF29" s="488"/>
      <c r="AG29" s="491"/>
      <c r="AH29" s="591"/>
      <c r="AI29" s="592"/>
      <c r="AJ29" s="592"/>
      <c r="AK29" s="592"/>
      <c r="AL29" s="592"/>
      <c r="AM29" s="592"/>
      <c r="AN29" s="592"/>
      <c r="AO29" s="592"/>
      <c r="AP29" s="592"/>
      <c r="AQ29" s="592"/>
      <c r="AR29" s="592"/>
      <c r="AS29" s="592"/>
      <c r="AT29" s="592"/>
      <c r="AU29" s="592"/>
      <c r="AV29" s="592"/>
      <c r="AW29" s="1084"/>
      <c r="AX29" s="609">
        <f t="shared" si="8"/>
        <v>0</v>
      </c>
      <c r="AY29" s="602">
        <f t="shared" si="0"/>
        <v>0</v>
      </c>
      <c r="AZ29" s="593">
        <f t="shared" si="1"/>
        <v>0</v>
      </c>
      <c r="BA29" s="594">
        <f t="shared" si="2"/>
        <v>0</v>
      </c>
      <c r="BB29" s="593">
        <f t="shared" si="2"/>
        <v>0</v>
      </c>
      <c r="BC29" s="593">
        <f t="shared" si="9"/>
        <v>0</v>
      </c>
      <c r="BD29" s="593">
        <f t="shared" si="10"/>
        <v>0</v>
      </c>
      <c r="BE29" s="593">
        <f t="shared" si="11"/>
        <v>0</v>
      </c>
      <c r="BF29" s="593">
        <f t="shared" si="12"/>
        <v>0</v>
      </c>
      <c r="BG29" s="593">
        <f t="shared" si="13"/>
        <v>0</v>
      </c>
      <c r="BH29" s="593">
        <f t="shared" si="14"/>
        <v>0</v>
      </c>
      <c r="BI29" s="593">
        <f t="shared" si="14"/>
        <v>0</v>
      </c>
      <c r="BJ29" s="593">
        <f t="shared" si="15"/>
        <v>0</v>
      </c>
      <c r="BK29" s="593">
        <f t="shared" si="15"/>
        <v>0</v>
      </c>
      <c r="BL29" s="593">
        <f t="shared" si="16"/>
        <v>0</v>
      </c>
      <c r="BM29" s="593">
        <f t="shared" si="17"/>
        <v>0</v>
      </c>
      <c r="BN29" s="593">
        <f t="shared" si="17"/>
        <v>0</v>
      </c>
      <c r="BO29" s="593">
        <f t="shared" si="17"/>
        <v>0</v>
      </c>
      <c r="BP29" s="593">
        <f t="shared" si="18"/>
        <v>0</v>
      </c>
      <c r="BQ29" s="593">
        <f t="shared" si="19"/>
        <v>0</v>
      </c>
      <c r="BR29" s="593">
        <f t="shared" si="20"/>
        <v>0</v>
      </c>
      <c r="BS29" s="593">
        <f t="shared" si="21"/>
        <v>0</v>
      </c>
      <c r="BT29" s="593">
        <f t="shared" si="22"/>
        <v>0</v>
      </c>
      <c r="BU29" s="593">
        <f t="shared" si="23"/>
        <v>0</v>
      </c>
      <c r="BV29" s="593">
        <f t="shared" si="24"/>
        <v>0</v>
      </c>
      <c r="BW29" s="593">
        <f t="shared" si="25"/>
        <v>0</v>
      </c>
      <c r="BX29" s="593">
        <f t="shared" si="26"/>
        <v>0</v>
      </c>
      <c r="BY29" s="593">
        <f t="shared" si="27"/>
        <v>0</v>
      </c>
      <c r="BZ29" s="593">
        <f t="shared" si="28"/>
        <v>0</v>
      </c>
      <c r="CA29" s="593">
        <f t="shared" si="29"/>
        <v>0</v>
      </c>
      <c r="CB29" s="593">
        <f t="shared" si="30"/>
        <v>0</v>
      </c>
      <c r="CC29" s="593">
        <f t="shared" si="31"/>
        <v>0</v>
      </c>
      <c r="CD29" s="593">
        <f t="shared" si="32"/>
        <v>0</v>
      </c>
      <c r="CE29" s="593">
        <f t="shared" si="32"/>
        <v>0</v>
      </c>
      <c r="CF29" s="595">
        <f t="shared" si="33"/>
        <v>0</v>
      </c>
      <c r="CG29" s="555" t="str">
        <f t="shared" si="34"/>
        <v/>
      </c>
      <c r="CH29" s="530" t="str">
        <f t="shared" si="35"/>
        <v/>
      </c>
      <c r="CI29" s="530" t="str">
        <f t="shared" si="36"/>
        <v/>
      </c>
      <c r="CJ29" s="530" t="str">
        <f t="shared" si="37"/>
        <v/>
      </c>
      <c r="CK29" s="530" t="str">
        <f t="shared" si="38"/>
        <v/>
      </c>
      <c r="CL29" s="530" t="str">
        <f t="shared" si="39"/>
        <v/>
      </c>
      <c r="CM29" s="82" t="str">
        <f t="shared" si="40"/>
        <v/>
      </c>
      <c r="CN29" s="496" t="str">
        <f t="shared" si="3"/>
        <v/>
      </c>
      <c r="CO29" s="496" t="str">
        <f t="shared" si="41"/>
        <v>0</v>
      </c>
      <c r="CP29" s="491">
        <f t="shared" si="42"/>
        <v>0</v>
      </c>
      <c r="CQ29" s="906"/>
      <c r="CR29" s="935"/>
      <c r="CS29" s="496">
        <f t="shared" si="43"/>
        <v>0</v>
      </c>
      <c r="CT29" s="496">
        <f t="shared" si="44"/>
        <v>0</v>
      </c>
      <c r="CU29" s="497" t="str">
        <f t="shared" si="45"/>
        <v>00</v>
      </c>
    </row>
    <row r="30" spans="1:99" s="5" customFormat="1" ht="15" customHeight="1">
      <c r="A30" s="1073">
        <v>27</v>
      </c>
      <c r="B30" s="922"/>
      <c r="C30" s="924" t="str">
        <f t="shared" si="4"/>
        <v/>
      </c>
      <c r="D30" s="1232"/>
      <c r="E30" s="913"/>
      <c r="F30" s="914"/>
      <c r="G30" s="926"/>
      <c r="H30" s="915"/>
      <c r="I30" s="916"/>
      <c r="J30" s="917"/>
      <c r="K30" s="1012"/>
      <c r="L30" s="1012"/>
      <c r="M30" s="1017"/>
      <c r="N30" s="947" t="str">
        <f t="shared" si="5"/>
        <v>00</v>
      </c>
      <c r="O30" s="406" t="str">
        <f t="shared" si="46"/>
        <v/>
      </c>
      <c r="P30" s="407" t="str">
        <f>IF(O30="","",VLOOKUP(O30,所属コード!$A$2:$E$11,2,FALSE))</f>
        <v/>
      </c>
      <c r="Q30" s="1033" t="str">
        <f>IF(O30="","",VLOOKUP(O30,所属コード!$A$2:$G$11,7,FALSE))</f>
        <v/>
      </c>
      <c r="R30" s="1035"/>
      <c r="S30" s="77"/>
      <c r="T30" s="77"/>
      <c r="U30" s="77"/>
      <c r="V30" s="15"/>
      <c r="X30" s="492"/>
      <c r="Y30" s="945" t="str">
        <f t="shared" si="6"/>
        <v/>
      </c>
      <c r="Z30" s="489" t="str">
        <f t="shared" si="7"/>
        <v/>
      </c>
      <c r="AA30" s="488"/>
      <c r="AB30" s="488"/>
      <c r="AC30" s="488"/>
      <c r="AD30" s="488"/>
      <c r="AE30" s="488"/>
      <c r="AF30" s="488"/>
      <c r="AG30" s="491"/>
      <c r="AH30" s="591"/>
      <c r="AI30" s="592"/>
      <c r="AJ30" s="592"/>
      <c r="AK30" s="592"/>
      <c r="AL30" s="592"/>
      <c r="AM30" s="592"/>
      <c r="AN30" s="592"/>
      <c r="AO30" s="592"/>
      <c r="AP30" s="592"/>
      <c r="AQ30" s="592"/>
      <c r="AR30" s="592"/>
      <c r="AS30" s="592"/>
      <c r="AT30" s="592"/>
      <c r="AU30" s="592"/>
      <c r="AV30" s="592"/>
      <c r="AW30" s="1084"/>
      <c r="AX30" s="609">
        <f t="shared" si="8"/>
        <v>0</v>
      </c>
      <c r="AY30" s="602">
        <f t="shared" si="0"/>
        <v>0</v>
      </c>
      <c r="AZ30" s="593">
        <f t="shared" si="1"/>
        <v>0</v>
      </c>
      <c r="BA30" s="594">
        <f t="shared" si="2"/>
        <v>0</v>
      </c>
      <c r="BB30" s="593">
        <f t="shared" si="2"/>
        <v>0</v>
      </c>
      <c r="BC30" s="593">
        <f t="shared" si="9"/>
        <v>0</v>
      </c>
      <c r="BD30" s="593">
        <f t="shared" si="10"/>
        <v>0</v>
      </c>
      <c r="BE30" s="593">
        <f t="shared" si="11"/>
        <v>0</v>
      </c>
      <c r="BF30" s="593">
        <f t="shared" si="12"/>
        <v>0</v>
      </c>
      <c r="BG30" s="593">
        <f t="shared" si="13"/>
        <v>0</v>
      </c>
      <c r="BH30" s="593">
        <f t="shared" si="14"/>
        <v>0</v>
      </c>
      <c r="BI30" s="593">
        <f t="shared" si="14"/>
        <v>0</v>
      </c>
      <c r="BJ30" s="593">
        <f t="shared" si="15"/>
        <v>0</v>
      </c>
      <c r="BK30" s="593">
        <f t="shared" si="15"/>
        <v>0</v>
      </c>
      <c r="BL30" s="593">
        <f t="shared" si="16"/>
        <v>0</v>
      </c>
      <c r="BM30" s="593">
        <f t="shared" si="17"/>
        <v>0</v>
      </c>
      <c r="BN30" s="593">
        <f t="shared" si="17"/>
        <v>0</v>
      </c>
      <c r="BO30" s="593">
        <f t="shared" si="17"/>
        <v>0</v>
      </c>
      <c r="BP30" s="593">
        <f t="shared" si="18"/>
        <v>0</v>
      </c>
      <c r="BQ30" s="593">
        <f t="shared" si="19"/>
        <v>0</v>
      </c>
      <c r="BR30" s="593">
        <f t="shared" si="20"/>
        <v>0</v>
      </c>
      <c r="BS30" s="593">
        <f t="shared" si="21"/>
        <v>0</v>
      </c>
      <c r="BT30" s="593">
        <f t="shared" si="22"/>
        <v>0</v>
      </c>
      <c r="BU30" s="593">
        <f t="shared" si="23"/>
        <v>0</v>
      </c>
      <c r="BV30" s="593">
        <f t="shared" si="24"/>
        <v>0</v>
      </c>
      <c r="BW30" s="593">
        <f t="shared" si="25"/>
        <v>0</v>
      </c>
      <c r="BX30" s="593">
        <f t="shared" si="26"/>
        <v>0</v>
      </c>
      <c r="BY30" s="593">
        <f t="shared" si="27"/>
        <v>0</v>
      </c>
      <c r="BZ30" s="593">
        <f t="shared" si="28"/>
        <v>0</v>
      </c>
      <c r="CA30" s="593">
        <f t="shared" si="29"/>
        <v>0</v>
      </c>
      <c r="CB30" s="593">
        <f t="shared" si="30"/>
        <v>0</v>
      </c>
      <c r="CC30" s="593">
        <f t="shared" si="31"/>
        <v>0</v>
      </c>
      <c r="CD30" s="593">
        <f t="shared" si="32"/>
        <v>0</v>
      </c>
      <c r="CE30" s="593">
        <f t="shared" si="32"/>
        <v>0</v>
      </c>
      <c r="CF30" s="595">
        <f t="shared" si="33"/>
        <v>0</v>
      </c>
      <c r="CG30" s="555" t="str">
        <f t="shared" si="34"/>
        <v/>
      </c>
      <c r="CH30" s="530" t="str">
        <f t="shared" si="35"/>
        <v/>
      </c>
      <c r="CI30" s="530" t="str">
        <f t="shared" si="36"/>
        <v/>
      </c>
      <c r="CJ30" s="530" t="str">
        <f t="shared" si="37"/>
        <v/>
      </c>
      <c r="CK30" s="530" t="str">
        <f t="shared" si="38"/>
        <v/>
      </c>
      <c r="CL30" s="530" t="str">
        <f t="shared" si="39"/>
        <v/>
      </c>
      <c r="CM30" s="82" t="str">
        <f t="shared" si="40"/>
        <v/>
      </c>
      <c r="CN30" s="496" t="str">
        <f t="shared" si="3"/>
        <v/>
      </c>
      <c r="CO30" s="496" t="str">
        <f t="shared" si="41"/>
        <v>0</v>
      </c>
      <c r="CP30" s="491">
        <f t="shared" si="42"/>
        <v>0</v>
      </c>
      <c r="CQ30" s="906"/>
      <c r="CR30" s="935"/>
      <c r="CS30" s="496">
        <f t="shared" si="43"/>
        <v>0</v>
      </c>
      <c r="CT30" s="496">
        <f t="shared" si="44"/>
        <v>0</v>
      </c>
      <c r="CU30" s="497" t="str">
        <f t="shared" si="45"/>
        <v>00</v>
      </c>
    </row>
    <row r="31" spans="1:99" s="5" customFormat="1" ht="15" customHeight="1">
      <c r="A31" s="1073">
        <v>28</v>
      </c>
      <c r="B31" s="922"/>
      <c r="C31" s="924" t="str">
        <f t="shared" si="4"/>
        <v/>
      </c>
      <c r="D31" s="1232"/>
      <c r="E31" s="913"/>
      <c r="F31" s="914"/>
      <c r="G31" s="926"/>
      <c r="H31" s="915"/>
      <c r="I31" s="916"/>
      <c r="J31" s="917"/>
      <c r="K31" s="1012"/>
      <c r="L31" s="1012"/>
      <c r="M31" s="1017"/>
      <c r="N31" s="947" t="str">
        <f t="shared" si="5"/>
        <v>00</v>
      </c>
      <c r="O31" s="406" t="str">
        <f t="shared" si="46"/>
        <v/>
      </c>
      <c r="P31" s="407" t="str">
        <f>IF(O31="","",VLOOKUP(O31,所属コード!$A$2:$E$11,2,FALSE))</f>
        <v/>
      </c>
      <c r="Q31" s="1033" t="str">
        <f>IF(O31="","",VLOOKUP(O31,所属コード!$A$2:$G$11,7,FALSE))</f>
        <v/>
      </c>
      <c r="R31" s="1035"/>
      <c r="S31" s="77"/>
      <c r="T31" s="77"/>
      <c r="U31" s="77"/>
      <c r="V31" s="15"/>
      <c r="X31" s="492"/>
      <c r="Y31" s="945" t="str">
        <f t="shared" si="6"/>
        <v/>
      </c>
      <c r="Z31" s="489" t="str">
        <f t="shared" si="7"/>
        <v/>
      </c>
      <c r="AA31" s="488"/>
      <c r="AB31" s="488"/>
      <c r="AC31" s="488"/>
      <c r="AD31" s="488"/>
      <c r="AE31" s="488"/>
      <c r="AF31" s="488"/>
      <c r="AG31" s="491"/>
      <c r="AH31" s="591"/>
      <c r="AI31" s="592"/>
      <c r="AJ31" s="592"/>
      <c r="AK31" s="592"/>
      <c r="AL31" s="592"/>
      <c r="AM31" s="592"/>
      <c r="AN31" s="592"/>
      <c r="AO31" s="592"/>
      <c r="AP31" s="592"/>
      <c r="AQ31" s="592"/>
      <c r="AR31" s="592"/>
      <c r="AS31" s="592"/>
      <c r="AT31" s="592"/>
      <c r="AU31" s="592"/>
      <c r="AV31" s="592"/>
      <c r="AW31" s="1084"/>
      <c r="AX31" s="609">
        <f t="shared" si="8"/>
        <v>0</v>
      </c>
      <c r="AY31" s="602">
        <f t="shared" si="0"/>
        <v>0</v>
      </c>
      <c r="AZ31" s="593">
        <f t="shared" si="1"/>
        <v>0</v>
      </c>
      <c r="BA31" s="594">
        <f t="shared" si="2"/>
        <v>0</v>
      </c>
      <c r="BB31" s="593">
        <f t="shared" si="2"/>
        <v>0</v>
      </c>
      <c r="BC31" s="593">
        <f t="shared" si="9"/>
        <v>0</v>
      </c>
      <c r="BD31" s="593">
        <f t="shared" si="10"/>
        <v>0</v>
      </c>
      <c r="BE31" s="593">
        <f t="shared" si="11"/>
        <v>0</v>
      </c>
      <c r="BF31" s="593">
        <f t="shared" si="12"/>
        <v>0</v>
      </c>
      <c r="BG31" s="593">
        <f t="shared" si="13"/>
        <v>0</v>
      </c>
      <c r="BH31" s="593">
        <f t="shared" si="14"/>
        <v>0</v>
      </c>
      <c r="BI31" s="593">
        <f t="shared" si="14"/>
        <v>0</v>
      </c>
      <c r="BJ31" s="593">
        <f t="shared" si="15"/>
        <v>0</v>
      </c>
      <c r="BK31" s="593">
        <f t="shared" si="15"/>
        <v>0</v>
      </c>
      <c r="BL31" s="593">
        <f t="shared" si="16"/>
        <v>0</v>
      </c>
      <c r="BM31" s="593">
        <f t="shared" si="17"/>
        <v>0</v>
      </c>
      <c r="BN31" s="593">
        <f t="shared" si="17"/>
        <v>0</v>
      </c>
      <c r="BO31" s="593">
        <f t="shared" si="17"/>
        <v>0</v>
      </c>
      <c r="BP31" s="593">
        <f t="shared" si="18"/>
        <v>0</v>
      </c>
      <c r="BQ31" s="593">
        <f t="shared" si="19"/>
        <v>0</v>
      </c>
      <c r="BR31" s="593">
        <f t="shared" si="20"/>
        <v>0</v>
      </c>
      <c r="BS31" s="593">
        <f t="shared" si="21"/>
        <v>0</v>
      </c>
      <c r="BT31" s="593">
        <f t="shared" si="22"/>
        <v>0</v>
      </c>
      <c r="BU31" s="593">
        <f t="shared" si="23"/>
        <v>0</v>
      </c>
      <c r="BV31" s="593">
        <f t="shared" si="24"/>
        <v>0</v>
      </c>
      <c r="BW31" s="593">
        <f t="shared" si="25"/>
        <v>0</v>
      </c>
      <c r="BX31" s="593">
        <f t="shared" si="26"/>
        <v>0</v>
      </c>
      <c r="BY31" s="593">
        <f t="shared" si="27"/>
        <v>0</v>
      </c>
      <c r="BZ31" s="593">
        <f t="shared" si="28"/>
        <v>0</v>
      </c>
      <c r="CA31" s="593">
        <f t="shared" si="29"/>
        <v>0</v>
      </c>
      <c r="CB31" s="593">
        <f t="shared" si="30"/>
        <v>0</v>
      </c>
      <c r="CC31" s="593">
        <f t="shared" si="31"/>
        <v>0</v>
      </c>
      <c r="CD31" s="593">
        <f t="shared" si="32"/>
        <v>0</v>
      </c>
      <c r="CE31" s="593">
        <f t="shared" si="32"/>
        <v>0</v>
      </c>
      <c r="CF31" s="595">
        <f t="shared" si="33"/>
        <v>0</v>
      </c>
      <c r="CG31" s="555" t="str">
        <f t="shared" si="34"/>
        <v/>
      </c>
      <c r="CH31" s="530" t="str">
        <f t="shared" si="35"/>
        <v/>
      </c>
      <c r="CI31" s="530" t="str">
        <f t="shared" si="36"/>
        <v/>
      </c>
      <c r="CJ31" s="530" t="str">
        <f t="shared" si="37"/>
        <v/>
      </c>
      <c r="CK31" s="530" t="str">
        <f t="shared" si="38"/>
        <v/>
      </c>
      <c r="CL31" s="530" t="str">
        <f t="shared" si="39"/>
        <v/>
      </c>
      <c r="CM31" s="82" t="str">
        <f t="shared" si="40"/>
        <v/>
      </c>
      <c r="CN31" s="496" t="str">
        <f t="shared" si="3"/>
        <v/>
      </c>
      <c r="CO31" s="496" t="str">
        <f t="shared" si="41"/>
        <v>0</v>
      </c>
      <c r="CP31" s="491">
        <f t="shared" si="42"/>
        <v>0</v>
      </c>
      <c r="CQ31" s="906"/>
      <c r="CR31" s="935"/>
      <c r="CS31" s="496">
        <f t="shared" si="43"/>
        <v>0</v>
      </c>
      <c r="CT31" s="496">
        <f t="shared" si="44"/>
        <v>0</v>
      </c>
      <c r="CU31" s="497" t="str">
        <f t="shared" si="45"/>
        <v>00</v>
      </c>
    </row>
    <row r="32" spans="1:99" s="5" customFormat="1" ht="15" customHeight="1">
      <c r="A32" s="1073">
        <v>29</v>
      </c>
      <c r="B32" s="922"/>
      <c r="C32" s="924" t="str">
        <f t="shared" si="4"/>
        <v/>
      </c>
      <c r="D32" s="1232"/>
      <c r="E32" s="913"/>
      <c r="F32" s="914"/>
      <c r="G32" s="926"/>
      <c r="H32" s="915"/>
      <c r="I32" s="916"/>
      <c r="J32" s="917"/>
      <c r="K32" s="1012"/>
      <c r="L32" s="1012"/>
      <c r="M32" s="1017"/>
      <c r="N32" s="947" t="str">
        <f t="shared" si="5"/>
        <v>00</v>
      </c>
      <c r="O32" s="406" t="str">
        <f t="shared" si="46"/>
        <v/>
      </c>
      <c r="P32" s="407" t="str">
        <f>IF(O32="","",VLOOKUP(O32,所属コード!$A$2:$E$11,2,FALSE))</f>
        <v/>
      </c>
      <c r="Q32" s="1033" t="str">
        <f>IF(O32="","",VLOOKUP(O32,所属コード!$A$2:$G$11,7,FALSE))</f>
        <v/>
      </c>
      <c r="R32" s="1035"/>
      <c r="S32" s="77"/>
      <c r="T32" s="77"/>
      <c r="U32" s="77"/>
      <c r="V32" s="15"/>
      <c r="X32" s="492"/>
      <c r="Y32" s="945" t="str">
        <f t="shared" si="6"/>
        <v/>
      </c>
      <c r="Z32" s="489" t="str">
        <f t="shared" si="7"/>
        <v/>
      </c>
      <c r="AA32" s="488"/>
      <c r="AB32" s="488"/>
      <c r="AC32" s="488"/>
      <c r="AD32" s="488"/>
      <c r="AE32" s="488"/>
      <c r="AF32" s="488"/>
      <c r="AG32" s="491"/>
      <c r="AH32" s="591"/>
      <c r="AI32" s="592"/>
      <c r="AJ32" s="592"/>
      <c r="AK32" s="592"/>
      <c r="AL32" s="592"/>
      <c r="AM32" s="592"/>
      <c r="AN32" s="592"/>
      <c r="AO32" s="592"/>
      <c r="AP32" s="592"/>
      <c r="AQ32" s="592"/>
      <c r="AR32" s="592"/>
      <c r="AS32" s="592"/>
      <c r="AT32" s="592"/>
      <c r="AU32" s="592"/>
      <c r="AV32" s="592"/>
      <c r="AW32" s="1084"/>
      <c r="AX32" s="609">
        <f t="shared" si="8"/>
        <v>0</v>
      </c>
      <c r="AY32" s="602">
        <f t="shared" si="0"/>
        <v>0</v>
      </c>
      <c r="AZ32" s="593">
        <f t="shared" si="1"/>
        <v>0</v>
      </c>
      <c r="BA32" s="594">
        <f t="shared" si="2"/>
        <v>0</v>
      </c>
      <c r="BB32" s="593">
        <f t="shared" si="2"/>
        <v>0</v>
      </c>
      <c r="BC32" s="593">
        <f t="shared" si="9"/>
        <v>0</v>
      </c>
      <c r="BD32" s="593">
        <f t="shared" si="10"/>
        <v>0</v>
      </c>
      <c r="BE32" s="593">
        <f t="shared" si="11"/>
        <v>0</v>
      </c>
      <c r="BF32" s="593">
        <f t="shared" si="12"/>
        <v>0</v>
      </c>
      <c r="BG32" s="593">
        <f t="shared" si="13"/>
        <v>0</v>
      </c>
      <c r="BH32" s="593">
        <f t="shared" si="14"/>
        <v>0</v>
      </c>
      <c r="BI32" s="593">
        <f t="shared" si="14"/>
        <v>0</v>
      </c>
      <c r="BJ32" s="593">
        <f t="shared" si="15"/>
        <v>0</v>
      </c>
      <c r="BK32" s="593">
        <f t="shared" si="15"/>
        <v>0</v>
      </c>
      <c r="BL32" s="593">
        <f t="shared" si="16"/>
        <v>0</v>
      </c>
      <c r="BM32" s="593">
        <f t="shared" si="17"/>
        <v>0</v>
      </c>
      <c r="BN32" s="593">
        <f t="shared" si="17"/>
        <v>0</v>
      </c>
      <c r="BO32" s="593">
        <f t="shared" si="17"/>
        <v>0</v>
      </c>
      <c r="BP32" s="593">
        <f t="shared" si="18"/>
        <v>0</v>
      </c>
      <c r="BQ32" s="593">
        <f t="shared" si="19"/>
        <v>0</v>
      </c>
      <c r="BR32" s="593">
        <f t="shared" si="20"/>
        <v>0</v>
      </c>
      <c r="BS32" s="593">
        <f t="shared" si="21"/>
        <v>0</v>
      </c>
      <c r="BT32" s="593">
        <f t="shared" si="22"/>
        <v>0</v>
      </c>
      <c r="BU32" s="593">
        <f t="shared" si="23"/>
        <v>0</v>
      </c>
      <c r="BV32" s="593">
        <f t="shared" si="24"/>
        <v>0</v>
      </c>
      <c r="BW32" s="593">
        <f t="shared" si="25"/>
        <v>0</v>
      </c>
      <c r="BX32" s="593">
        <f t="shared" si="26"/>
        <v>0</v>
      </c>
      <c r="BY32" s="593">
        <f t="shared" si="27"/>
        <v>0</v>
      </c>
      <c r="BZ32" s="593">
        <f t="shared" si="28"/>
        <v>0</v>
      </c>
      <c r="CA32" s="593">
        <f t="shared" si="29"/>
        <v>0</v>
      </c>
      <c r="CB32" s="593">
        <f t="shared" si="30"/>
        <v>0</v>
      </c>
      <c r="CC32" s="593">
        <f t="shared" si="31"/>
        <v>0</v>
      </c>
      <c r="CD32" s="593">
        <f t="shared" si="32"/>
        <v>0</v>
      </c>
      <c r="CE32" s="593">
        <f t="shared" si="32"/>
        <v>0</v>
      </c>
      <c r="CF32" s="595">
        <f t="shared" si="33"/>
        <v>0</v>
      </c>
      <c r="CG32" s="555" t="str">
        <f t="shared" si="34"/>
        <v/>
      </c>
      <c r="CH32" s="530" t="str">
        <f t="shared" si="35"/>
        <v/>
      </c>
      <c r="CI32" s="530" t="str">
        <f t="shared" si="36"/>
        <v/>
      </c>
      <c r="CJ32" s="530" t="str">
        <f t="shared" si="37"/>
        <v/>
      </c>
      <c r="CK32" s="530" t="str">
        <f t="shared" si="38"/>
        <v/>
      </c>
      <c r="CL32" s="530" t="str">
        <f t="shared" si="39"/>
        <v/>
      </c>
      <c r="CM32" s="82" t="str">
        <f t="shared" si="40"/>
        <v/>
      </c>
      <c r="CN32" s="496" t="str">
        <f t="shared" si="3"/>
        <v/>
      </c>
      <c r="CO32" s="496" t="str">
        <f t="shared" si="41"/>
        <v>0</v>
      </c>
      <c r="CP32" s="491">
        <f t="shared" si="42"/>
        <v>0</v>
      </c>
      <c r="CQ32" s="906"/>
      <c r="CR32" s="935"/>
      <c r="CS32" s="496">
        <f t="shared" si="43"/>
        <v>0</v>
      </c>
      <c r="CT32" s="496">
        <f t="shared" si="44"/>
        <v>0</v>
      </c>
      <c r="CU32" s="497" t="str">
        <f t="shared" si="45"/>
        <v>00</v>
      </c>
    </row>
    <row r="33" spans="1:99" s="5" customFormat="1" ht="13.5" customHeight="1" thickBot="1">
      <c r="A33" s="1074">
        <v>30</v>
      </c>
      <c r="B33" s="1019"/>
      <c r="C33" s="1077" t="str">
        <f t="shared" si="4"/>
        <v/>
      </c>
      <c r="D33" s="1233"/>
      <c r="E33" s="1021"/>
      <c r="F33" s="1022"/>
      <c r="G33" s="1075"/>
      <c r="H33" s="1076"/>
      <c r="I33" s="1025"/>
      <c r="J33" s="1024"/>
      <c r="K33" s="1014"/>
      <c r="L33" s="1014"/>
      <c r="M33" s="1026"/>
      <c r="N33" s="947" t="str">
        <f t="shared" si="5"/>
        <v>00</v>
      </c>
      <c r="O33" s="406" t="str">
        <f t="shared" si="46"/>
        <v/>
      </c>
      <c r="P33" s="407" t="str">
        <f>IF(O33="","",VLOOKUP(O33,所属コード!$A$2:$E$11,2,FALSE))</f>
        <v/>
      </c>
      <c r="Q33" s="1033" t="str">
        <f>IF(O33="","",VLOOKUP(O33,所属コード!$A$2:$G$11,7,FALSE))</f>
        <v/>
      </c>
      <c r="R33" s="1035"/>
      <c r="S33" s="77"/>
      <c r="T33" s="77"/>
      <c r="U33" s="77"/>
      <c r="V33" s="15"/>
      <c r="X33" s="492"/>
      <c r="Y33" s="945" t="str">
        <f t="shared" si="6"/>
        <v/>
      </c>
      <c r="Z33" s="489" t="str">
        <f t="shared" si="7"/>
        <v/>
      </c>
      <c r="AA33" s="488"/>
      <c r="AB33" s="488"/>
      <c r="AC33" s="488"/>
      <c r="AD33" s="488"/>
      <c r="AE33" s="488"/>
      <c r="AF33" s="488"/>
      <c r="AG33" s="491"/>
      <c r="AH33" s="596"/>
      <c r="AI33" s="597"/>
      <c r="AJ33" s="597"/>
      <c r="AK33" s="597"/>
      <c r="AL33" s="597"/>
      <c r="AM33" s="597"/>
      <c r="AN33" s="597"/>
      <c r="AO33" s="597"/>
      <c r="AP33" s="597"/>
      <c r="AQ33" s="597"/>
      <c r="AR33" s="597"/>
      <c r="AS33" s="597"/>
      <c r="AT33" s="597"/>
      <c r="AU33" s="597"/>
      <c r="AV33" s="597"/>
      <c r="AW33" s="1085"/>
      <c r="AX33" s="609">
        <f t="shared" si="8"/>
        <v>0</v>
      </c>
      <c r="AY33" s="602">
        <f t="shared" si="0"/>
        <v>0</v>
      </c>
      <c r="AZ33" s="593">
        <f t="shared" si="1"/>
        <v>0</v>
      </c>
      <c r="BA33" s="594">
        <f t="shared" si="2"/>
        <v>0</v>
      </c>
      <c r="BB33" s="593">
        <f t="shared" si="2"/>
        <v>0</v>
      </c>
      <c r="BC33" s="593">
        <f t="shared" si="9"/>
        <v>0</v>
      </c>
      <c r="BD33" s="593">
        <f t="shared" si="10"/>
        <v>0</v>
      </c>
      <c r="BE33" s="593">
        <f t="shared" si="11"/>
        <v>0</v>
      </c>
      <c r="BF33" s="593">
        <f t="shared" si="12"/>
        <v>0</v>
      </c>
      <c r="BG33" s="593">
        <f t="shared" si="13"/>
        <v>0</v>
      </c>
      <c r="BH33" s="593">
        <f t="shared" si="14"/>
        <v>0</v>
      </c>
      <c r="BI33" s="593">
        <f t="shared" si="14"/>
        <v>0</v>
      </c>
      <c r="BJ33" s="593">
        <f t="shared" si="15"/>
        <v>0</v>
      </c>
      <c r="BK33" s="593">
        <f t="shared" si="15"/>
        <v>0</v>
      </c>
      <c r="BL33" s="593">
        <f t="shared" si="16"/>
        <v>0</v>
      </c>
      <c r="BM33" s="593">
        <f t="shared" si="17"/>
        <v>0</v>
      </c>
      <c r="BN33" s="593">
        <f t="shared" si="17"/>
        <v>0</v>
      </c>
      <c r="BO33" s="593">
        <f t="shared" si="17"/>
        <v>0</v>
      </c>
      <c r="BP33" s="593">
        <f t="shared" si="18"/>
        <v>0</v>
      </c>
      <c r="BQ33" s="593">
        <f t="shared" si="19"/>
        <v>0</v>
      </c>
      <c r="BR33" s="593">
        <f t="shared" si="20"/>
        <v>0</v>
      </c>
      <c r="BS33" s="593">
        <f t="shared" si="21"/>
        <v>0</v>
      </c>
      <c r="BT33" s="593">
        <f t="shared" si="22"/>
        <v>0</v>
      </c>
      <c r="BU33" s="593">
        <f t="shared" si="23"/>
        <v>0</v>
      </c>
      <c r="BV33" s="593">
        <f t="shared" si="24"/>
        <v>0</v>
      </c>
      <c r="BW33" s="593">
        <f t="shared" si="25"/>
        <v>0</v>
      </c>
      <c r="BX33" s="593">
        <f t="shared" si="26"/>
        <v>0</v>
      </c>
      <c r="BY33" s="593">
        <f t="shared" si="27"/>
        <v>0</v>
      </c>
      <c r="BZ33" s="593">
        <f t="shared" si="28"/>
        <v>0</v>
      </c>
      <c r="CA33" s="593">
        <f t="shared" si="29"/>
        <v>0</v>
      </c>
      <c r="CB33" s="593">
        <f t="shared" si="30"/>
        <v>0</v>
      </c>
      <c r="CC33" s="593">
        <f t="shared" si="31"/>
        <v>0</v>
      </c>
      <c r="CD33" s="593">
        <f t="shared" si="32"/>
        <v>0</v>
      </c>
      <c r="CE33" s="593">
        <f t="shared" si="32"/>
        <v>0</v>
      </c>
      <c r="CF33" s="595">
        <f t="shared" si="33"/>
        <v>0</v>
      </c>
      <c r="CG33" s="555" t="str">
        <f t="shared" si="34"/>
        <v/>
      </c>
      <c r="CH33" s="530" t="str">
        <f t="shared" si="35"/>
        <v/>
      </c>
      <c r="CI33" s="530" t="str">
        <f t="shared" si="36"/>
        <v/>
      </c>
      <c r="CJ33" s="530" t="str">
        <f t="shared" si="37"/>
        <v/>
      </c>
      <c r="CK33" s="530" t="str">
        <f t="shared" si="38"/>
        <v/>
      </c>
      <c r="CL33" s="530" t="str">
        <f t="shared" si="39"/>
        <v/>
      </c>
      <c r="CM33" s="82" t="str">
        <f t="shared" si="40"/>
        <v/>
      </c>
      <c r="CN33" s="496" t="str">
        <f t="shared" si="3"/>
        <v/>
      </c>
      <c r="CO33" s="496" t="str">
        <f t="shared" si="41"/>
        <v>0</v>
      </c>
      <c r="CP33" s="491">
        <f t="shared" si="42"/>
        <v>0</v>
      </c>
      <c r="CQ33" s="906"/>
      <c r="CR33" s="935"/>
      <c r="CS33" s="496">
        <f t="shared" si="43"/>
        <v>0</v>
      </c>
      <c r="CT33" s="496">
        <f t="shared" si="44"/>
        <v>0</v>
      </c>
      <c r="CU33" s="497" t="str">
        <f t="shared" si="45"/>
        <v>00</v>
      </c>
    </row>
    <row r="34" spans="1:99" s="5" customFormat="1" ht="5.25" hidden="1" customHeight="1">
      <c r="A34" s="1054">
        <v>31</v>
      </c>
      <c r="B34" s="1055"/>
      <c r="C34" s="1056"/>
      <c r="D34" s="1057"/>
      <c r="E34" s="1058"/>
      <c r="F34" s="1059"/>
      <c r="G34" s="1060"/>
      <c r="H34" s="918"/>
      <c r="I34" s="919"/>
      <c r="J34" s="920"/>
      <c r="K34" s="1061"/>
      <c r="L34" s="1061"/>
      <c r="M34" s="1062"/>
      <c r="N34" s="1028" t="str">
        <f t="shared" si="5"/>
        <v>00</v>
      </c>
      <c r="O34" s="406" t="str">
        <f t="shared" si="46"/>
        <v/>
      </c>
      <c r="P34" s="407" t="str">
        <f>IF(O34="","",VLOOKUP(O34,所属コード!$A$2:$E$11,2,FALSE))</f>
        <v/>
      </c>
      <c r="Q34" s="1033" t="str">
        <f>IF(O34="","",VLOOKUP(O34,所属コード!$A$2:$G$11,7,FALSE))</f>
        <v/>
      </c>
      <c r="R34" s="1035"/>
      <c r="S34" s="77"/>
      <c r="T34" s="77"/>
      <c r="U34" s="77"/>
      <c r="V34" s="15"/>
      <c r="X34" s="492"/>
      <c r="Y34" s="945" t="str">
        <f t="shared" si="6"/>
        <v/>
      </c>
      <c r="Z34" s="489" t="str">
        <f t="shared" si="7"/>
        <v/>
      </c>
      <c r="AA34" s="488"/>
      <c r="AB34" s="488"/>
      <c r="AC34" s="488"/>
      <c r="AD34" s="488"/>
      <c r="AE34" s="488"/>
      <c r="AF34" s="488"/>
      <c r="AG34" s="491"/>
      <c r="AH34" s="1078"/>
      <c r="AI34" s="1079"/>
      <c r="AJ34" s="1079"/>
      <c r="AK34" s="1079"/>
      <c r="AL34" s="1079"/>
      <c r="AM34" s="1079"/>
      <c r="AN34" s="1079"/>
      <c r="AO34" s="1079"/>
      <c r="AP34" s="1079"/>
      <c r="AQ34" s="1079"/>
      <c r="AR34" s="1079"/>
      <c r="AS34" s="1079"/>
      <c r="AT34" s="1079"/>
      <c r="AU34" s="1079"/>
      <c r="AV34" s="1079"/>
      <c r="AW34" s="1080"/>
      <c r="AX34" s="609">
        <f t="shared" si="8"/>
        <v>0</v>
      </c>
      <c r="AY34" s="602">
        <f t="shared" si="0"/>
        <v>0</v>
      </c>
      <c r="AZ34" s="593">
        <f t="shared" si="1"/>
        <v>0</v>
      </c>
      <c r="BA34" s="594">
        <f t="shared" si="2"/>
        <v>0</v>
      </c>
      <c r="BB34" s="593">
        <f t="shared" si="2"/>
        <v>0</v>
      </c>
      <c r="BC34" s="593">
        <f t="shared" si="9"/>
        <v>0</v>
      </c>
      <c r="BD34" s="593">
        <f t="shared" si="10"/>
        <v>0</v>
      </c>
      <c r="BE34" s="593">
        <f t="shared" si="11"/>
        <v>0</v>
      </c>
      <c r="BF34" s="593">
        <f t="shared" si="12"/>
        <v>0</v>
      </c>
      <c r="BG34" s="593">
        <f t="shared" si="13"/>
        <v>0</v>
      </c>
      <c r="BH34" s="593">
        <f t="shared" si="14"/>
        <v>0</v>
      </c>
      <c r="BI34" s="593">
        <f t="shared" si="14"/>
        <v>0</v>
      </c>
      <c r="BJ34" s="593">
        <f t="shared" si="15"/>
        <v>0</v>
      </c>
      <c r="BK34" s="593">
        <f t="shared" si="15"/>
        <v>0</v>
      </c>
      <c r="BL34" s="593">
        <f t="shared" si="16"/>
        <v>0</v>
      </c>
      <c r="BM34" s="593">
        <f t="shared" si="17"/>
        <v>0</v>
      </c>
      <c r="BN34" s="593">
        <f t="shared" si="17"/>
        <v>0</v>
      </c>
      <c r="BO34" s="593">
        <f t="shared" si="17"/>
        <v>0</v>
      </c>
      <c r="BP34" s="593">
        <f t="shared" si="18"/>
        <v>0</v>
      </c>
      <c r="BQ34" s="593">
        <f t="shared" si="19"/>
        <v>0</v>
      </c>
      <c r="BR34" s="593">
        <f t="shared" si="20"/>
        <v>0</v>
      </c>
      <c r="BS34" s="593">
        <f t="shared" si="21"/>
        <v>0</v>
      </c>
      <c r="BT34" s="593">
        <f t="shared" si="22"/>
        <v>0</v>
      </c>
      <c r="BU34" s="593">
        <f t="shared" si="23"/>
        <v>0</v>
      </c>
      <c r="BV34" s="593">
        <f t="shared" si="24"/>
        <v>0</v>
      </c>
      <c r="BW34" s="593">
        <f t="shared" si="25"/>
        <v>0</v>
      </c>
      <c r="BX34" s="593">
        <f t="shared" si="26"/>
        <v>0</v>
      </c>
      <c r="BY34" s="593">
        <f t="shared" si="27"/>
        <v>0</v>
      </c>
      <c r="BZ34" s="593">
        <f t="shared" si="28"/>
        <v>0</v>
      </c>
      <c r="CA34" s="593">
        <f t="shared" si="29"/>
        <v>0</v>
      </c>
      <c r="CB34" s="593">
        <f t="shared" si="30"/>
        <v>0</v>
      </c>
      <c r="CC34" s="593">
        <f t="shared" si="31"/>
        <v>0</v>
      </c>
      <c r="CD34" s="593">
        <f t="shared" si="32"/>
        <v>0</v>
      </c>
      <c r="CE34" s="593">
        <f t="shared" si="32"/>
        <v>0</v>
      </c>
      <c r="CF34" s="595">
        <f t="shared" si="33"/>
        <v>0</v>
      </c>
      <c r="CG34" s="555" t="str">
        <f t="shared" si="34"/>
        <v/>
      </c>
      <c r="CH34" s="530" t="str">
        <f t="shared" si="35"/>
        <v/>
      </c>
      <c r="CI34" s="530" t="str">
        <f t="shared" si="36"/>
        <v/>
      </c>
      <c r="CJ34" s="530" t="str">
        <f t="shared" si="37"/>
        <v/>
      </c>
      <c r="CK34" s="530" t="str">
        <f t="shared" si="38"/>
        <v/>
      </c>
      <c r="CL34" s="530" t="str">
        <f t="shared" si="39"/>
        <v/>
      </c>
      <c r="CM34" s="82" t="str">
        <f t="shared" si="40"/>
        <v/>
      </c>
      <c r="CN34" s="496" t="str">
        <f t="shared" si="3"/>
        <v/>
      </c>
      <c r="CO34" s="496" t="str">
        <f t="shared" si="41"/>
        <v>0</v>
      </c>
      <c r="CP34" s="491">
        <f t="shared" si="42"/>
        <v>0</v>
      </c>
      <c r="CQ34" s="906"/>
      <c r="CR34" s="935"/>
      <c r="CS34" s="496">
        <f t="shared" si="43"/>
        <v>0</v>
      </c>
      <c r="CT34" s="496">
        <f t="shared" si="44"/>
        <v>0</v>
      </c>
      <c r="CU34" s="497" t="str">
        <f t="shared" si="45"/>
        <v>00</v>
      </c>
    </row>
    <row r="35" spans="1:99" s="5" customFormat="1" ht="15" hidden="1" customHeight="1">
      <c r="A35" s="951">
        <v>32</v>
      </c>
      <c r="B35" s="953"/>
      <c r="C35" s="922"/>
      <c r="D35" s="923"/>
      <c r="E35" s="913"/>
      <c r="F35" s="914"/>
      <c r="G35" s="926"/>
      <c r="H35" s="915"/>
      <c r="I35" s="916"/>
      <c r="J35" s="917"/>
      <c r="K35" s="1012"/>
      <c r="L35" s="1012"/>
      <c r="M35" s="1013"/>
      <c r="N35" s="1028" t="str">
        <f t="shared" si="5"/>
        <v>00</v>
      </c>
      <c r="O35" s="406" t="str">
        <f t="shared" si="46"/>
        <v/>
      </c>
      <c r="P35" s="407" t="str">
        <f>IF(O35="","",VLOOKUP(O35,所属コード!$A$2:$E$11,2,FALSE))</f>
        <v/>
      </c>
      <c r="Q35" s="1033" t="str">
        <f>IF(O35="","",VLOOKUP(O35,所属コード!$A$2:$G$11,7,FALSE))</f>
        <v/>
      </c>
      <c r="R35" s="1035"/>
      <c r="S35" s="77"/>
      <c r="T35" s="77"/>
      <c r="U35" s="77"/>
      <c r="V35" s="15"/>
      <c r="X35" s="492"/>
      <c r="Y35" s="945" t="str">
        <f t="shared" si="6"/>
        <v/>
      </c>
      <c r="Z35" s="489" t="str">
        <f t="shared" si="7"/>
        <v/>
      </c>
      <c r="AA35" s="488"/>
      <c r="AB35" s="488"/>
      <c r="AC35" s="488"/>
      <c r="AD35" s="488"/>
      <c r="AE35" s="488"/>
      <c r="AF35" s="488"/>
      <c r="AG35" s="491"/>
      <c r="AH35" s="591"/>
      <c r="AI35" s="592"/>
      <c r="AJ35" s="592"/>
      <c r="AK35" s="592"/>
      <c r="AL35" s="592"/>
      <c r="AM35" s="592"/>
      <c r="AN35" s="592"/>
      <c r="AO35" s="592"/>
      <c r="AP35" s="592"/>
      <c r="AQ35" s="592"/>
      <c r="AR35" s="592"/>
      <c r="AS35" s="592"/>
      <c r="AT35" s="592"/>
      <c r="AU35" s="592"/>
      <c r="AV35" s="592"/>
      <c r="AW35" s="604"/>
      <c r="AX35" s="609">
        <f t="shared" si="8"/>
        <v>0</v>
      </c>
      <c r="AY35" s="602">
        <f t="shared" si="0"/>
        <v>0</v>
      </c>
      <c r="AZ35" s="593">
        <f t="shared" si="1"/>
        <v>0</v>
      </c>
      <c r="BA35" s="594">
        <f t="shared" si="2"/>
        <v>0</v>
      </c>
      <c r="BB35" s="593">
        <f t="shared" si="2"/>
        <v>0</v>
      </c>
      <c r="BC35" s="593">
        <f t="shared" si="9"/>
        <v>0</v>
      </c>
      <c r="BD35" s="593">
        <f t="shared" si="10"/>
        <v>0</v>
      </c>
      <c r="BE35" s="593">
        <f t="shared" si="11"/>
        <v>0</v>
      </c>
      <c r="BF35" s="593">
        <f t="shared" si="12"/>
        <v>0</v>
      </c>
      <c r="BG35" s="593">
        <f t="shared" si="13"/>
        <v>0</v>
      </c>
      <c r="BH35" s="593">
        <f t="shared" si="14"/>
        <v>0</v>
      </c>
      <c r="BI35" s="593">
        <f t="shared" si="14"/>
        <v>0</v>
      </c>
      <c r="BJ35" s="593">
        <f t="shared" si="15"/>
        <v>0</v>
      </c>
      <c r="BK35" s="593">
        <f t="shared" si="15"/>
        <v>0</v>
      </c>
      <c r="BL35" s="593">
        <f t="shared" si="16"/>
        <v>0</v>
      </c>
      <c r="BM35" s="593">
        <f t="shared" si="17"/>
        <v>0</v>
      </c>
      <c r="BN35" s="593">
        <f t="shared" si="17"/>
        <v>0</v>
      </c>
      <c r="BO35" s="593">
        <f t="shared" si="17"/>
        <v>0</v>
      </c>
      <c r="BP35" s="593">
        <f t="shared" si="18"/>
        <v>0</v>
      </c>
      <c r="BQ35" s="593">
        <f t="shared" si="19"/>
        <v>0</v>
      </c>
      <c r="BR35" s="593">
        <f t="shared" si="20"/>
        <v>0</v>
      </c>
      <c r="BS35" s="593">
        <f t="shared" si="21"/>
        <v>0</v>
      </c>
      <c r="BT35" s="593">
        <f t="shared" si="22"/>
        <v>0</v>
      </c>
      <c r="BU35" s="593">
        <f t="shared" si="23"/>
        <v>0</v>
      </c>
      <c r="BV35" s="593">
        <f t="shared" si="24"/>
        <v>0</v>
      </c>
      <c r="BW35" s="593">
        <f t="shared" si="25"/>
        <v>0</v>
      </c>
      <c r="BX35" s="593">
        <f t="shared" si="26"/>
        <v>0</v>
      </c>
      <c r="BY35" s="593">
        <f t="shared" si="27"/>
        <v>0</v>
      </c>
      <c r="BZ35" s="593">
        <f t="shared" si="28"/>
        <v>0</v>
      </c>
      <c r="CA35" s="593">
        <f t="shared" si="29"/>
        <v>0</v>
      </c>
      <c r="CB35" s="593">
        <f t="shared" si="30"/>
        <v>0</v>
      </c>
      <c r="CC35" s="593">
        <f t="shared" si="31"/>
        <v>0</v>
      </c>
      <c r="CD35" s="593">
        <f t="shared" si="32"/>
        <v>0</v>
      </c>
      <c r="CE35" s="593">
        <f t="shared" si="32"/>
        <v>0</v>
      </c>
      <c r="CF35" s="595">
        <f t="shared" si="33"/>
        <v>0</v>
      </c>
      <c r="CG35" s="555" t="str">
        <f t="shared" si="34"/>
        <v/>
      </c>
      <c r="CH35" s="530" t="str">
        <f t="shared" si="35"/>
        <v/>
      </c>
      <c r="CI35" s="530" t="str">
        <f t="shared" si="36"/>
        <v/>
      </c>
      <c r="CJ35" s="530" t="str">
        <f t="shared" si="37"/>
        <v/>
      </c>
      <c r="CK35" s="530" t="str">
        <f t="shared" si="38"/>
        <v/>
      </c>
      <c r="CL35" s="530" t="str">
        <f t="shared" si="39"/>
        <v/>
      </c>
      <c r="CM35" s="82" t="str">
        <f t="shared" si="40"/>
        <v/>
      </c>
      <c r="CN35" s="496" t="str">
        <f t="shared" si="3"/>
        <v/>
      </c>
      <c r="CO35" s="496" t="str">
        <f t="shared" si="41"/>
        <v>0</v>
      </c>
      <c r="CP35" s="491">
        <f t="shared" si="42"/>
        <v>0</v>
      </c>
      <c r="CQ35" s="906"/>
      <c r="CR35" s="935"/>
      <c r="CS35" s="496">
        <f t="shared" si="43"/>
        <v>0</v>
      </c>
      <c r="CT35" s="496">
        <f t="shared" si="44"/>
        <v>0</v>
      </c>
      <c r="CU35" s="497" t="str">
        <f t="shared" si="45"/>
        <v>00</v>
      </c>
    </row>
    <row r="36" spans="1:99" s="5" customFormat="1" ht="15" hidden="1" customHeight="1">
      <c r="A36" s="951">
        <v>33</v>
      </c>
      <c r="B36" s="953"/>
      <c r="C36" s="922"/>
      <c r="D36" s="923"/>
      <c r="E36" s="913"/>
      <c r="F36" s="914"/>
      <c r="G36" s="926"/>
      <c r="H36" s="915"/>
      <c r="I36" s="916"/>
      <c r="J36" s="917"/>
      <c r="K36" s="1012"/>
      <c r="L36" s="1012"/>
      <c r="M36" s="1013"/>
      <c r="N36" s="1028" t="str">
        <f t="shared" si="5"/>
        <v>00</v>
      </c>
      <c r="O36" s="406" t="str">
        <f t="shared" si="46"/>
        <v/>
      </c>
      <c r="P36" s="407" t="str">
        <f>IF(O36="","",VLOOKUP(O36,所属コード!$A$2:$E$11,2,FALSE))</f>
        <v/>
      </c>
      <c r="Q36" s="1033" t="str">
        <f>IF(O36="","",VLOOKUP(O36,所属コード!$A$2:$G$11,7,FALSE))</f>
        <v/>
      </c>
      <c r="R36" s="1035"/>
      <c r="S36" s="77"/>
      <c r="T36" s="77"/>
      <c r="U36" s="77"/>
      <c r="V36" s="15"/>
      <c r="X36" s="492"/>
      <c r="Y36" s="945" t="str">
        <f t="shared" si="6"/>
        <v/>
      </c>
      <c r="Z36" s="489" t="str">
        <f t="shared" si="7"/>
        <v/>
      </c>
      <c r="AA36" s="488"/>
      <c r="AB36" s="488"/>
      <c r="AC36" s="488"/>
      <c r="AD36" s="488"/>
      <c r="AE36" s="488"/>
      <c r="AF36" s="488"/>
      <c r="AG36" s="491"/>
      <c r="AH36" s="591"/>
      <c r="AI36" s="592"/>
      <c r="AJ36" s="592"/>
      <c r="AK36" s="592"/>
      <c r="AL36" s="592"/>
      <c r="AM36" s="592"/>
      <c r="AN36" s="592"/>
      <c r="AO36" s="592"/>
      <c r="AP36" s="592"/>
      <c r="AQ36" s="592"/>
      <c r="AR36" s="592"/>
      <c r="AS36" s="592"/>
      <c r="AT36" s="592"/>
      <c r="AU36" s="592"/>
      <c r="AV36" s="592"/>
      <c r="AW36" s="604"/>
      <c r="AX36" s="609">
        <f t="shared" si="8"/>
        <v>0</v>
      </c>
      <c r="AY36" s="602">
        <f t="shared" si="0"/>
        <v>0</v>
      </c>
      <c r="AZ36" s="593">
        <f t="shared" si="1"/>
        <v>0</v>
      </c>
      <c r="BA36" s="594">
        <f t="shared" ref="BA36:BB67" si="47">AO36</f>
        <v>0</v>
      </c>
      <c r="BB36" s="593">
        <f t="shared" si="47"/>
        <v>0</v>
      </c>
      <c r="BC36" s="593">
        <f t="shared" si="9"/>
        <v>0</v>
      </c>
      <c r="BD36" s="593">
        <f t="shared" si="10"/>
        <v>0</v>
      </c>
      <c r="BE36" s="593">
        <f t="shared" si="11"/>
        <v>0</v>
      </c>
      <c r="BF36" s="593">
        <f t="shared" si="12"/>
        <v>0</v>
      </c>
      <c r="BG36" s="593">
        <f t="shared" si="13"/>
        <v>0</v>
      </c>
      <c r="BH36" s="593">
        <f t="shared" si="14"/>
        <v>0</v>
      </c>
      <c r="BI36" s="593">
        <f t="shared" si="14"/>
        <v>0</v>
      </c>
      <c r="BJ36" s="593">
        <f t="shared" si="15"/>
        <v>0</v>
      </c>
      <c r="BK36" s="593">
        <f t="shared" si="15"/>
        <v>0</v>
      </c>
      <c r="BL36" s="593">
        <f t="shared" si="16"/>
        <v>0</v>
      </c>
      <c r="BM36" s="593">
        <f t="shared" si="17"/>
        <v>0</v>
      </c>
      <c r="BN36" s="593">
        <f t="shared" si="17"/>
        <v>0</v>
      </c>
      <c r="BO36" s="593">
        <f t="shared" si="17"/>
        <v>0</v>
      </c>
      <c r="BP36" s="593">
        <f t="shared" si="18"/>
        <v>0</v>
      </c>
      <c r="BQ36" s="593">
        <f t="shared" si="19"/>
        <v>0</v>
      </c>
      <c r="BR36" s="593">
        <f t="shared" si="20"/>
        <v>0</v>
      </c>
      <c r="BS36" s="593">
        <f t="shared" si="21"/>
        <v>0</v>
      </c>
      <c r="BT36" s="593">
        <f t="shared" si="22"/>
        <v>0</v>
      </c>
      <c r="BU36" s="593">
        <f t="shared" si="23"/>
        <v>0</v>
      </c>
      <c r="BV36" s="593">
        <f t="shared" si="24"/>
        <v>0</v>
      </c>
      <c r="BW36" s="593">
        <f t="shared" si="25"/>
        <v>0</v>
      </c>
      <c r="BX36" s="593">
        <f t="shared" si="26"/>
        <v>0</v>
      </c>
      <c r="BY36" s="593">
        <f t="shared" si="27"/>
        <v>0</v>
      </c>
      <c r="BZ36" s="593">
        <f t="shared" si="28"/>
        <v>0</v>
      </c>
      <c r="CA36" s="593">
        <f t="shared" si="29"/>
        <v>0</v>
      </c>
      <c r="CB36" s="593">
        <f t="shared" si="30"/>
        <v>0</v>
      </c>
      <c r="CC36" s="593">
        <f t="shared" si="31"/>
        <v>0</v>
      </c>
      <c r="CD36" s="593">
        <f t="shared" si="32"/>
        <v>0</v>
      </c>
      <c r="CE36" s="593">
        <f t="shared" si="32"/>
        <v>0</v>
      </c>
      <c r="CF36" s="595">
        <f t="shared" si="33"/>
        <v>0</v>
      </c>
      <c r="CG36" s="555" t="str">
        <f t="shared" si="34"/>
        <v/>
      </c>
      <c r="CH36" s="530" t="str">
        <f t="shared" si="35"/>
        <v/>
      </c>
      <c r="CI36" s="530" t="str">
        <f t="shared" si="36"/>
        <v/>
      </c>
      <c r="CJ36" s="530" t="str">
        <f t="shared" si="37"/>
        <v/>
      </c>
      <c r="CK36" s="530" t="str">
        <f t="shared" si="38"/>
        <v/>
      </c>
      <c r="CL36" s="530" t="str">
        <f t="shared" si="39"/>
        <v/>
      </c>
      <c r="CM36" s="82" t="str">
        <f t="shared" si="40"/>
        <v/>
      </c>
      <c r="CN36" s="496" t="str">
        <f t="shared" si="3"/>
        <v/>
      </c>
      <c r="CO36" s="496" t="str">
        <f t="shared" si="41"/>
        <v>0</v>
      </c>
      <c r="CP36" s="491">
        <f t="shared" si="42"/>
        <v>0</v>
      </c>
      <c r="CQ36" s="906"/>
      <c r="CR36" s="935"/>
      <c r="CS36" s="496">
        <f t="shared" si="43"/>
        <v>0</v>
      </c>
      <c r="CT36" s="496">
        <f t="shared" si="44"/>
        <v>0</v>
      </c>
      <c r="CU36" s="497" t="str">
        <f t="shared" si="45"/>
        <v>00</v>
      </c>
    </row>
    <row r="37" spans="1:99" s="5" customFormat="1" ht="15" hidden="1" customHeight="1">
      <c r="A37" s="951">
        <v>34</v>
      </c>
      <c r="B37" s="953"/>
      <c r="C37" s="922"/>
      <c r="D37" s="923"/>
      <c r="E37" s="913"/>
      <c r="F37" s="914"/>
      <c r="G37" s="926"/>
      <c r="H37" s="915"/>
      <c r="I37" s="916"/>
      <c r="J37" s="917"/>
      <c r="K37" s="1012"/>
      <c r="L37" s="1012"/>
      <c r="M37" s="1013"/>
      <c r="N37" s="1028" t="str">
        <f t="shared" si="5"/>
        <v>00</v>
      </c>
      <c r="O37" s="406" t="str">
        <f t="shared" si="46"/>
        <v/>
      </c>
      <c r="P37" s="407" t="str">
        <f>IF(O37="","",VLOOKUP(O37,所属コード!$A$2:$E$11,2,FALSE))</f>
        <v/>
      </c>
      <c r="Q37" s="1033" t="str">
        <f>IF(O37="","",VLOOKUP(O37,所属コード!$A$2:$G$11,7,FALSE))</f>
        <v/>
      </c>
      <c r="R37" s="1035"/>
      <c r="S37" s="77"/>
      <c r="T37" s="77"/>
      <c r="U37" s="77"/>
      <c r="V37" s="15"/>
      <c r="X37" s="492"/>
      <c r="Y37" s="945" t="str">
        <f t="shared" si="6"/>
        <v/>
      </c>
      <c r="Z37" s="489" t="str">
        <f t="shared" si="7"/>
        <v/>
      </c>
      <c r="AA37" s="488"/>
      <c r="AB37" s="488"/>
      <c r="AC37" s="488"/>
      <c r="AD37" s="488"/>
      <c r="AE37" s="488"/>
      <c r="AF37" s="488"/>
      <c r="AG37" s="491"/>
      <c r="AH37" s="591"/>
      <c r="AI37" s="592"/>
      <c r="AJ37" s="592"/>
      <c r="AK37" s="592"/>
      <c r="AL37" s="592"/>
      <c r="AM37" s="592"/>
      <c r="AN37" s="592"/>
      <c r="AO37" s="592"/>
      <c r="AP37" s="592"/>
      <c r="AQ37" s="592"/>
      <c r="AR37" s="592"/>
      <c r="AS37" s="592"/>
      <c r="AT37" s="592"/>
      <c r="AU37" s="592"/>
      <c r="AV37" s="592"/>
      <c r="AW37" s="604"/>
      <c r="AX37" s="609">
        <f t="shared" si="8"/>
        <v>0</v>
      </c>
      <c r="AY37" s="602">
        <f t="shared" si="0"/>
        <v>0</v>
      </c>
      <c r="AZ37" s="593">
        <f t="shared" si="1"/>
        <v>0</v>
      </c>
      <c r="BA37" s="594">
        <f t="shared" si="47"/>
        <v>0</v>
      </c>
      <c r="BB37" s="593">
        <f t="shared" si="47"/>
        <v>0</v>
      </c>
      <c r="BC37" s="593">
        <f t="shared" si="9"/>
        <v>0</v>
      </c>
      <c r="BD37" s="593">
        <f t="shared" si="10"/>
        <v>0</v>
      </c>
      <c r="BE37" s="593">
        <f t="shared" si="11"/>
        <v>0</v>
      </c>
      <c r="BF37" s="593">
        <f t="shared" si="12"/>
        <v>0</v>
      </c>
      <c r="BG37" s="593">
        <f t="shared" si="13"/>
        <v>0</v>
      </c>
      <c r="BH37" s="593">
        <f t="shared" si="14"/>
        <v>0</v>
      </c>
      <c r="BI37" s="593">
        <f t="shared" si="14"/>
        <v>0</v>
      </c>
      <c r="BJ37" s="593">
        <f t="shared" si="15"/>
        <v>0</v>
      </c>
      <c r="BK37" s="593">
        <f t="shared" si="15"/>
        <v>0</v>
      </c>
      <c r="BL37" s="593">
        <f t="shared" si="16"/>
        <v>0</v>
      </c>
      <c r="BM37" s="593">
        <f t="shared" si="17"/>
        <v>0</v>
      </c>
      <c r="BN37" s="593">
        <f t="shared" si="17"/>
        <v>0</v>
      </c>
      <c r="BO37" s="593">
        <f t="shared" si="17"/>
        <v>0</v>
      </c>
      <c r="BP37" s="593">
        <f t="shared" si="18"/>
        <v>0</v>
      </c>
      <c r="BQ37" s="593">
        <f t="shared" si="19"/>
        <v>0</v>
      </c>
      <c r="BR37" s="593">
        <f t="shared" si="20"/>
        <v>0</v>
      </c>
      <c r="BS37" s="593">
        <f t="shared" si="21"/>
        <v>0</v>
      </c>
      <c r="BT37" s="593">
        <f t="shared" si="22"/>
        <v>0</v>
      </c>
      <c r="BU37" s="593">
        <f t="shared" si="23"/>
        <v>0</v>
      </c>
      <c r="BV37" s="593">
        <f t="shared" si="24"/>
        <v>0</v>
      </c>
      <c r="BW37" s="593">
        <f t="shared" si="25"/>
        <v>0</v>
      </c>
      <c r="BX37" s="593">
        <f t="shared" si="26"/>
        <v>0</v>
      </c>
      <c r="BY37" s="593">
        <f t="shared" si="27"/>
        <v>0</v>
      </c>
      <c r="BZ37" s="593">
        <f t="shared" si="28"/>
        <v>0</v>
      </c>
      <c r="CA37" s="593">
        <f t="shared" si="29"/>
        <v>0</v>
      </c>
      <c r="CB37" s="593">
        <f t="shared" si="30"/>
        <v>0</v>
      </c>
      <c r="CC37" s="593">
        <f t="shared" si="31"/>
        <v>0</v>
      </c>
      <c r="CD37" s="593">
        <f t="shared" si="32"/>
        <v>0</v>
      </c>
      <c r="CE37" s="593">
        <f t="shared" si="32"/>
        <v>0</v>
      </c>
      <c r="CF37" s="595">
        <f t="shared" si="33"/>
        <v>0</v>
      </c>
      <c r="CG37" s="555" t="str">
        <f t="shared" si="34"/>
        <v/>
      </c>
      <c r="CH37" s="530" t="str">
        <f t="shared" si="35"/>
        <v/>
      </c>
      <c r="CI37" s="530" t="str">
        <f t="shared" si="36"/>
        <v/>
      </c>
      <c r="CJ37" s="530" t="str">
        <f t="shared" si="37"/>
        <v/>
      </c>
      <c r="CK37" s="530" t="str">
        <f t="shared" si="38"/>
        <v/>
      </c>
      <c r="CL37" s="530" t="str">
        <f t="shared" si="39"/>
        <v/>
      </c>
      <c r="CM37" s="82" t="str">
        <f t="shared" si="40"/>
        <v/>
      </c>
      <c r="CN37" s="496" t="str">
        <f t="shared" si="3"/>
        <v/>
      </c>
      <c r="CO37" s="496" t="str">
        <f t="shared" si="41"/>
        <v>0</v>
      </c>
      <c r="CP37" s="491">
        <f t="shared" si="42"/>
        <v>0</v>
      </c>
      <c r="CQ37" s="906"/>
      <c r="CR37" s="935"/>
      <c r="CS37" s="496">
        <f t="shared" si="43"/>
        <v>0</v>
      </c>
      <c r="CT37" s="496">
        <f t="shared" si="44"/>
        <v>0</v>
      </c>
      <c r="CU37" s="497" t="str">
        <f t="shared" si="45"/>
        <v>00</v>
      </c>
    </row>
    <row r="38" spans="1:99" s="5" customFormat="1" ht="15" hidden="1" customHeight="1">
      <c r="A38" s="951">
        <v>35</v>
      </c>
      <c r="B38" s="953"/>
      <c r="C38" s="922"/>
      <c r="D38" s="923"/>
      <c r="E38" s="913"/>
      <c r="F38" s="914"/>
      <c r="G38" s="926"/>
      <c r="H38" s="915"/>
      <c r="I38" s="916"/>
      <c r="J38" s="917"/>
      <c r="K38" s="1012"/>
      <c r="L38" s="1012"/>
      <c r="M38" s="1013"/>
      <c r="N38" s="1028" t="str">
        <f t="shared" si="5"/>
        <v>00</v>
      </c>
      <c r="O38" s="406" t="str">
        <f t="shared" si="46"/>
        <v/>
      </c>
      <c r="P38" s="407" t="str">
        <f>IF(O38="","",VLOOKUP(O38,所属コード!$A$2:$E$11,2,FALSE))</f>
        <v/>
      </c>
      <c r="Q38" s="1033" t="str">
        <f>IF(O38="","",VLOOKUP(O38,所属コード!$A$2:$G$11,7,FALSE))</f>
        <v/>
      </c>
      <c r="R38" s="1035"/>
      <c r="S38" s="77"/>
      <c r="T38" s="77"/>
      <c r="U38" s="77"/>
      <c r="V38" s="15"/>
      <c r="X38" s="492"/>
      <c r="Y38" s="945" t="str">
        <f t="shared" si="6"/>
        <v/>
      </c>
      <c r="Z38" s="489" t="str">
        <f t="shared" si="7"/>
        <v/>
      </c>
      <c r="AA38" s="488"/>
      <c r="AB38" s="488"/>
      <c r="AC38" s="488"/>
      <c r="AD38" s="488"/>
      <c r="AE38" s="488"/>
      <c r="AF38" s="488"/>
      <c r="AG38" s="491"/>
      <c r="AH38" s="591"/>
      <c r="AI38" s="592"/>
      <c r="AJ38" s="592"/>
      <c r="AK38" s="592"/>
      <c r="AL38" s="592"/>
      <c r="AM38" s="592"/>
      <c r="AN38" s="592"/>
      <c r="AO38" s="592"/>
      <c r="AP38" s="592"/>
      <c r="AQ38" s="592"/>
      <c r="AR38" s="592"/>
      <c r="AS38" s="592"/>
      <c r="AT38" s="592"/>
      <c r="AU38" s="592"/>
      <c r="AV38" s="592"/>
      <c r="AW38" s="604"/>
      <c r="AX38" s="609">
        <f t="shared" si="8"/>
        <v>0</v>
      </c>
      <c r="AY38" s="602">
        <f t="shared" si="0"/>
        <v>0</v>
      </c>
      <c r="AZ38" s="593">
        <f t="shared" si="1"/>
        <v>0</v>
      </c>
      <c r="BA38" s="594">
        <f t="shared" si="47"/>
        <v>0</v>
      </c>
      <c r="BB38" s="593">
        <f t="shared" si="47"/>
        <v>0</v>
      </c>
      <c r="BC38" s="593">
        <f t="shared" si="9"/>
        <v>0</v>
      </c>
      <c r="BD38" s="593">
        <f t="shared" si="10"/>
        <v>0</v>
      </c>
      <c r="BE38" s="593">
        <f t="shared" si="11"/>
        <v>0</v>
      </c>
      <c r="BF38" s="593">
        <f t="shared" si="12"/>
        <v>0</v>
      </c>
      <c r="BG38" s="593">
        <f t="shared" si="13"/>
        <v>0</v>
      </c>
      <c r="BH38" s="593">
        <f t="shared" si="14"/>
        <v>0</v>
      </c>
      <c r="BI38" s="593">
        <f t="shared" si="14"/>
        <v>0</v>
      </c>
      <c r="BJ38" s="593">
        <f t="shared" si="15"/>
        <v>0</v>
      </c>
      <c r="BK38" s="593">
        <f t="shared" si="15"/>
        <v>0</v>
      </c>
      <c r="BL38" s="593">
        <f t="shared" si="16"/>
        <v>0</v>
      </c>
      <c r="BM38" s="593">
        <f t="shared" si="17"/>
        <v>0</v>
      </c>
      <c r="BN38" s="593">
        <f t="shared" si="17"/>
        <v>0</v>
      </c>
      <c r="BO38" s="593">
        <f t="shared" si="17"/>
        <v>0</v>
      </c>
      <c r="BP38" s="593">
        <f t="shared" si="18"/>
        <v>0</v>
      </c>
      <c r="BQ38" s="593">
        <f t="shared" si="19"/>
        <v>0</v>
      </c>
      <c r="BR38" s="593">
        <f t="shared" si="20"/>
        <v>0</v>
      </c>
      <c r="BS38" s="593">
        <f t="shared" si="21"/>
        <v>0</v>
      </c>
      <c r="BT38" s="593">
        <f t="shared" si="22"/>
        <v>0</v>
      </c>
      <c r="BU38" s="593">
        <f t="shared" si="23"/>
        <v>0</v>
      </c>
      <c r="BV38" s="593">
        <f t="shared" si="24"/>
        <v>0</v>
      </c>
      <c r="BW38" s="593">
        <f t="shared" si="25"/>
        <v>0</v>
      </c>
      <c r="BX38" s="593">
        <f t="shared" si="26"/>
        <v>0</v>
      </c>
      <c r="BY38" s="593">
        <f t="shared" si="27"/>
        <v>0</v>
      </c>
      <c r="BZ38" s="593">
        <f t="shared" si="28"/>
        <v>0</v>
      </c>
      <c r="CA38" s="593">
        <f t="shared" si="29"/>
        <v>0</v>
      </c>
      <c r="CB38" s="593">
        <f t="shared" si="30"/>
        <v>0</v>
      </c>
      <c r="CC38" s="593">
        <f t="shared" si="31"/>
        <v>0</v>
      </c>
      <c r="CD38" s="593">
        <f t="shared" si="32"/>
        <v>0</v>
      </c>
      <c r="CE38" s="593">
        <f t="shared" si="32"/>
        <v>0</v>
      </c>
      <c r="CF38" s="595">
        <f t="shared" si="33"/>
        <v>0</v>
      </c>
      <c r="CG38" s="555" t="str">
        <f t="shared" si="34"/>
        <v/>
      </c>
      <c r="CH38" s="530" t="str">
        <f t="shared" si="35"/>
        <v/>
      </c>
      <c r="CI38" s="530" t="str">
        <f t="shared" si="36"/>
        <v/>
      </c>
      <c r="CJ38" s="530" t="str">
        <f t="shared" si="37"/>
        <v/>
      </c>
      <c r="CK38" s="530" t="str">
        <f t="shared" si="38"/>
        <v/>
      </c>
      <c r="CL38" s="530" t="str">
        <f t="shared" si="39"/>
        <v/>
      </c>
      <c r="CM38" s="82" t="str">
        <f t="shared" si="40"/>
        <v/>
      </c>
      <c r="CN38" s="496" t="str">
        <f t="shared" si="3"/>
        <v/>
      </c>
      <c r="CO38" s="496" t="str">
        <f t="shared" si="41"/>
        <v>0</v>
      </c>
      <c r="CP38" s="491">
        <f t="shared" si="42"/>
        <v>0</v>
      </c>
      <c r="CQ38" s="906"/>
      <c r="CR38" s="935"/>
      <c r="CS38" s="496">
        <f t="shared" si="43"/>
        <v>0</v>
      </c>
      <c r="CT38" s="496">
        <f t="shared" si="44"/>
        <v>0</v>
      </c>
      <c r="CU38" s="497" t="str">
        <f t="shared" si="45"/>
        <v>00</v>
      </c>
    </row>
    <row r="39" spans="1:99" s="5" customFormat="1" ht="15" hidden="1" customHeight="1">
      <c r="A39" s="951">
        <v>36</v>
      </c>
      <c r="B39" s="953"/>
      <c r="C39" s="922"/>
      <c r="D39" s="923"/>
      <c r="E39" s="913"/>
      <c r="F39" s="914"/>
      <c r="G39" s="926"/>
      <c r="H39" s="915"/>
      <c r="I39" s="916"/>
      <c r="J39" s="917"/>
      <c r="K39" s="1012"/>
      <c r="L39" s="1012"/>
      <c r="M39" s="1013"/>
      <c r="N39" s="1028" t="str">
        <f t="shared" si="5"/>
        <v>00</v>
      </c>
      <c r="O39" s="406" t="str">
        <f t="shared" si="46"/>
        <v/>
      </c>
      <c r="P39" s="407" t="str">
        <f>IF(O39="","",VLOOKUP(O39,所属コード!$A$2:$E$11,2,FALSE))</f>
        <v/>
      </c>
      <c r="Q39" s="1033" t="str">
        <f>IF(O39="","",VLOOKUP(O39,所属コード!$A$2:$G$11,7,FALSE))</f>
        <v/>
      </c>
      <c r="R39" s="1035"/>
      <c r="S39" s="77"/>
      <c r="T39" s="77"/>
      <c r="U39" s="77"/>
      <c r="V39" s="15"/>
      <c r="X39" s="492"/>
      <c r="Y39" s="945" t="str">
        <f t="shared" si="6"/>
        <v/>
      </c>
      <c r="Z39" s="489" t="str">
        <f t="shared" si="7"/>
        <v/>
      </c>
      <c r="AA39" s="488"/>
      <c r="AB39" s="488"/>
      <c r="AC39" s="488"/>
      <c r="AD39" s="488"/>
      <c r="AE39" s="488"/>
      <c r="AF39" s="488"/>
      <c r="AG39" s="491"/>
      <c r="AH39" s="591"/>
      <c r="AI39" s="592"/>
      <c r="AJ39" s="592"/>
      <c r="AK39" s="592"/>
      <c r="AL39" s="592"/>
      <c r="AM39" s="592"/>
      <c r="AN39" s="592"/>
      <c r="AO39" s="592"/>
      <c r="AP39" s="592"/>
      <c r="AQ39" s="592"/>
      <c r="AR39" s="592"/>
      <c r="AS39" s="592"/>
      <c r="AT39" s="592"/>
      <c r="AU39" s="592"/>
      <c r="AV39" s="592"/>
      <c r="AW39" s="604"/>
      <c r="AX39" s="609">
        <f t="shared" si="8"/>
        <v>0</v>
      </c>
      <c r="AY39" s="602">
        <f t="shared" si="0"/>
        <v>0</v>
      </c>
      <c r="AZ39" s="593">
        <f t="shared" si="1"/>
        <v>0</v>
      </c>
      <c r="BA39" s="594">
        <f t="shared" si="47"/>
        <v>0</v>
      </c>
      <c r="BB39" s="593">
        <f t="shared" si="47"/>
        <v>0</v>
      </c>
      <c r="BC39" s="593">
        <f t="shared" si="9"/>
        <v>0</v>
      </c>
      <c r="BD39" s="593">
        <f t="shared" si="10"/>
        <v>0</v>
      </c>
      <c r="BE39" s="593">
        <f t="shared" si="11"/>
        <v>0</v>
      </c>
      <c r="BF39" s="593">
        <f t="shared" si="12"/>
        <v>0</v>
      </c>
      <c r="BG39" s="593">
        <f t="shared" si="13"/>
        <v>0</v>
      </c>
      <c r="BH39" s="593">
        <f t="shared" si="14"/>
        <v>0</v>
      </c>
      <c r="BI39" s="593">
        <f t="shared" si="14"/>
        <v>0</v>
      </c>
      <c r="BJ39" s="593">
        <f t="shared" si="15"/>
        <v>0</v>
      </c>
      <c r="BK39" s="593">
        <f t="shared" si="15"/>
        <v>0</v>
      </c>
      <c r="BL39" s="593">
        <f t="shared" si="16"/>
        <v>0</v>
      </c>
      <c r="BM39" s="593">
        <f t="shared" si="17"/>
        <v>0</v>
      </c>
      <c r="BN39" s="593">
        <f t="shared" si="17"/>
        <v>0</v>
      </c>
      <c r="BO39" s="593">
        <f t="shared" si="17"/>
        <v>0</v>
      </c>
      <c r="BP39" s="593">
        <f t="shared" si="18"/>
        <v>0</v>
      </c>
      <c r="BQ39" s="593">
        <f t="shared" si="19"/>
        <v>0</v>
      </c>
      <c r="BR39" s="593">
        <f t="shared" si="20"/>
        <v>0</v>
      </c>
      <c r="BS39" s="593">
        <f t="shared" si="21"/>
        <v>0</v>
      </c>
      <c r="BT39" s="593">
        <f t="shared" si="22"/>
        <v>0</v>
      </c>
      <c r="BU39" s="593">
        <f t="shared" si="23"/>
        <v>0</v>
      </c>
      <c r="BV39" s="593">
        <f t="shared" si="24"/>
        <v>0</v>
      </c>
      <c r="BW39" s="593">
        <f t="shared" si="25"/>
        <v>0</v>
      </c>
      <c r="BX39" s="593">
        <f t="shared" si="26"/>
        <v>0</v>
      </c>
      <c r="BY39" s="593">
        <f t="shared" si="27"/>
        <v>0</v>
      </c>
      <c r="BZ39" s="593">
        <f t="shared" si="28"/>
        <v>0</v>
      </c>
      <c r="CA39" s="593">
        <f t="shared" si="29"/>
        <v>0</v>
      </c>
      <c r="CB39" s="593">
        <f t="shared" si="30"/>
        <v>0</v>
      </c>
      <c r="CC39" s="593">
        <f t="shared" si="31"/>
        <v>0</v>
      </c>
      <c r="CD39" s="593">
        <f t="shared" si="32"/>
        <v>0</v>
      </c>
      <c r="CE39" s="593">
        <f t="shared" si="32"/>
        <v>0</v>
      </c>
      <c r="CF39" s="595">
        <f t="shared" si="33"/>
        <v>0</v>
      </c>
      <c r="CG39" s="555" t="str">
        <f t="shared" si="34"/>
        <v/>
      </c>
      <c r="CH39" s="530" t="str">
        <f t="shared" si="35"/>
        <v/>
      </c>
      <c r="CI39" s="530" t="str">
        <f t="shared" si="36"/>
        <v/>
      </c>
      <c r="CJ39" s="530" t="str">
        <f t="shared" si="37"/>
        <v/>
      </c>
      <c r="CK39" s="530" t="str">
        <f t="shared" si="38"/>
        <v/>
      </c>
      <c r="CL39" s="530" t="str">
        <f t="shared" si="39"/>
        <v/>
      </c>
      <c r="CM39" s="82" t="str">
        <f t="shared" si="40"/>
        <v/>
      </c>
      <c r="CN39" s="496" t="str">
        <f t="shared" si="3"/>
        <v/>
      </c>
      <c r="CO39" s="496" t="str">
        <f t="shared" si="41"/>
        <v>0</v>
      </c>
      <c r="CP39" s="491">
        <f t="shared" si="42"/>
        <v>0</v>
      </c>
      <c r="CQ39" s="906"/>
      <c r="CR39" s="935"/>
      <c r="CS39" s="496">
        <f t="shared" si="43"/>
        <v>0</v>
      </c>
      <c r="CT39" s="496">
        <f t="shared" si="44"/>
        <v>0</v>
      </c>
      <c r="CU39" s="497" t="str">
        <f t="shared" si="45"/>
        <v>00</v>
      </c>
    </row>
    <row r="40" spans="1:99" s="5" customFormat="1" ht="15" hidden="1" customHeight="1">
      <c r="A40" s="951">
        <v>37</v>
      </c>
      <c r="B40" s="953"/>
      <c r="C40" s="922"/>
      <c r="D40" s="923"/>
      <c r="E40" s="913"/>
      <c r="F40" s="914"/>
      <c r="G40" s="926"/>
      <c r="H40" s="915"/>
      <c r="I40" s="916"/>
      <c r="J40" s="917"/>
      <c r="K40" s="1012"/>
      <c r="L40" s="1012"/>
      <c r="M40" s="1013"/>
      <c r="N40" s="1028" t="str">
        <f t="shared" si="5"/>
        <v>00</v>
      </c>
      <c r="O40" s="406" t="str">
        <f t="shared" si="46"/>
        <v/>
      </c>
      <c r="P40" s="407" t="str">
        <f>IF(O40="","",VLOOKUP(O40,所属コード!$A$2:$E$11,2,FALSE))</f>
        <v/>
      </c>
      <c r="Q40" s="1033" t="str">
        <f>IF(O40="","",VLOOKUP(O40,所属コード!$A$2:$G$11,7,FALSE))</f>
        <v/>
      </c>
      <c r="R40" s="1035"/>
      <c r="S40" s="77"/>
      <c r="T40" s="77"/>
      <c r="U40" s="77"/>
      <c r="V40" s="15"/>
      <c r="X40" s="492"/>
      <c r="Y40" s="945" t="str">
        <f t="shared" si="6"/>
        <v/>
      </c>
      <c r="Z40" s="489" t="str">
        <f t="shared" si="7"/>
        <v/>
      </c>
      <c r="AA40" s="488"/>
      <c r="AB40" s="488"/>
      <c r="AC40" s="488"/>
      <c r="AD40" s="488"/>
      <c r="AE40" s="488"/>
      <c r="AF40" s="488"/>
      <c r="AG40" s="491"/>
      <c r="AH40" s="591"/>
      <c r="AI40" s="592"/>
      <c r="AJ40" s="592"/>
      <c r="AK40" s="592"/>
      <c r="AL40" s="592"/>
      <c r="AM40" s="592"/>
      <c r="AN40" s="592"/>
      <c r="AO40" s="592"/>
      <c r="AP40" s="592"/>
      <c r="AQ40" s="592"/>
      <c r="AR40" s="592"/>
      <c r="AS40" s="592"/>
      <c r="AT40" s="592"/>
      <c r="AU40" s="592"/>
      <c r="AV40" s="592"/>
      <c r="AW40" s="604"/>
      <c r="AX40" s="609">
        <f t="shared" si="8"/>
        <v>0</v>
      </c>
      <c r="AY40" s="602">
        <f t="shared" si="0"/>
        <v>0</v>
      </c>
      <c r="AZ40" s="593">
        <f t="shared" si="1"/>
        <v>0</v>
      </c>
      <c r="BA40" s="594">
        <f t="shared" si="47"/>
        <v>0</v>
      </c>
      <c r="BB40" s="593">
        <f t="shared" si="47"/>
        <v>0</v>
      </c>
      <c r="BC40" s="593">
        <f t="shared" si="9"/>
        <v>0</v>
      </c>
      <c r="BD40" s="593">
        <f t="shared" si="10"/>
        <v>0</v>
      </c>
      <c r="BE40" s="593">
        <f t="shared" si="11"/>
        <v>0</v>
      </c>
      <c r="BF40" s="593">
        <f t="shared" si="12"/>
        <v>0</v>
      </c>
      <c r="BG40" s="593">
        <f t="shared" si="13"/>
        <v>0</v>
      </c>
      <c r="BH40" s="593">
        <f t="shared" si="14"/>
        <v>0</v>
      </c>
      <c r="BI40" s="593">
        <f t="shared" si="14"/>
        <v>0</v>
      </c>
      <c r="BJ40" s="593">
        <f t="shared" si="15"/>
        <v>0</v>
      </c>
      <c r="BK40" s="593">
        <f t="shared" si="15"/>
        <v>0</v>
      </c>
      <c r="BL40" s="593">
        <f t="shared" si="16"/>
        <v>0</v>
      </c>
      <c r="BM40" s="593">
        <f t="shared" si="17"/>
        <v>0</v>
      </c>
      <c r="BN40" s="593">
        <f t="shared" si="17"/>
        <v>0</v>
      </c>
      <c r="BO40" s="593">
        <f t="shared" si="17"/>
        <v>0</v>
      </c>
      <c r="BP40" s="593">
        <f t="shared" si="18"/>
        <v>0</v>
      </c>
      <c r="BQ40" s="593">
        <f t="shared" si="19"/>
        <v>0</v>
      </c>
      <c r="BR40" s="593">
        <f t="shared" si="20"/>
        <v>0</v>
      </c>
      <c r="BS40" s="593">
        <f t="shared" si="21"/>
        <v>0</v>
      </c>
      <c r="BT40" s="593">
        <f t="shared" si="22"/>
        <v>0</v>
      </c>
      <c r="BU40" s="593">
        <f t="shared" si="23"/>
        <v>0</v>
      </c>
      <c r="BV40" s="593">
        <f t="shared" si="24"/>
        <v>0</v>
      </c>
      <c r="BW40" s="593">
        <f t="shared" si="25"/>
        <v>0</v>
      </c>
      <c r="BX40" s="593">
        <f t="shared" si="26"/>
        <v>0</v>
      </c>
      <c r="BY40" s="593">
        <f t="shared" si="27"/>
        <v>0</v>
      </c>
      <c r="BZ40" s="593">
        <f t="shared" si="28"/>
        <v>0</v>
      </c>
      <c r="CA40" s="593">
        <f t="shared" si="29"/>
        <v>0</v>
      </c>
      <c r="CB40" s="593">
        <f t="shared" si="30"/>
        <v>0</v>
      </c>
      <c r="CC40" s="593">
        <f t="shared" si="31"/>
        <v>0</v>
      </c>
      <c r="CD40" s="593">
        <f t="shared" si="32"/>
        <v>0</v>
      </c>
      <c r="CE40" s="593">
        <f t="shared" si="32"/>
        <v>0</v>
      </c>
      <c r="CF40" s="595">
        <f t="shared" si="33"/>
        <v>0</v>
      </c>
      <c r="CG40" s="555" t="str">
        <f t="shared" si="34"/>
        <v/>
      </c>
      <c r="CH40" s="530" t="str">
        <f t="shared" si="35"/>
        <v/>
      </c>
      <c r="CI40" s="530" t="str">
        <f t="shared" si="36"/>
        <v/>
      </c>
      <c r="CJ40" s="530" t="str">
        <f t="shared" si="37"/>
        <v/>
      </c>
      <c r="CK40" s="530" t="str">
        <f t="shared" si="38"/>
        <v/>
      </c>
      <c r="CL40" s="530" t="str">
        <f t="shared" si="39"/>
        <v/>
      </c>
      <c r="CM40" s="82" t="str">
        <f t="shared" si="40"/>
        <v/>
      </c>
      <c r="CN40" s="496" t="str">
        <f t="shared" si="3"/>
        <v/>
      </c>
      <c r="CO40" s="496" t="str">
        <f t="shared" si="41"/>
        <v>0</v>
      </c>
      <c r="CP40" s="491">
        <f t="shared" si="42"/>
        <v>0</v>
      </c>
      <c r="CQ40" s="906"/>
      <c r="CR40" s="935"/>
      <c r="CS40" s="496">
        <f t="shared" si="43"/>
        <v>0</v>
      </c>
      <c r="CT40" s="496">
        <f t="shared" si="44"/>
        <v>0</v>
      </c>
      <c r="CU40" s="497" t="str">
        <f t="shared" si="45"/>
        <v>00</v>
      </c>
    </row>
    <row r="41" spans="1:99" ht="15" hidden="1" customHeight="1">
      <c r="A41" s="951">
        <v>38</v>
      </c>
      <c r="B41" s="953"/>
      <c r="C41" s="922"/>
      <c r="D41" s="923"/>
      <c r="E41" s="913"/>
      <c r="F41" s="914"/>
      <c r="G41" s="926"/>
      <c r="H41" s="915"/>
      <c r="I41" s="916"/>
      <c r="J41" s="917"/>
      <c r="K41" s="1012"/>
      <c r="L41" s="1012"/>
      <c r="M41" s="1013"/>
      <c r="N41" s="1028" t="str">
        <f t="shared" si="5"/>
        <v>00</v>
      </c>
      <c r="O41" s="406" t="str">
        <f t="shared" si="46"/>
        <v/>
      </c>
      <c r="P41" s="407" t="str">
        <f>IF(O41="","",VLOOKUP(O41,所属コード!$A$2:$E$11,2,FALSE))</f>
        <v/>
      </c>
      <c r="Q41" s="1033" t="str">
        <f>IF(O41="","",VLOOKUP(O41,所属コード!$A$2:$G$11,7,FALSE))</f>
        <v/>
      </c>
      <c r="R41" s="1035"/>
      <c r="S41" s="77"/>
      <c r="T41" s="77"/>
      <c r="U41" s="77"/>
      <c r="V41" s="15"/>
      <c r="X41" s="492"/>
      <c r="Y41" s="945" t="str">
        <f t="shared" si="6"/>
        <v/>
      </c>
      <c r="Z41" s="489" t="str">
        <f t="shared" si="7"/>
        <v/>
      </c>
      <c r="AA41" s="488"/>
      <c r="AB41" s="488"/>
      <c r="AC41" s="488"/>
      <c r="AD41" s="488"/>
      <c r="AE41" s="488"/>
      <c r="AF41" s="488"/>
      <c r="AG41" s="491"/>
      <c r="AH41" s="591"/>
      <c r="AI41" s="592"/>
      <c r="AJ41" s="592"/>
      <c r="AK41" s="592"/>
      <c r="AL41" s="592"/>
      <c r="AM41" s="592"/>
      <c r="AN41" s="592"/>
      <c r="AO41" s="592"/>
      <c r="AP41" s="592"/>
      <c r="AQ41" s="592"/>
      <c r="AR41" s="592"/>
      <c r="AS41" s="592"/>
      <c r="AT41" s="592"/>
      <c r="AU41" s="592"/>
      <c r="AV41" s="592"/>
      <c r="AW41" s="604"/>
      <c r="AX41" s="609">
        <f t="shared" si="8"/>
        <v>0</v>
      </c>
      <c r="AY41" s="602">
        <f t="shared" si="0"/>
        <v>0</v>
      </c>
      <c r="AZ41" s="593">
        <f t="shared" si="1"/>
        <v>0</v>
      </c>
      <c r="BA41" s="594">
        <f t="shared" si="47"/>
        <v>0</v>
      </c>
      <c r="BB41" s="593">
        <f t="shared" si="47"/>
        <v>0</v>
      </c>
      <c r="BC41" s="593">
        <f t="shared" si="9"/>
        <v>0</v>
      </c>
      <c r="BD41" s="593">
        <f t="shared" si="10"/>
        <v>0</v>
      </c>
      <c r="BE41" s="593">
        <f t="shared" si="11"/>
        <v>0</v>
      </c>
      <c r="BF41" s="593">
        <f t="shared" si="12"/>
        <v>0</v>
      </c>
      <c r="BG41" s="593">
        <f t="shared" si="13"/>
        <v>0</v>
      </c>
      <c r="BH41" s="593">
        <f t="shared" si="14"/>
        <v>0</v>
      </c>
      <c r="BI41" s="593">
        <f t="shared" si="14"/>
        <v>0</v>
      </c>
      <c r="BJ41" s="593">
        <f t="shared" si="15"/>
        <v>0</v>
      </c>
      <c r="BK41" s="593">
        <f t="shared" si="15"/>
        <v>0</v>
      </c>
      <c r="BL41" s="593">
        <f t="shared" si="16"/>
        <v>0</v>
      </c>
      <c r="BM41" s="593">
        <f t="shared" si="17"/>
        <v>0</v>
      </c>
      <c r="BN41" s="593">
        <f t="shared" si="17"/>
        <v>0</v>
      </c>
      <c r="BO41" s="593">
        <f t="shared" si="17"/>
        <v>0</v>
      </c>
      <c r="BP41" s="593">
        <f t="shared" si="18"/>
        <v>0</v>
      </c>
      <c r="BQ41" s="593">
        <f t="shared" si="19"/>
        <v>0</v>
      </c>
      <c r="BR41" s="593">
        <f t="shared" si="20"/>
        <v>0</v>
      </c>
      <c r="BS41" s="593">
        <f t="shared" si="21"/>
        <v>0</v>
      </c>
      <c r="BT41" s="593">
        <f t="shared" si="22"/>
        <v>0</v>
      </c>
      <c r="BU41" s="593">
        <f t="shared" si="23"/>
        <v>0</v>
      </c>
      <c r="BV41" s="593">
        <f t="shared" si="24"/>
        <v>0</v>
      </c>
      <c r="BW41" s="593">
        <f t="shared" si="25"/>
        <v>0</v>
      </c>
      <c r="BX41" s="593">
        <f t="shared" si="26"/>
        <v>0</v>
      </c>
      <c r="BY41" s="593">
        <f t="shared" si="27"/>
        <v>0</v>
      </c>
      <c r="BZ41" s="593">
        <f t="shared" si="28"/>
        <v>0</v>
      </c>
      <c r="CA41" s="593">
        <f t="shared" si="29"/>
        <v>0</v>
      </c>
      <c r="CB41" s="593">
        <f t="shared" si="30"/>
        <v>0</v>
      </c>
      <c r="CC41" s="593">
        <f t="shared" si="31"/>
        <v>0</v>
      </c>
      <c r="CD41" s="593">
        <f t="shared" si="32"/>
        <v>0</v>
      </c>
      <c r="CE41" s="593">
        <f t="shared" si="32"/>
        <v>0</v>
      </c>
      <c r="CF41" s="595">
        <f t="shared" si="33"/>
        <v>0</v>
      </c>
      <c r="CG41" s="555" t="str">
        <f t="shared" si="34"/>
        <v/>
      </c>
      <c r="CH41" s="530" t="str">
        <f t="shared" si="35"/>
        <v/>
      </c>
      <c r="CI41" s="530" t="str">
        <f t="shared" si="36"/>
        <v/>
      </c>
      <c r="CJ41" s="530" t="str">
        <f t="shared" si="37"/>
        <v/>
      </c>
      <c r="CK41" s="530" t="str">
        <f t="shared" si="38"/>
        <v/>
      </c>
      <c r="CL41" s="530" t="str">
        <f t="shared" si="39"/>
        <v/>
      </c>
      <c r="CM41" s="82" t="str">
        <f t="shared" si="40"/>
        <v/>
      </c>
      <c r="CN41" s="496" t="str">
        <f t="shared" si="3"/>
        <v/>
      </c>
      <c r="CO41" s="496" t="str">
        <f t="shared" si="41"/>
        <v>0</v>
      </c>
      <c r="CP41" s="491">
        <f t="shared" si="42"/>
        <v>0</v>
      </c>
      <c r="CS41" s="496">
        <f t="shared" si="43"/>
        <v>0</v>
      </c>
      <c r="CT41" s="496">
        <f t="shared" si="44"/>
        <v>0</v>
      </c>
      <c r="CU41" s="497" t="str">
        <f t="shared" si="45"/>
        <v>00</v>
      </c>
    </row>
    <row r="42" spans="1:99" ht="15" hidden="1" customHeight="1">
      <c r="A42" s="951">
        <v>39</v>
      </c>
      <c r="B42" s="953"/>
      <c r="C42" s="922"/>
      <c r="D42" s="923"/>
      <c r="E42" s="913"/>
      <c r="F42" s="914"/>
      <c r="G42" s="926"/>
      <c r="H42" s="915"/>
      <c r="I42" s="916"/>
      <c r="J42" s="917"/>
      <c r="K42" s="1012"/>
      <c r="L42" s="1012"/>
      <c r="M42" s="1013"/>
      <c r="N42" s="1028" t="str">
        <f t="shared" si="5"/>
        <v>00</v>
      </c>
      <c r="O42" s="406" t="str">
        <f t="shared" si="46"/>
        <v/>
      </c>
      <c r="P42" s="407" t="str">
        <f>IF(O42="","",VLOOKUP(O42,所属コード!$A$2:$E$11,2,FALSE))</f>
        <v/>
      </c>
      <c r="Q42" s="1033" t="str">
        <f>IF(O42="","",VLOOKUP(O42,所属コード!$A$2:$G$11,7,FALSE))</f>
        <v/>
      </c>
      <c r="R42" s="1035"/>
      <c r="S42" s="77"/>
      <c r="T42" s="77"/>
      <c r="U42" s="77"/>
      <c r="V42" s="15"/>
      <c r="X42" s="492"/>
      <c r="Y42" s="945" t="str">
        <f t="shared" si="6"/>
        <v/>
      </c>
      <c r="Z42" s="489" t="str">
        <f t="shared" si="7"/>
        <v/>
      </c>
      <c r="AA42" s="488"/>
      <c r="AB42" s="488"/>
      <c r="AC42" s="488"/>
      <c r="AD42" s="488"/>
      <c r="AE42" s="488"/>
      <c r="AF42" s="488"/>
      <c r="AG42" s="491"/>
      <c r="AH42" s="591"/>
      <c r="AI42" s="592"/>
      <c r="AJ42" s="592"/>
      <c r="AK42" s="592"/>
      <c r="AL42" s="592"/>
      <c r="AM42" s="592"/>
      <c r="AN42" s="592"/>
      <c r="AO42" s="592"/>
      <c r="AP42" s="592"/>
      <c r="AQ42" s="592"/>
      <c r="AR42" s="592"/>
      <c r="AS42" s="592"/>
      <c r="AT42" s="592"/>
      <c r="AU42" s="592"/>
      <c r="AV42" s="592"/>
      <c r="AW42" s="604"/>
      <c r="AX42" s="609">
        <f t="shared" si="8"/>
        <v>0</v>
      </c>
      <c r="AY42" s="602">
        <f t="shared" si="0"/>
        <v>0</v>
      </c>
      <c r="AZ42" s="593">
        <f t="shared" si="1"/>
        <v>0</v>
      </c>
      <c r="BA42" s="594">
        <f t="shared" si="47"/>
        <v>0</v>
      </c>
      <c r="BB42" s="593">
        <f t="shared" si="47"/>
        <v>0</v>
      </c>
      <c r="BC42" s="593">
        <f t="shared" si="9"/>
        <v>0</v>
      </c>
      <c r="BD42" s="593">
        <f t="shared" si="10"/>
        <v>0</v>
      </c>
      <c r="BE42" s="593">
        <f t="shared" si="11"/>
        <v>0</v>
      </c>
      <c r="BF42" s="593">
        <f t="shared" si="12"/>
        <v>0</v>
      </c>
      <c r="BG42" s="593">
        <f t="shared" si="13"/>
        <v>0</v>
      </c>
      <c r="BH42" s="593">
        <f t="shared" si="14"/>
        <v>0</v>
      </c>
      <c r="BI42" s="593">
        <f t="shared" si="14"/>
        <v>0</v>
      </c>
      <c r="BJ42" s="593">
        <f t="shared" si="15"/>
        <v>0</v>
      </c>
      <c r="BK42" s="593">
        <f t="shared" si="15"/>
        <v>0</v>
      </c>
      <c r="BL42" s="593">
        <f t="shared" si="16"/>
        <v>0</v>
      </c>
      <c r="BM42" s="593">
        <f t="shared" si="17"/>
        <v>0</v>
      </c>
      <c r="BN42" s="593">
        <f t="shared" si="17"/>
        <v>0</v>
      </c>
      <c r="BO42" s="593">
        <f t="shared" si="17"/>
        <v>0</v>
      </c>
      <c r="BP42" s="593">
        <f t="shared" si="18"/>
        <v>0</v>
      </c>
      <c r="BQ42" s="593">
        <f t="shared" si="19"/>
        <v>0</v>
      </c>
      <c r="BR42" s="593">
        <f t="shared" si="20"/>
        <v>0</v>
      </c>
      <c r="BS42" s="593">
        <f t="shared" si="21"/>
        <v>0</v>
      </c>
      <c r="BT42" s="593">
        <f t="shared" si="22"/>
        <v>0</v>
      </c>
      <c r="BU42" s="593">
        <f t="shared" si="23"/>
        <v>0</v>
      </c>
      <c r="BV42" s="593">
        <f t="shared" si="24"/>
        <v>0</v>
      </c>
      <c r="BW42" s="593">
        <f t="shared" si="25"/>
        <v>0</v>
      </c>
      <c r="BX42" s="593">
        <f t="shared" si="26"/>
        <v>0</v>
      </c>
      <c r="BY42" s="593">
        <f t="shared" si="27"/>
        <v>0</v>
      </c>
      <c r="BZ42" s="593">
        <f t="shared" si="28"/>
        <v>0</v>
      </c>
      <c r="CA42" s="593">
        <f t="shared" si="29"/>
        <v>0</v>
      </c>
      <c r="CB42" s="593">
        <f t="shared" si="30"/>
        <v>0</v>
      </c>
      <c r="CC42" s="593">
        <f t="shared" si="31"/>
        <v>0</v>
      </c>
      <c r="CD42" s="593">
        <f t="shared" si="32"/>
        <v>0</v>
      </c>
      <c r="CE42" s="593">
        <f t="shared" si="32"/>
        <v>0</v>
      </c>
      <c r="CF42" s="595">
        <f t="shared" si="33"/>
        <v>0</v>
      </c>
      <c r="CG42" s="555" t="str">
        <f t="shared" si="34"/>
        <v/>
      </c>
      <c r="CH42" s="530" t="str">
        <f t="shared" si="35"/>
        <v/>
      </c>
      <c r="CI42" s="530" t="str">
        <f t="shared" si="36"/>
        <v/>
      </c>
      <c r="CJ42" s="530" t="str">
        <f t="shared" si="37"/>
        <v/>
      </c>
      <c r="CK42" s="530" t="str">
        <f t="shared" si="38"/>
        <v/>
      </c>
      <c r="CL42" s="530" t="str">
        <f t="shared" si="39"/>
        <v/>
      </c>
      <c r="CM42" s="82" t="str">
        <f t="shared" si="40"/>
        <v/>
      </c>
      <c r="CN42" s="496" t="str">
        <f t="shared" si="3"/>
        <v/>
      </c>
      <c r="CO42" s="496" t="str">
        <f t="shared" si="41"/>
        <v>0</v>
      </c>
      <c r="CP42" s="491">
        <f t="shared" si="42"/>
        <v>0</v>
      </c>
      <c r="CS42" s="496">
        <f t="shared" si="43"/>
        <v>0</v>
      </c>
      <c r="CT42" s="496">
        <f t="shared" si="44"/>
        <v>0</v>
      </c>
      <c r="CU42" s="497" t="str">
        <f t="shared" si="45"/>
        <v>00</v>
      </c>
    </row>
    <row r="43" spans="1:99" ht="15" hidden="1" customHeight="1">
      <c r="A43" s="951">
        <v>40</v>
      </c>
      <c r="B43" s="953"/>
      <c r="C43" s="922"/>
      <c r="D43" s="923"/>
      <c r="E43" s="913"/>
      <c r="F43" s="914"/>
      <c r="G43" s="926"/>
      <c r="H43" s="915"/>
      <c r="I43" s="916"/>
      <c r="J43" s="917"/>
      <c r="K43" s="1012"/>
      <c r="L43" s="1012"/>
      <c r="M43" s="1013"/>
      <c r="N43" s="1028" t="str">
        <f t="shared" si="5"/>
        <v>00</v>
      </c>
      <c r="O43" s="406" t="str">
        <f t="shared" si="46"/>
        <v/>
      </c>
      <c r="P43" s="407" t="str">
        <f>IF(O43="","",VLOOKUP(O43,所属コード!$A$2:$E$11,2,FALSE))</f>
        <v/>
      </c>
      <c r="Q43" s="1033" t="str">
        <f>IF(O43="","",VLOOKUP(O43,所属コード!$A$2:$G$11,7,FALSE))</f>
        <v/>
      </c>
      <c r="R43" s="1035"/>
      <c r="S43" s="77"/>
      <c r="T43" s="77"/>
      <c r="U43" s="77"/>
      <c r="V43" s="15"/>
      <c r="X43" s="492"/>
      <c r="Y43" s="945" t="str">
        <f t="shared" si="6"/>
        <v/>
      </c>
      <c r="Z43" s="489" t="str">
        <f t="shared" si="7"/>
        <v/>
      </c>
      <c r="AA43" s="488"/>
      <c r="AB43" s="488"/>
      <c r="AC43" s="488"/>
      <c r="AD43" s="488"/>
      <c r="AE43" s="488"/>
      <c r="AF43" s="488"/>
      <c r="AG43" s="491"/>
      <c r="AH43" s="591"/>
      <c r="AI43" s="592"/>
      <c r="AJ43" s="592"/>
      <c r="AK43" s="592"/>
      <c r="AL43" s="592"/>
      <c r="AM43" s="592"/>
      <c r="AN43" s="592"/>
      <c r="AO43" s="592"/>
      <c r="AP43" s="592"/>
      <c r="AQ43" s="592"/>
      <c r="AR43" s="592"/>
      <c r="AS43" s="592"/>
      <c r="AT43" s="592"/>
      <c r="AU43" s="592"/>
      <c r="AV43" s="592"/>
      <c r="AW43" s="604"/>
      <c r="AX43" s="609">
        <f t="shared" si="8"/>
        <v>0</v>
      </c>
      <c r="AY43" s="602">
        <f t="shared" si="0"/>
        <v>0</v>
      </c>
      <c r="AZ43" s="593">
        <f t="shared" si="1"/>
        <v>0</v>
      </c>
      <c r="BA43" s="594">
        <f t="shared" si="47"/>
        <v>0</v>
      </c>
      <c r="BB43" s="593">
        <f t="shared" si="47"/>
        <v>0</v>
      </c>
      <c r="BC43" s="593">
        <f t="shared" si="9"/>
        <v>0</v>
      </c>
      <c r="BD43" s="593">
        <f t="shared" si="10"/>
        <v>0</v>
      </c>
      <c r="BE43" s="593">
        <f t="shared" si="11"/>
        <v>0</v>
      </c>
      <c r="BF43" s="593">
        <f t="shared" si="12"/>
        <v>0</v>
      </c>
      <c r="BG43" s="593">
        <f t="shared" si="13"/>
        <v>0</v>
      </c>
      <c r="BH43" s="593">
        <f t="shared" si="14"/>
        <v>0</v>
      </c>
      <c r="BI43" s="593">
        <f t="shared" si="14"/>
        <v>0</v>
      </c>
      <c r="BJ43" s="593">
        <f t="shared" si="15"/>
        <v>0</v>
      </c>
      <c r="BK43" s="593">
        <f t="shared" si="15"/>
        <v>0</v>
      </c>
      <c r="BL43" s="593">
        <f t="shared" si="16"/>
        <v>0</v>
      </c>
      <c r="BM43" s="593">
        <f t="shared" si="17"/>
        <v>0</v>
      </c>
      <c r="BN43" s="593">
        <f t="shared" si="17"/>
        <v>0</v>
      </c>
      <c r="BO43" s="593">
        <f t="shared" si="17"/>
        <v>0</v>
      </c>
      <c r="BP43" s="593">
        <f t="shared" si="18"/>
        <v>0</v>
      </c>
      <c r="BQ43" s="593">
        <f t="shared" si="19"/>
        <v>0</v>
      </c>
      <c r="BR43" s="593">
        <f t="shared" si="20"/>
        <v>0</v>
      </c>
      <c r="BS43" s="593">
        <f t="shared" si="21"/>
        <v>0</v>
      </c>
      <c r="BT43" s="593">
        <f t="shared" si="22"/>
        <v>0</v>
      </c>
      <c r="BU43" s="593">
        <f t="shared" si="23"/>
        <v>0</v>
      </c>
      <c r="BV43" s="593">
        <f t="shared" si="24"/>
        <v>0</v>
      </c>
      <c r="BW43" s="593">
        <f t="shared" si="25"/>
        <v>0</v>
      </c>
      <c r="BX43" s="593">
        <f t="shared" si="26"/>
        <v>0</v>
      </c>
      <c r="BY43" s="593">
        <f t="shared" si="27"/>
        <v>0</v>
      </c>
      <c r="BZ43" s="593">
        <f t="shared" si="28"/>
        <v>0</v>
      </c>
      <c r="CA43" s="593">
        <f t="shared" si="29"/>
        <v>0</v>
      </c>
      <c r="CB43" s="593">
        <f t="shared" si="30"/>
        <v>0</v>
      </c>
      <c r="CC43" s="593">
        <f t="shared" si="31"/>
        <v>0</v>
      </c>
      <c r="CD43" s="593">
        <f t="shared" si="32"/>
        <v>0</v>
      </c>
      <c r="CE43" s="593">
        <f t="shared" si="32"/>
        <v>0</v>
      </c>
      <c r="CF43" s="595">
        <f t="shared" si="33"/>
        <v>0</v>
      </c>
      <c r="CG43" s="555" t="str">
        <f t="shared" si="34"/>
        <v/>
      </c>
      <c r="CH43" s="530" t="str">
        <f t="shared" si="35"/>
        <v/>
      </c>
      <c r="CI43" s="530" t="str">
        <f t="shared" si="36"/>
        <v/>
      </c>
      <c r="CJ43" s="530" t="str">
        <f t="shared" si="37"/>
        <v/>
      </c>
      <c r="CK43" s="530" t="str">
        <f t="shared" si="38"/>
        <v/>
      </c>
      <c r="CL43" s="530" t="str">
        <f t="shared" si="39"/>
        <v/>
      </c>
      <c r="CM43" s="82" t="str">
        <f t="shared" si="40"/>
        <v/>
      </c>
      <c r="CN43" s="496" t="str">
        <f t="shared" si="3"/>
        <v/>
      </c>
      <c r="CO43" s="496" t="str">
        <f t="shared" si="41"/>
        <v>0</v>
      </c>
      <c r="CP43" s="491">
        <f t="shared" si="42"/>
        <v>0</v>
      </c>
      <c r="CS43" s="496">
        <f t="shared" si="43"/>
        <v>0</v>
      </c>
      <c r="CT43" s="496">
        <f t="shared" si="44"/>
        <v>0</v>
      </c>
      <c r="CU43" s="497" t="str">
        <f t="shared" si="45"/>
        <v>00</v>
      </c>
    </row>
    <row r="44" spans="1:99" ht="15" hidden="1" customHeight="1">
      <c r="A44" s="951">
        <v>41</v>
      </c>
      <c r="B44" s="953"/>
      <c r="C44" s="922"/>
      <c r="D44" s="923"/>
      <c r="E44" s="913"/>
      <c r="F44" s="914"/>
      <c r="G44" s="926"/>
      <c r="H44" s="915"/>
      <c r="I44" s="916"/>
      <c r="J44" s="917"/>
      <c r="K44" s="1012"/>
      <c r="L44" s="1012"/>
      <c r="M44" s="1013"/>
      <c r="N44" s="1028" t="str">
        <f t="shared" si="5"/>
        <v>00</v>
      </c>
      <c r="O44" s="406" t="str">
        <f t="shared" si="46"/>
        <v/>
      </c>
      <c r="P44" s="407" t="str">
        <f>IF(O44="","",VLOOKUP(O44,所属コード!$A$2:$E$11,2,FALSE))</f>
        <v/>
      </c>
      <c r="Q44" s="1033" t="str">
        <f>IF(O44="","",VLOOKUP(O44,所属コード!$A$2:$G$11,7,FALSE))</f>
        <v/>
      </c>
      <c r="R44" s="1035"/>
      <c r="S44" s="77"/>
      <c r="T44" s="77"/>
      <c r="U44" s="77"/>
      <c r="V44" s="15"/>
      <c r="X44" s="492"/>
      <c r="Y44" s="945" t="str">
        <f t="shared" si="6"/>
        <v/>
      </c>
      <c r="Z44" s="489" t="str">
        <f t="shared" si="7"/>
        <v/>
      </c>
      <c r="AA44" s="488"/>
      <c r="AB44" s="488"/>
      <c r="AC44" s="488"/>
      <c r="AD44" s="488"/>
      <c r="AE44" s="488"/>
      <c r="AF44" s="488"/>
      <c r="AG44" s="491"/>
      <c r="AH44" s="591"/>
      <c r="AI44" s="592"/>
      <c r="AJ44" s="592"/>
      <c r="AK44" s="592"/>
      <c r="AL44" s="592"/>
      <c r="AM44" s="592"/>
      <c r="AN44" s="592"/>
      <c r="AO44" s="592"/>
      <c r="AP44" s="592"/>
      <c r="AQ44" s="592"/>
      <c r="AR44" s="592"/>
      <c r="AS44" s="592"/>
      <c r="AT44" s="592"/>
      <c r="AU44" s="592"/>
      <c r="AV44" s="592"/>
      <c r="AW44" s="604"/>
      <c r="AX44" s="609">
        <f t="shared" si="8"/>
        <v>0</v>
      </c>
      <c r="AY44" s="602">
        <f t="shared" si="0"/>
        <v>0</v>
      </c>
      <c r="AZ44" s="593">
        <f t="shared" si="1"/>
        <v>0</v>
      </c>
      <c r="BA44" s="594">
        <f t="shared" si="47"/>
        <v>0</v>
      </c>
      <c r="BB44" s="593">
        <f t="shared" si="47"/>
        <v>0</v>
      </c>
      <c r="BC44" s="593">
        <f t="shared" si="9"/>
        <v>0</v>
      </c>
      <c r="BD44" s="593">
        <f t="shared" si="10"/>
        <v>0</v>
      </c>
      <c r="BE44" s="593">
        <f t="shared" si="11"/>
        <v>0</v>
      </c>
      <c r="BF44" s="593">
        <f t="shared" si="12"/>
        <v>0</v>
      </c>
      <c r="BG44" s="593">
        <f t="shared" si="13"/>
        <v>0</v>
      </c>
      <c r="BH44" s="593">
        <f t="shared" si="14"/>
        <v>0</v>
      </c>
      <c r="BI44" s="593">
        <f t="shared" si="14"/>
        <v>0</v>
      </c>
      <c r="BJ44" s="593">
        <f t="shared" si="15"/>
        <v>0</v>
      </c>
      <c r="BK44" s="593">
        <f t="shared" si="15"/>
        <v>0</v>
      </c>
      <c r="BL44" s="593">
        <f t="shared" si="16"/>
        <v>0</v>
      </c>
      <c r="BM44" s="593">
        <f t="shared" si="17"/>
        <v>0</v>
      </c>
      <c r="BN44" s="593">
        <f t="shared" si="17"/>
        <v>0</v>
      </c>
      <c r="BO44" s="593">
        <f t="shared" si="17"/>
        <v>0</v>
      </c>
      <c r="BP44" s="593">
        <f t="shared" si="18"/>
        <v>0</v>
      </c>
      <c r="BQ44" s="593">
        <f t="shared" si="19"/>
        <v>0</v>
      </c>
      <c r="BR44" s="593">
        <f t="shared" si="20"/>
        <v>0</v>
      </c>
      <c r="BS44" s="593">
        <f t="shared" si="21"/>
        <v>0</v>
      </c>
      <c r="BT44" s="593">
        <f t="shared" si="22"/>
        <v>0</v>
      </c>
      <c r="BU44" s="593">
        <f t="shared" si="23"/>
        <v>0</v>
      </c>
      <c r="BV44" s="593">
        <f t="shared" si="24"/>
        <v>0</v>
      </c>
      <c r="BW44" s="593">
        <f t="shared" si="25"/>
        <v>0</v>
      </c>
      <c r="BX44" s="593">
        <f t="shared" si="26"/>
        <v>0</v>
      </c>
      <c r="BY44" s="593">
        <f t="shared" si="27"/>
        <v>0</v>
      </c>
      <c r="BZ44" s="593">
        <f t="shared" si="28"/>
        <v>0</v>
      </c>
      <c r="CA44" s="593">
        <f t="shared" si="29"/>
        <v>0</v>
      </c>
      <c r="CB44" s="593">
        <f t="shared" si="30"/>
        <v>0</v>
      </c>
      <c r="CC44" s="593">
        <f t="shared" si="31"/>
        <v>0</v>
      </c>
      <c r="CD44" s="593">
        <f t="shared" si="32"/>
        <v>0</v>
      </c>
      <c r="CE44" s="593">
        <f t="shared" si="32"/>
        <v>0</v>
      </c>
      <c r="CF44" s="595">
        <f t="shared" si="33"/>
        <v>0</v>
      </c>
      <c r="CG44" s="555" t="str">
        <f t="shared" si="34"/>
        <v/>
      </c>
      <c r="CH44" s="530" t="str">
        <f t="shared" si="35"/>
        <v/>
      </c>
      <c r="CI44" s="530" t="str">
        <f t="shared" si="36"/>
        <v/>
      </c>
      <c r="CJ44" s="530" t="str">
        <f t="shared" si="37"/>
        <v/>
      </c>
      <c r="CK44" s="530" t="str">
        <f t="shared" si="38"/>
        <v/>
      </c>
      <c r="CL44" s="530" t="str">
        <f t="shared" si="39"/>
        <v/>
      </c>
      <c r="CM44" s="82" t="str">
        <f t="shared" si="40"/>
        <v/>
      </c>
      <c r="CN44" s="496" t="str">
        <f t="shared" si="3"/>
        <v/>
      </c>
      <c r="CO44" s="496" t="str">
        <f t="shared" si="41"/>
        <v>0</v>
      </c>
      <c r="CP44" s="491">
        <f t="shared" si="42"/>
        <v>0</v>
      </c>
      <c r="CS44" s="496">
        <f t="shared" si="43"/>
        <v>0</v>
      </c>
      <c r="CT44" s="496">
        <f t="shared" si="44"/>
        <v>0</v>
      </c>
      <c r="CU44" s="497" t="str">
        <f t="shared" si="45"/>
        <v>00</v>
      </c>
    </row>
    <row r="45" spans="1:99" ht="15" hidden="1" customHeight="1">
      <c r="A45" s="951">
        <v>42</v>
      </c>
      <c r="B45" s="953"/>
      <c r="C45" s="922"/>
      <c r="D45" s="923"/>
      <c r="E45" s="913"/>
      <c r="F45" s="914"/>
      <c r="G45" s="926"/>
      <c r="H45" s="915"/>
      <c r="I45" s="916"/>
      <c r="J45" s="917"/>
      <c r="K45" s="1012"/>
      <c r="L45" s="1012"/>
      <c r="M45" s="1013"/>
      <c r="N45" s="1028" t="str">
        <f t="shared" si="5"/>
        <v>00</v>
      </c>
      <c r="O45" s="406" t="str">
        <f t="shared" si="46"/>
        <v/>
      </c>
      <c r="P45" s="407" t="str">
        <f>IF(O45="","",VLOOKUP(O45,所属コード!$A$2:$E$11,2,FALSE))</f>
        <v/>
      </c>
      <c r="Q45" s="1033" t="str">
        <f>IF(O45="","",VLOOKUP(O45,所属コード!$A$2:$G$11,7,FALSE))</f>
        <v/>
      </c>
      <c r="R45" s="1035"/>
      <c r="S45" s="77"/>
      <c r="T45" s="77"/>
      <c r="U45" s="77"/>
      <c r="V45" s="15"/>
      <c r="X45" s="492"/>
      <c r="Y45" s="945" t="str">
        <f t="shared" si="6"/>
        <v/>
      </c>
      <c r="Z45" s="489" t="str">
        <f t="shared" si="7"/>
        <v/>
      </c>
      <c r="AA45" s="488"/>
      <c r="AB45" s="488"/>
      <c r="AC45" s="488"/>
      <c r="AD45" s="488"/>
      <c r="AE45" s="488"/>
      <c r="AF45" s="488"/>
      <c r="AG45" s="491"/>
      <c r="AH45" s="591"/>
      <c r="AI45" s="592"/>
      <c r="AJ45" s="592"/>
      <c r="AK45" s="592"/>
      <c r="AL45" s="592"/>
      <c r="AM45" s="592"/>
      <c r="AN45" s="592"/>
      <c r="AO45" s="592"/>
      <c r="AP45" s="592"/>
      <c r="AQ45" s="592"/>
      <c r="AR45" s="592"/>
      <c r="AS45" s="592"/>
      <c r="AT45" s="592"/>
      <c r="AU45" s="592"/>
      <c r="AV45" s="592"/>
      <c r="AW45" s="604"/>
      <c r="AX45" s="609">
        <f t="shared" si="8"/>
        <v>0</v>
      </c>
      <c r="AY45" s="602">
        <f t="shared" si="0"/>
        <v>0</v>
      </c>
      <c r="AZ45" s="593">
        <f t="shared" si="1"/>
        <v>0</v>
      </c>
      <c r="BA45" s="594">
        <f t="shared" si="47"/>
        <v>0</v>
      </c>
      <c r="BB45" s="593">
        <f t="shared" si="47"/>
        <v>0</v>
      </c>
      <c r="BC45" s="593">
        <f t="shared" si="9"/>
        <v>0</v>
      </c>
      <c r="BD45" s="593">
        <f t="shared" si="10"/>
        <v>0</v>
      </c>
      <c r="BE45" s="593">
        <f t="shared" si="11"/>
        <v>0</v>
      </c>
      <c r="BF45" s="593">
        <f t="shared" si="12"/>
        <v>0</v>
      </c>
      <c r="BG45" s="593">
        <f t="shared" si="13"/>
        <v>0</v>
      </c>
      <c r="BH45" s="593">
        <f t="shared" si="14"/>
        <v>0</v>
      </c>
      <c r="BI45" s="593">
        <f t="shared" si="14"/>
        <v>0</v>
      </c>
      <c r="BJ45" s="593">
        <f t="shared" si="15"/>
        <v>0</v>
      </c>
      <c r="BK45" s="593">
        <f t="shared" si="15"/>
        <v>0</v>
      </c>
      <c r="BL45" s="593">
        <f t="shared" si="16"/>
        <v>0</v>
      </c>
      <c r="BM45" s="593">
        <f t="shared" si="17"/>
        <v>0</v>
      </c>
      <c r="BN45" s="593">
        <f t="shared" si="17"/>
        <v>0</v>
      </c>
      <c r="BO45" s="593">
        <f t="shared" si="17"/>
        <v>0</v>
      </c>
      <c r="BP45" s="593">
        <f t="shared" si="18"/>
        <v>0</v>
      </c>
      <c r="BQ45" s="593">
        <f t="shared" si="19"/>
        <v>0</v>
      </c>
      <c r="BR45" s="593">
        <f t="shared" si="20"/>
        <v>0</v>
      </c>
      <c r="BS45" s="593">
        <f t="shared" si="21"/>
        <v>0</v>
      </c>
      <c r="BT45" s="593">
        <f t="shared" si="22"/>
        <v>0</v>
      </c>
      <c r="BU45" s="593">
        <f t="shared" si="23"/>
        <v>0</v>
      </c>
      <c r="BV45" s="593">
        <f t="shared" si="24"/>
        <v>0</v>
      </c>
      <c r="BW45" s="593">
        <f t="shared" si="25"/>
        <v>0</v>
      </c>
      <c r="BX45" s="593">
        <f t="shared" si="26"/>
        <v>0</v>
      </c>
      <c r="BY45" s="593">
        <f t="shared" si="27"/>
        <v>0</v>
      </c>
      <c r="BZ45" s="593">
        <f t="shared" si="28"/>
        <v>0</v>
      </c>
      <c r="CA45" s="593">
        <f t="shared" si="29"/>
        <v>0</v>
      </c>
      <c r="CB45" s="593">
        <f t="shared" si="30"/>
        <v>0</v>
      </c>
      <c r="CC45" s="593">
        <f t="shared" si="31"/>
        <v>0</v>
      </c>
      <c r="CD45" s="593">
        <f t="shared" si="32"/>
        <v>0</v>
      </c>
      <c r="CE45" s="593">
        <f t="shared" si="32"/>
        <v>0</v>
      </c>
      <c r="CF45" s="595">
        <f t="shared" si="33"/>
        <v>0</v>
      </c>
      <c r="CG45" s="555" t="str">
        <f t="shared" si="34"/>
        <v/>
      </c>
      <c r="CH45" s="530" t="str">
        <f t="shared" si="35"/>
        <v/>
      </c>
      <c r="CI45" s="530" t="str">
        <f t="shared" si="36"/>
        <v/>
      </c>
      <c r="CJ45" s="530" t="str">
        <f t="shared" si="37"/>
        <v/>
      </c>
      <c r="CK45" s="530" t="str">
        <f t="shared" si="38"/>
        <v/>
      </c>
      <c r="CL45" s="530" t="str">
        <f t="shared" si="39"/>
        <v/>
      </c>
      <c r="CM45" s="82" t="str">
        <f t="shared" si="40"/>
        <v/>
      </c>
      <c r="CN45" s="496" t="str">
        <f t="shared" si="3"/>
        <v/>
      </c>
      <c r="CO45" s="496" t="str">
        <f t="shared" si="41"/>
        <v>0</v>
      </c>
      <c r="CP45" s="491">
        <f t="shared" si="42"/>
        <v>0</v>
      </c>
      <c r="CS45" s="496">
        <f t="shared" si="43"/>
        <v>0</v>
      </c>
      <c r="CT45" s="496">
        <f t="shared" si="44"/>
        <v>0</v>
      </c>
      <c r="CU45" s="497" t="str">
        <f t="shared" si="45"/>
        <v>00</v>
      </c>
    </row>
    <row r="46" spans="1:99" ht="15" hidden="1" customHeight="1">
      <c r="A46" s="951">
        <v>43</v>
      </c>
      <c r="B46" s="953"/>
      <c r="C46" s="922"/>
      <c r="D46" s="923"/>
      <c r="E46" s="913"/>
      <c r="F46" s="914"/>
      <c r="G46" s="926"/>
      <c r="H46" s="915"/>
      <c r="I46" s="916"/>
      <c r="J46" s="917"/>
      <c r="K46" s="1012"/>
      <c r="L46" s="1012"/>
      <c r="M46" s="1013"/>
      <c r="N46" s="1028" t="str">
        <f t="shared" si="5"/>
        <v>00</v>
      </c>
      <c r="O46" s="406" t="str">
        <f t="shared" si="46"/>
        <v/>
      </c>
      <c r="P46" s="407" t="str">
        <f>IF(O46="","",VLOOKUP(O46,所属コード!$A$2:$E$11,2,FALSE))</f>
        <v/>
      </c>
      <c r="Q46" s="1033" t="str">
        <f>IF(O46="","",VLOOKUP(O46,所属コード!$A$2:$G$11,7,FALSE))</f>
        <v/>
      </c>
      <c r="R46" s="1035"/>
      <c r="S46" s="77"/>
      <c r="T46" s="77"/>
      <c r="U46" s="77"/>
      <c r="V46" s="15"/>
      <c r="X46" s="492"/>
      <c r="Y46" s="945" t="str">
        <f t="shared" si="6"/>
        <v/>
      </c>
      <c r="Z46" s="489" t="str">
        <f t="shared" si="7"/>
        <v/>
      </c>
      <c r="AA46" s="488"/>
      <c r="AB46" s="488"/>
      <c r="AC46" s="488"/>
      <c r="AD46" s="488"/>
      <c r="AE46" s="488"/>
      <c r="AF46" s="488"/>
      <c r="AG46" s="491"/>
      <c r="AH46" s="591"/>
      <c r="AI46" s="592"/>
      <c r="AJ46" s="592"/>
      <c r="AK46" s="592"/>
      <c r="AL46" s="592"/>
      <c r="AM46" s="592"/>
      <c r="AN46" s="592"/>
      <c r="AO46" s="592"/>
      <c r="AP46" s="592"/>
      <c r="AQ46" s="592"/>
      <c r="AR46" s="592"/>
      <c r="AS46" s="592"/>
      <c r="AT46" s="592"/>
      <c r="AU46" s="592"/>
      <c r="AV46" s="592"/>
      <c r="AW46" s="604"/>
      <c r="AX46" s="609">
        <f t="shared" si="8"/>
        <v>0</v>
      </c>
      <c r="AY46" s="602">
        <f t="shared" si="0"/>
        <v>0</v>
      </c>
      <c r="AZ46" s="593">
        <f t="shared" si="1"/>
        <v>0</v>
      </c>
      <c r="BA46" s="594">
        <f t="shared" si="47"/>
        <v>0</v>
      </c>
      <c r="BB46" s="593">
        <f t="shared" si="47"/>
        <v>0</v>
      </c>
      <c r="BC46" s="593">
        <f t="shared" si="9"/>
        <v>0</v>
      </c>
      <c r="BD46" s="593">
        <f t="shared" si="10"/>
        <v>0</v>
      </c>
      <c r="BE46" s="593">
        <f t="shared" si="11"/>
        <v>0</v>
      </c>
      <c r="BF46" s="593">
        <f t="shared" si="12"/>
        <v>0</v>
      </c>
      <c r="BG46" s="593">
        <f t="shared" si="13"/>
        <v>0</v>
      </c>
      <c r="BH46" s="593">
        <f t="shared" si="14"/>
        <v>0</v>
      </c>
      <c r="BI46" s="593">
        <f t="shared" si="14"/>
        <v>0</v>
      </c>
      <c r="BJ46" s="593">
        <f t="shared" si="15"/>
        <v>0</v>
      </c>
      <c r="BK46" s="593">
        <f t="shared" si="15"/>
        <v>0</v>
      </c>
      <c r="BL46" s="593">
        <f t="shared" si="16"/>
        <v>0</v>
      </c>
      <c r="BM46" s="593">
        <f t="shared" si="17"/>
        <v>0</v>
      </c>
      <c r="BN46" s="593">
        <f t="shared" si="17"/>
        <v>0</v>
      </c>
      <c r="BO46" s="593">
        <f t="shared" si="17"/>
        <v>0</v>
      </c>
      <c r="BP46" s="593">
        <f t="shared" si="18"/>
        <v>0</v>
      </c>
      <c r="BQ46" s="593">
        <f t="shared" si="19"/>
        <v>0</v>
      </c>
      <c r="BR46" s="593">
        <f t="shared" si="20"/>
        <v>0</v>
      </c>
      <c r="BS46" s="593">
        <f t="shared" si="21"/>
        <v>0</v>
      </c>
      <c r="BT46" s="593">
        <f t="shared" si="22"/>
        <v>0</v>
      </c>
      <c r="BU46" s="593">
        <f t="shared" si="23"/>
        <v>0</v>
      </c>
      <c r="BV46" s="593">
        <f t="shared" si="24"/>
        <v>0</v>
      </c>
      <c r="BW46" s="593">
        <f t="shared" si="25"/>
        <v>0</v>
      </c>
      <c r="BX46" s="593">
        <f t="shared" si="26"/>
        <v>0</v>
      </c>
      <c r="BY46" s="593">
        <f t="shared" si="27"/>
        <v>0</v>
      </c>
      <c r="BZ46" s="593">
        <f t="shared" si="28"/>
        <v>0</v>
      </c>
      <c r="CA46" s="593">
        <f t="shared" si="29"/>
        <v>0</v>
      </c>
      <c r="CB46" s="593">
        <f t="shared" si="30"/>
        <v>0</v>
      </c>
      <c r="CC46" s="593">
        <f t="shared" si="31"/>
        <v>0</v>
      </c>
      <c r="CD46" s="593">
        <f t="shared" si="32"/>
        <v>0</v>
      </c>
      <c r="CE46" s="593">
        <f t="shared" si="32"/>
        <v>0</v>
      </c>
      <c r="CF46" s="595">
        <f t="shared" si="33"/>
        <v>0</v>
      </c>
      <c r="CG46" s="555" t="str">
        <f t="shared" si="34"/>
        <v/>
      </c>
      <c r="CH46" s="530" t="str">
        <f t="shared" si="35"/>
        <v/>
      </c>
      <c r="CI46" s="530" t="str">
        <f t="shared" si="36"/>
        <v/>
      </c>
      <c r="CJ46" s="530" t="str">
        <f t="shared" si="37"/>
        <v/>
      </c>
      <c r="CK46" s="530" t="str">
        <f t="shared" si="38"/>
        <v/>
      </c>
      <c r="CL46" s="530" t="str">
        <f t="shared" si="39"/>
        <v/>
      </c>
      <c r="CM46" s="82" t="str">
        <f t="shared" si="40"/>
        <v/>
      </c>
      <c r="CN46" s="496" t="str">
        <f t="shared" si="3"/>
        <v/>
      </c>
      <c r="CO46" s="496" t="str">
        <f t="shared" si="41"/>
        <v>0</v>
      </c>
      <c r="CP46" s="491">
        <f t="shared" si="42"/>
        <v>0</v>
      </c>
      <c r="CS46" s="496">
        <f t="shared" si="43"/>
        <v>0</v>
      </c>
      <c r="CT46" s="496">
        <f t="shared" si="44"/>
        <v>0</v>
      </c>
      <c r="CU46" s="497" t="str">
        <f t="shared" si="45"/>
        <v>00</v>
      </c>
    </row>
    <row r="47" spans="1:99" ht="15" hidden="1" customHeight="1">
      <c r="A47" s="951">
        <v>44</v>
      </c>
      <c r="B47" s="953"/>
      <c r="C47" s="922"/>
      <c r="D47" s="923"/>
      <c r="E47" s="913"/>
      <c r="F47" s="914"/>
      <c r="G47" s="926"/>
      <c r="H47" s="915"/>
      <c r="I47" s="916"/>
      <c r="J47" s="917"/>
      <c r="K47" s="1012"/>
      <c r="L47" s="1012"/>
      <c r="M47" s="1013"/>
      <c r="N47" s="1028" t="str">
        <f t="shared" si="5"/>
        <v>00</v>
      </c>
      <c r="O47" s="406" t="str">
        <f t="shared" si="46"/>
        <v/>
      </c>
      <c r="P47" s="407" t="str">
        <f>IF(O47="","",VLOOKUP(O47,所属コード!$A$2:$E$11,2,FALSE))</f>
        <v/>
      </c>
      <c r="Q47" s="1033" t="str">
        <f>IF(O47="","",VLOOKUP(O47,所属コード!$A$2:$G$11,7,FALSE))</f>
        <v/>
      </c>
      <c r="R47" s="1035"/>
      <c r="S47" s="77"/>
      <c r="T47" s="77"/>
      <c r="U47" s="77"/>
      <c r="V47" s="15"/>
      <c r="X47" s="492"/>
      <c r="Y47" s="945" t="str">
        <f t="shared" si="6"/>
        <v/>
      </c>
      <c r="Z47" s="489" t="str">
        <f t="shared" si="7"/>
        <v/>
      </c>
      <c r="AA47" s="488"/>
      <c r="AB47" s="488"/>
      <c r="AC47" s="488"/>
      <c r="AD47" s="488"/>
      <c r="AE47" s="488"/>
      <c r="AF47" s="488"/>
      <c r="AG47" s="491"/>
      <c r="AH47" s="591"/>
      <c r="AI47" s="592"/>
      <c r="AJ47" s="592"/>
      <c r="AK47" s="592"/>
      <c r="AL47" s="592"/>
      <c r="AM47" s="592"/>
      <c r="AN47" s="592"/>
      <c r="AO47" s="592"/>
      <c r="AP47" s="592"/>
      <c r="AQ47" s="592"/>
      <c r="AR47" s="592"/>
      <c r="AS47" s="592"/>
      <c r="AT47" s="592"/>
      <c r="AU47" s="592"/>
      <c r="AV47" s="592"/>
      <c r="AW47" s="604"/>
      <c r="AX47" s="609">
        <f t="shared" si="8"/>
        <v>0</v>
      </c>
      <c r="AY47" s="602">
        <f t="shared" si="0"/>
        <v>0</v>
      </c>
      <c r="AZ47" s="593">
        <f t="shared" si="1"/>
        <v>0</v>
      </c>
      <c r="BA47" s="594">
        <f t="shared" si="47"/>
        <v>0</v>
      </c>
      <c r="BB47" s="593">
        <f t="shared" si="47"/>
        <v>0</v>
      </c>
      <c r="BC47" s="593">
        <f t="shared" si="9"/>
        <v>0</v>
      </c>
      <c r="BD47" s="593">
        <f t="shared" si="10"/>
        <v>0</v>
      </c>
      <c r="BE47" s="593">
        <f t="shared" si="11"/>
        <v>0</v>
      </c>
      <c r="BF47" s="593">
        <f t="shared" si="12"/>
        <v>0</v>
      </c>
      <c r="BG47" s="593">
        <f t="shared" si="13"/>
        <v>0</v>
      </c>
      <c r="BH47" s="593">
        <f t="shared" si="14"/>
        <v>0</v>
      </c>
      <c r="BI47" s="593">
        <f t="shared" si="14"/>
        <v>0</v>
      </c>
      <c r="BJ47" s="593">
        <f t="shared" si="15"/>
        <v>0</v>
      </c>
      <c r="BK47" s="593">
        <f t="shared" si="15"/>
        <v>0</v>
      </c>
      <c r="BL47" s="593">
        <f t="shared" si="16"/>
        <v>0</v>
      </c>
      <c r="BM47" s="593">
        <f t="shared" si="17"/>
        <v>0</v>
      </c>
      <c r="BN47" s="593">
        <f t="shared" si="17"/>
        <v>0</v>
      </c>
      <c r="BO47" s="593">
        <f t="shared" si="17"/>
        <v>0</v>
      </c>
      <c r="BP47" s="593">
        <f t="shared" si="18"/>
        <v>0</v>
      </c>
      <c r="BQ47" s="593">
        <f t="shared" si="19"/>
        <v>0</v>
      </c>
      <c r="BR47" s="593">
        <f t="shared" si="20"/>
        <v>0</v>
      </c>
      <c r="BS47" s="593">
        <f t="shared" si="21"/>
        <v>0</v>
      </c>
      <c r="BT47" s="593">
        <f t="shared" si="22"/>
        <v>0</v>
      </c>
      <c r="BU47" s="593">
        <f t="shared" si="23"/>
        <v>0</v>
      </c>
      <c r="BV47" s="593">
        <f t="shared" si="24"/>
        <v>0</v>
      </c>
      <c r="BW47" s="593">
        <f t="shared" si="25"/>
        <v>0</v>
      </c>
      <c r="BX47" s="593">
        <f t="shared" si="26"/>
        <v>0</v>
      </c>
      <c r="BY47" s="593">
        <f t="shared" si="27"/>
        <v>0</v>
      </c>
      <c r="BZ47" s="593">
        <f t="shared" si="28"/>
        <v>0</v>
      </c>
      <c r="CA47" s="593">
        <f t="shared" si="29"/>
        <v>0</v>
      </c>
      <c r="CB47" s="593">
        <f t="shared" si="30"/>
        <v>0</v>
      </c>
      <c r="CC47" s="593">
        <f t="shared" si="31"/>
        <v>0</v>
      </c>
      <c r="CD47" s="593">
        <f t="shared" si="32"/>
        <v>0</v>
      </c>
      <c r="CE47" s="593">
        <f t="shared" si="32"/>
        <v>0</v>
      </c>
      <c r="CF47" s="595">
        <f t="shared" si="33"/>
        <v>0</v>
      </c>
      <c r="CG47" s="555" t="str">
        <f t="shared" si="34"/>
        <v/>
      </c>
      <c r="CH47" s="530" t="str">
        <f t="shared" si="35"/>
        <v/>
      </c>
      <c r="CI47" s="530" t="str">
        <f t="shared" si="36"/>
        <v/>
      </c>
      <c r="CJ47" s="530" t="str">
        <f t="shared" si="37"/>
        <v/>
      </c>
      <c r="CK47" s="530" t="str">
        <f t="shared" si="38"/>
        <v/>
      </c>
      <c r="CL47" s="530" t="str">
        <f t="shared" si="39"/>
        <v/>
      </c>
      <c r="CM47" s="82" t="str">
        <f t="shared" si="40"/>
        <v/>
      </c>
      <c r="CN47" s="496" t="str">
        <f t="shared" si="3"/>
        <v/>
      </c>
      <c r="CO47" s="496" t="str">
        <f t="shared" si="41"/>
        <v>0</v>
      </c>
      <c r="CP47" s="491">
        <f t="shared" si="42"/>
        <v>0</v>
      </c>
      <c r="CS47" s="496">
        <f t="shared" si="43"/>
        <v>0</v>
      </c>
      <c r="CT47" s="496">
        <f t="shared" si="44"/>
        <v>0</v>
      </c>
      <c r="CU47" s="497" t="str">
        <f t="shared" si="45"/>
        <v>00</v>
      </c>
    </row>
    <row r="48" spans="1:99" ht="15" hidden="1" customHeight="1">
      <c r="A48" s="951">
        <v>45</v>
      </c>
      <c r="B48" s="953"/>
      <c r="C48" s="922"/>
      <c r="D48" s="923"/>
      <c r="E48" s="913"/>
      <c r="F48" s="914"/>
      <c r="G48" s="926"/>
      <c r="H48" s="915"/>
      <c r="I48" s="916"/>
      <c r="J48" s="917"/>
      <c r="K48" s="1012"/>
      <c r="L48" s="1012"/>
      <c r="M48" s="1013"/>
      <c r="N48" s="1028" t="str">
        <f t="shared" si="5"/>
        <v>00</v>
      </c>
      <c r="O48" s="406" t="str">
        <f t="shared" si="46"/>
        <v/>
      </c>
      <c r="P48" s="407" t="str">
        <f>IF(O48="","",VLOOKUP(O48,所属コード!$A$2:$E$11,2,FALSE))</f>
        <v/>
      </c>
      <c r="Q48" s="1033" t="str">
        <f>IF(O48="","",VLOOKUP(O48,所属コード!$A$2:$G$11,7,FALSE))</f>
        <v/>
      </c>
      <c r="R48" s="1035"/>
      <c r="S48" s="77"/>
      <c r="T48" s="77"/>
      <c r="U48" s="77"/>
      <c r="V48" s="15"/>
      <c r="X48" s="492"/>
      <c r="Y48" s="945" t="str">
        <f t="shared" si="6"/>
        <v/>
      </c>
      <c r="Z48" s="489" t="str">
        <f t="shared" si="7"/>
        <v/>
      </c>
      <c r="AA48" s="488"/>
      <c r="AB48" s="488"/>
      <c r="AC48" s="488"/>
      <c r="AD48" s="488"/>
      <c r="AE48" s="488"/>
      <c r="AF48" s="488"/>
      <c r="AG48" s="491"/>
      <c r="AH48" s="591"/>
      <c r="AI48" s="592"/>
      <c r="AJ48" s="592"/>
      <c r="AK48" s="592"/>
      <c r="AL48" s="592"/>
      <c r="AM48" s="592"/>
      <c r="AN48" s="592"/>
      <c r="AO48" s="592"/>
      <c r="AP48" s="592"/>
      <c r="AQ48" s="592"/>
      <c r="AR48" s="592"/>
      <c r="AS48" s="592"/>
      <c r="AT48" s="592"/>
      <c r="AU48" s="592"/>
      <c r="AV48" s="592"/>
      <c r="AW48" s="604"/>
      <c r="AX48" s="609">
        <f t="shared" si="8"/>
        <v>0</v>
      </c>
      <c r="AY48" s="602">
        <f t="shared" si="0"/>
        <v>0</v>
      </c>
      <c r="AZ48" s="593">
        <f t="shared" si="1"/>
        <v>0</v>
      </c>
      <c r="BA48" s="594">
        <f t="shared" si="47"/>
        <v>0</v>
      </c>
      <c r="BB48" s="593">
        <f t="shared" si="47"/>
        <v>0</v>
      </c>
      <c r="BC48" s="593">
        <f t="shared" si="9"/>
        <v>0</v>
      </c>
      <c r="BD48" s="593">
        <f t="shared" si="10"/>
        <v>0</v>
      </c>
      <c r="BE48" s="593">
        <f t="shared" si="11"/>
        <v>0</v>
      </c>
      <c r="BF48" s="593">
        <f t="shared" si="12"/>
        <v>0</v>
      </c>
      <c r="BG48" s="593">
        <f t="shared" si="13"/>
        <v>0</v>
      </c>
      <c r="BH48" s="593">
        <f t="shared" si="14"/>
        <v>0</v>
      </c>
      <c r="BI48" s="593">
        <f t="shared" si="14"/>
        <v>0</v>
      </c>
      <c r="BJ48" s="593">
        <f t="shared" si="15"/>
        <v>0</v>
      </c>
      <c r="BK48" s="593">
        <f t="shared" si="15"/>
        <v>0</v>
      </c>
      <c r="BL48" s="593">
        <f t="shared" si="16"/>
        <v>0</v>
      </c>
      <c r="BM48" s="593">
        <f t="shared" si="17"/>
        <v>0</v>
      </c>
      <c r="BN48" s="593">
        <f t="shared" si="17"/>
        <v>0</v>
      </c>
      <c r="BO48" s="593">
        <f t="shared" si="17"/>
        <v>0</v>
      </c>
      <c r="BP48" s="593">
        <f t="shared" si="18"/>
        <v>0</v>
      </c>
      <c r="BQ48" s="593">
        <f t="shared" si="19"/>
        <v>0</v>
      </c>
      <c r="BR48" s="593">
        <f t="shared" si="20"/>
        <v>0</v>
      </c>
      <c r="BS48" s="593">
        <f t="shared" si="21"/>
        <v>0</v>
      </c>
      <c r="BT48" s="593">
        <f t="shared" si="22"/>
        <v>0</v>
      </c>
      <c r="BU48" s="593">
        <f t="shared" si="23"/>
        <v>0</v>
      </c>
      <c r="BV48" s="593">
        <f t="shared" si="24"/>
        <v>0</v>
      </c>
      <c r="BW48" s="593">
        <f t="shared" si="25"/>
        <v>0</v>
      </c>
      <c r="BX48" s="593">
        <f t="shared" si="26"/>
        <v>0</v>
      </c>
      <c r="BY48" s="593">
        <f t="shared" si="27"/>
        <v>0</v>
      </c>
      <c r="BZ48" s="593">
        <f t="shared" si="28"/>
        <v>0</v>
      </c>
      <c r="CA48" s="593">
        <f t="shared" si="29"/>
        <v>0</v>
      </c>
      <c r="CB48" s="593">
        <f t="shared" si="30"/>
        <v>0</v>
      </c>
      <c r="CC48" s="593">
        <f t="shared" si="31"/>
        <v>0</v>
      </c>
      <c r="CD48" s="593">
        <f t="shared" si="32"/>
        <v>0</v>
      </c>
      <c r="CE48" s="593">
        <f t="shared" si="32"/>
        <v>0</v>
      </c>
      <c r="CF48" s="595">
        <f t="shared" si="33"/>
        <v>0</v>
      </c>
      <c r="CG48" s="555" t="str">
        <f t="shared" si="34"/>
        <v/>
      </c>
      <c r="CH48" s="530" t="str">
        <f t="shared" si="35"/>
        <v/>
      </c>
      <c r="CI48" s="530" t="str">
        <f t="shared" si="36"/>
        <v/>
      </c>
      <c r="CJ48" s="530" t="str">
        <f t="shared" si="37"/>
        <v/>
      </c>
      <c r="CK48" s="530" t="str">
        <f t="shared" si="38"/>
        <v/>
      </c>
      <c r="CL48" s="530" t="str">
        <f t="shared" si="39"/>
        <v/>
      </c>
      <c r="CM48" s="82" t="str">
        <f t="shared" si="40"/>
        <v/>
      </c>
      <c r="CN48" s="496" t="str">
        <f t="shared" si="3"/>
        <v/>
      </c>
      <c r="CO48" s="496" t="str">
        <f t="shared" si="41"/>
        <v>0</v>
      </c>
      <c r="CP48" s="491">
        <f t="shared" si="42"/>
        <v>0</v>
      </c>
      <c r="CS48" s="496">
        <f t="shared" si="43"/>
        <v>0</v>
      </c>
      <c r="CT48" s="496">
        <f t="shared" si="44"/>
        <v>0</v>
      </c>
      <c r="CU48" s="497" t="str">
        <f t="shared" si="45"/>
        <v>00</v>
      </c>
    </row>
    <row r="49" spans="1:99" ht="15" hidden="1" customHeight="1">
      <c r="A49" s="951">
        <v>46</v>
      </c>
      <c r="B49" s="953"/>
      <c r="C49" s="922"/>
      <c r="D49" s="923"/>
      <c r="E49" s="913"/>
      <c r="F49" s="914"/>
      <c r="G49" s="926"/>
      <c r="H49" s="915"/>
      <c r="I49" s="916"/>
      <c r="J49" s="917"/>
      <c r="K49" s="1012"/>
      <c r="L49" s="1012"/>
      <c r="M49" s="1013"/>
      <c r="N49" s="1028" t="str">
        <f t="shared" si="5"/>
        <v>00</v>
      </c>
      <c r="O49" s="406" t="str">
        <f t="shared" si="46"/>
        <v/>
      </c>
      <c r="P49" s="407" t="str">
        <f>IF(O49="","",VLOOKUP(O49,所属コード!$A$2:$E$11,2,FALSE))</f>
        <v/>
      </c>
      <c r="Q49" s="1033" t="str">
        <f>IF(O49="","",VLOOKUP(O49,所属コード!$A$2:$G$11,7,FALSE))</f>
        <v/>
      </c>
      <c r="R49" s="1035"/>
      <c r="S49" s="77"/>
      <c r="T49" s="77"/>
      <c r="U49" s="77"/>
      <c r="V49" s="15"/>
      <c r="X49" s="488"/>
      <c r="Y49" s="945" t="str">
        <f t="shared" si="6"/>
        <v/>
      </c>
      <c r="Z49" s="489" t="str">
        <f t="shared" si="7"/>
        <v/>
      </c>
      <c r="AA49" s="488"/>
      <c r="AB49" s="488"/>
      <c r="AC49" s="488"/>
      <c r="AD49" s="488"/>
      <c r="AE49" s="488"/>
      <c r="AF49" s="488"/>
      <c r="AG49" s="491"/>
      <c r="AH49" s="591"/>
      <c r="AI49" s="592"/>
      <c r="AJ49" s="592"/>
      <c r="AK49" s="592"/>
      <c r="AL49" s="592"/>
      <c r="AM49" s="592"/>
      <c r="AN49" s="592"/>
      <c r="AO49" s="592"/>
      <c r="AP49" s="592"/>
      <c r="AQ49" s="592"/>
      <c r="AR49" s="592"/>
      <c r="AS49" s="592"/>
      <c r="AT49" s="592"/>
      <c r="AU49" s="592"/>
      <c r="AV49" s="592"/>
      <c r="AW49" s="604"/>
      <c r="AX49" s="609">
        <f t="shared" si="8"/>
        <v>0</v>
      </c>
      <c r="AY49" s="602">
        <f t="shared" si="0"/>
        <v>0</v>
      </c>
      <c r="AZ49" s="593">
        <f t="shared" si="1"/>
        <v>0</v>
      </c>
      <c r="BA49" s="594">
        <f t="shared" si="47"/>
        <v>0</v>
      </c>
      <c r="BB49" s="593">
        <f t="shared" si="47"/>
        <v>0</v>
      </c>
      <c r="BC49" s="593">
        <f t="shared" si="9"/>
        <v>0</v>
      </c>
      <c r="BD49" s="593">
        <f t="shared" si="10"/>
        <v>0</v>
      </c>
      <c r="BE49" s="593">
        <f t="shared" si="11"/>
        <v>0</v>
      </c>
      <c r="BF49" s="593">
        <f t="shared" si="12"/>
        <v>0</v>
      </c>
      <c r="BG49" s="593">
        <f t="shared" si="13"/>
        <v>0</v>
      </c>
      <c r="BH49" s="593">
        <f t="shared" si="14"/>
        <v>0</v>
      </c>
      <c r="BI49" s="593">
        <f t="shared" si="14"/>
        <v>0</v>
      </c>
      <c r="BJ49" s="593">
        <f t="shared" si="15"/>
        <v>0</v>
      </c>
      <c r="BK49" s="593">
        <f t="shared" si="15"/>
        <v>0</v>
      </c>
      <c r="BL49" s="593">
        <f t="shared" si="16"/>
        <v>0</v>
      </c>
      <c r="BM49" s="593">
        <f t="shared" si="17"/>
        <v>0</v>
      </c>
      <c r="BN49" s="593">
        <f t="shared" si="17"/>
        <v>0</v>
      </c>
      <c r="BO49" s="593">
        <f t="shared" si="17"/>
        <v>0</v>
      </c>
      <c r="BP49" s="593">
        <f t="shared" si="18"/>
        <v>0</v>
      </c>
      <c r="BQ49" s="593">
        <f t="shared" si="19"/>
        <v>0</v>
      </c>
      <c r="BR49" s="593">
        <f t="shared" si="20"/>
        <v>0</v>
      </c>
      <c r="BS49" s="593">
        <f t="shared" si="21"/>
        <v>0</v>
      </c>
      <c r="BT49" s="593">
        <f t="shared" si="22"/>
        <v>0</v>
      </c>
      <c r="BU49" s="593">
        <f t="shared" si="23"/>
        <v>0</v>
      </c>
      <c r="BV49" s="593">
        <f t="shared" si="24"/>
        <v>0</v>
      </c>
      <c r="BW49" s="593">
        <f t="shared" si="25"/>
        <v>0</v>
      </c>
      <c r="BX49" s="593">
        <f t="shared" si="26"/>
        <v>0</v>
      </c>
      <c r="BY49" s="593">
        <f t="shared" si="27"/>
        <v>0</v>
      </c>
      <c r="BZ49" s="593">
        <f t="shared" si="28"/>
        <v>0</v>
      </c>
      <c r="CA49" s="593">
        <f t="shared" si="29"/>
        <v>0</v>
      </c>
      <c r="CB49" s="593">
        <f t="shared" si="30"/>
        <v>0</v>
      </c>
      <c r="CC49" s="593">
        <f t="shared" si="31"/>
        <v>0</v>
      </c>
      <c r="CD49" s="593">
        <f t="shared" si="32"/>
        <v>0</v>
      </c>
      <c r="CE49" s="593">
        <f t="shared" si="32"/>
        <v>0</v>
      </c>
      <c r="CF49" s="595">
        <f t="shared" si="33"/>
        <v>0</v>
      </c>
      <c r="CG49" s="555" t="str">
        <f t="shared" si="34"/>
        <v/>
      </c>
      <c r="CH49" s="530" t="str">
        <f t="shared" si="35"/>
        <v/>
      </c>
      <c r="CI49" s="530" t="str">
        <f t="shared" si="36"/>
        <v/>
      </c>
      <c r="CJ49" s="530" t="str">
        <f t="shared" si="37"/>
        <v/>
      </c>
      <c r="CK49" s="530" t="str">
        <f t="shared" si="38"/>
        <v/>
      </c>
      <c r="CL49" s="530" t="str">
        <f t="shared" si="39"/>
        <v/>
      </c>
      <c r="CM49" s="82" t="str">
        <f t="shared" si="40"/>
        <v/>
      </c>
      <c r="CN49" s="496" t="str">
        <f t="shared" si="3"/>
        <v/>
      </c>
      <c r="CO49" s="496" t="str">
        <f t="shared" si="41"/>
        <v>0</v>
      </c>
      <c r="CP49" s="491">
        <f t="shared" si="42"/>
        <v>0</v>
      </c>
      <c r="CS49" s="496">
        <f t="shared" si="43"/>
        <v>0</v>
      </c>
      <c r="CT49" s="496">
        <f t="shared" si="44"/>
        <v>0</v>
      </c>
      <c r="CU49" s="497" t="str">
        <f t="shared" si="45"/>
        <v>00</v>
      </c>
    </row>
    <row r="50" spans="1:99" ht="15" hidden="1" customHeight="1">
      <c r="A50" s="951">
        <v>47</v>
      </c>
      <c r="B50" s="953"/>
      <c r="C50" s="922"/>
      <c r="D50" s="923"/>
      <c r="E50" s="913"/>
      <c r="F50" s="914"/>
      <c r="G50" s="926"/>
      <c r="H50" s="915"/>
      <c r="I50" s="916"/>
      <c r="J50" s="917"/>
      <c r="K50" s="1012"/>
      <c r="L50" s="1012"/>
      <c r="M50" s="1013"/>
      <c r="N50" s="1028" t="str">
        <f t="shared" si="5"/>
        <v>00</v>
      </c>
      <c r="O50" s="406" t="str">
        <f t="shared" si="46"/>
        <v/>
      </c>
      <c r="P50" s="407" t="str">
        <f>IF(O50="","",VLOOKUP(O50,所属コード!$A$2:$E$11,2,FALSE))</f>
        <v/>
      </c>
      <c r="Q50" s="1033" t="str">
        <f>IF(O50="","",VLOOKUP(O50,所属コード!$A$2:$G$11,7,FALSE))</f>
        <v/>
      </c>
      <c r="R50" s="1035"/>
      <c r="S50" s="77"/>
      <c r="T50" s="77"/>
      <c r="U50" s="77"/>
      <c r="V50" s="15"/>
      <c r="X50" s="488"/>
      <c r="Y50" s="945" t="str">
        <f t="shared" si="6"/>
        <v/>
      </c>
      <c r="Z50" s="489" t="str">
        <f t="shared" si="7"/>
        <v/>
      </c>
      <c r="AA50" s="488"/>
      <c r="AB50" s="488"/>
      <c r="AC50" s="488"/>
      <c r="AD50" s="488"/>
      <c r="AE50" s="488"/>
      <c r="AF50" s="488"/>
      <c r="AG50" s="491"/>
      <c r="AH50" s="591"/>
      <c r="AI50" s="592"/>
      <c r="AJ50" s="592"/>
      <c r="AK50" s="592"/>
      <c r="AL50" s="592"/>
      <c r="AM50" s="592"/>
      <c r="AN50" s="592"/>
      <c r="AO50" s="592"/>
      <c r="AP50" s="592"/>
      <c r="AQ50" s="592"/>
      <c r="AR50" s="592"/>
      <c r="AS50" s="592"/>
      <c r="AT50" s="592"/>
      <c r="AU50" s="592"/>
      <c r="AV50" s="592"/>
      <c r="AW50" s="604"/>
      <c r="AX50" s="609">
        <f t="shared" si="8"/>
        <v>0</v>
      </c>
      <c r="AY50" s="602">
        <f t="shared" si="0"/>
        <v>0</v>
      </c>
      <c r="AZ50" s="593">
        <f t="shared" si="1"/>
        <v>0</v>
      </c>
      <c r="BA50" s="594">
        <f t="shared" si="47"/>
        <v>0</v>
      </c>
      <c r="BB50" s="593">
        <f t="shared" si="47"/>
        <v>0</v>
      </c>
      <c r="BC50" s="593">
        <f t="shared" si="9"/>
        <v>0</v>
      </c>
      <c r="BD50" s="593">
        <f t="shared" si="10"/>
        <v>0</v>
      </c>
      <c r="BE50" s="593">
        <f t="shared" si="11"/>
        <v>0</v>
      </c>
      <c r="BF50" s="593">
        <f t="shared" si="12"/>
        <v>0</v>
      </c>
      <c r="BG50" s="593">
        <f t="shared" si="13"/>
        <v>0</v>
      </c>
      <c r="BH50" s="593">
        <f t="shared" si="14"/>
        <v>0</v>
      </c>
      <c r="BI50" s="593">
        <f t="shared" si="14"/>
        <v>0</v>
      </c>
      <c r="BJ50" s="593">
        <f t="shared" si="15"/>
        <v>0</v>
      </c>
      <c r="BK50" s="593">
        <f t="shared" si="15"/>
        <v>0</v>
      </c>
      <c r="BL50" s="593">
        <f t="shared" si="16"/>
        <v>0</v>
      </c>
      <c r="BM50" s="593">
        <f t="shared" si="17"/>
        <v>0</v>
      </c>
      <c r="BN50" s="593">
        <f t="shared" si="17"/>
        <v>0</v>
      </c>
      <c r="BO50" s="593">
        <f t="shared" si="17"/>
        <v>0</v>
      </c>
      <c r="BP50" s="593">
        <f t="shared" si="18"/>
        <v>0</v>
      </c>
      <c r="BQ50" s="593">
        <f t="shared" si="19"/>
        <v>0</v>
      </c>
      <c r="BR50" s="593">
        <f t="shared" si="20"/>
        <v>0</v>
      </c>
      <c r="BS50" s="593">
        <f t="shared" si="21"/>
        <v>0</v>
      </c>
      <c r="BT50" s="593">
        <f t="shared" si="22"/>
        <v>0</v>
      </c>
      <c r="BU50" s="593">
        <f t="shared" si="23"/>
        <v>0</v>
      </c>
      <c r="BV50" s="593">
        <f t="shared" si="24"/>
        <v>0</v>
      </c>
      <c r="BW50" s="593">
        <f t="shared" si="25"/>
        <v>0</v>
      </c>
      <c r="BX50" s="593">
        <f t="shared" si="26"/>
        <v>0</v>
      </c>
      <c r="BY50" s="593">
        <f t="shared" si="27"/>
        <v>0</v>
      </c>
      <c r="BZ50" s="593">
        <f t="shared" si="28"/>
        <v>0</v>
      </c>
      <c r="CA50" s="593">
        <f t="shared" si="29"/>
        <v>0</v>
      </c>
      <c r="CB50" s="593">
        <f t="shared" si="30"/>
        <v>0</v>
      </c>
      <c r="CC50" s="593">
        <f t="shared" si="31"/>
        <v>0</v>
      </c>
      <c r="CD50" s="593">
        <f t="shared" si="32"/>
        <v>0</v>
      </c>
      <c r="CE50" s="593">
        <f t="shared" si="32"/>
        <v>0</v>
      </c>
      <c r="CF50" s="595">
        <f t="shared" si="33"/>
        <v>0</v>
      </c>
      <c r="CG50" s="555" t="str">
        <f t="shared" si="34"/>
        <v/>
      </c>
      <c r="CH50" s="530" t="str">
        <f t="shared" si="35"/>
        <v/>
      </c>
      <c r="CI50" s="530" t="str">
        <f t="shared" si="36"/>
        <v/>
      </c>
      <c r="CJ50" s="530" t="str">
        <f t="shared" si="37"/>
        <v/>
      </c>
      <c r="CK50" s="530" t="str">
        <f t="shared" si="38"/>
        <v/>
      </c>
      <c r="CL50" s="530" t="str">
        <f t="shared" si="39"/>
        <v/>
      </c>
      <c r="CM50" s="82" t="str">
        <f t="shared" si="40"/>
        <v/>
      </c>
      <c r="CN50" s="496" t="str">
        <f t="shared" si="3"/>
        <v/>
      </c>
      <c r="CO50" s="496" t="str">
        <f t="shared" si="41"/>
        <v>0</v>
      </c>
      <c r="CP50" s="491">
        <f t="shared" si="42"/>
        <v>0</v>
      </c>
      <c r="CS50" s="496">
        <f t="shared" si="43"/>
        <v>0</v>
      </c>
      <c r="CT50" s="496">
        <f t="shared" si="44"/>
        <v>0</v>
      </c>
      <c r="CU50" s="497" t="str">
        <f t="shared" si="45"/>
        <v>00</v>
      </c>
    </row>
    <row r="51" spans="1:99" ht="15" hidden="1" customHeight="1">
      <c r="A51" s="951">
        <v>48</v>
      </c>
      <c r="B51" s="953"/>
      <c r="C51" s="922"/>
      <c r="D51" s="923"/>
      <c r="E51" s="913"/>
      <c r="F51" s="914"/>
      <c r="G51" s="926"/>
      <c r="H51" s="915"/>
      <c r="I51" s="916"/>
      <c r="J51" s="917"/>
      <c r="K51" s="1012"/>
      <c r="L51" s="1012"/>
      <c r="M51" s="1013"/>
      <c r="N51" s="1028" t="str">
        <f t="shared" si="5"/>
        <v>00</v>
      </c>
      <c r="O51" s="406" t="str">
        <f t="shared" si="46"/>
        <v/>
      </c>
      <c r="P51" s="407" t="str">
        <f>IF(O51="","",VLOOKUP(O51,所属コード!$A$2:$E$11,2,FALSE))</f>
        <v/>
      </c>
      <c r="Q51" s="1033" t="str">
        <f>IF(O51="","",VLOOKUP(O51,所属コード!$A$2:$G$11,7,FALSE))</f>
        <v/>
      </c>
      <c r="R51" s="1035"/>
      <c r="S51" s="77"/>
      <c r="T51" s="77"/>
      <c r="U51" s="77"/>
      <c r="V51" s="15"/>
      <c r="X51" s="488"/>
      <c r="Y51" s="945" t="str">
        <f t="shared" si="6"/>
        <v/>
      </c>
      <c r="Z51" s="489" t="str">
        <f t="shared" si="7"/>
        <v/>
      </c>
      <c r="AA51" s="488"/>
      <c r="AB51" s="488"/>
      <c r="AC51" s="488"/>
      <c r="AD51" s="488"/>
      <c r="AE51" s="488"/>
      <c r="AF51" s="488"/>
      <c r="AG51" s="491"/>
      <c r="AH51" s="591"/>
      <c r="AI51" s="592"/>
      <c r="AJ51" s="592"/>
      <c r="AK51" s="592"/>
      <c r="AL51" s="592"/>
      <c r="AM51" s="592"/>
      <c r="AN51" s="592"/>
      <c r="AO51" s="592"/>
      <c r="AP51" s="592"/>
      <c r="AQ51" s="592"/>
      <c r="AR51" s="592"/>
      <c r="AS51" s="592"/>
      <c r="AT51" s="592"/>
      <c r="AU51" s="592"/>
      <c r="AV51" s="592"/>
      <c r="AW51" s="604"/>
      <c r="AX51" s="609">
        <f t="shared" si="8"/>
        <v>0</v>
      </c>
      <c r="AY51" s="602">
        <f t="shared" si="0"/>
        <v>0</v>
      </c>
      <c r="AZ51" s="593">
        <f t="shared" si="1"/>
        <v>0</v>
      </c>
      <c r="BA51" s="594">
        <f t="shared" si="47"/>
        <v>0</v>
      </c>
      <c r="BB51" s="593">
        <f t="shared" si="47"/>
        <v>0</v>
      </c>
      <c r="BC51" s="593">
        <f t="shared" si="9"/>
        <v>0</v>
      </c>
      <c r="BD51" s="593">
        <f t="shared" si="10"/>
        <v>0</v>
      </c>
      <c r="BE51" s="593">
        <f t="shared" si="11"/>
        <v>0</v>
      </c>
      <c r="BF51" s="593">
        <f t="shared" si="12"/>
        <v>0</v>
      </c>
      <c r="BG51" s="593">
        <f t="shared" si="13"/>
        <v>0</v>
      </c>
      <c r="BH51" s="593">
        <f t="shared" si="14"/>
        <v>0</v>
      </c>
      <c r="BI51" s="593">
        <f t="shared" si="14"/>
        <v>0</v>
      </c>
      <c r="BJ51" s="593">
        <f t="shared" si="15"/>
        <v>0</v>
      </c>
      <c r="BK51" s="593">
        <f t="shared" si="15"/>
        <v>0</v>
      </c>
      <c r="BL51" s="593">
        <f t="shared" si="16"/>
        <v>0</v>
      </c>
      <c r="BM51" s="593">
        <f t="shared" si="17"/>
        <v>0</v>
      </c>
      <c r="BN51" s="593">
        <f t="shared" si="17"/>
        <v>0</v>
      </c>
      <c r="BO51" s="593">
        <f t="shared" si="17"/>
        <v>0</v>
      </c>
      <c r="BP51" s="593">
        <f t="shared" si="18"/>
        <v>0</v>
      </c>
      <c r="BQ51" s="593">
        <f t="shared" si="19"/>
        <v>0</v>
      </c>
      <c r="BR51" s="593">
        <f t="shared" si="20"/>
        <v>0</v>
      </c>
      <c r="BS51" s="593">
        <f t="shared" si="21"/>
        <v>0</v>
      </c>
      <c r="BT51" s="593">
        <f t="shared" si="22"/>
        <v>0</v>
      </c>
      <c r="BU51" s="593">
        <f t="shared" si="23"/>
        <v>0</v>
      </c>
      <c r="BV51" s="593">
        <f t="shared" si="24"/>
        <v>0</v>
      </c>
      <c r="BW51" s="593">
        <f t="shared" si="25"/>
        <v>0</v>
      </c>
      <c r="BX51" s="593">
        <f t="shared" si="26"/>
        <v>0</v>
      </c>
      <c r="BY51" s="593">
        <f t="shared" si="27"/>
        <v>0</v>
      </c>
      <c r="BZ51" s="593">
        <f t="shared" si="28"/>
        <v>0</v>
      </c>
      <c r="CA51" s="593">
        <f t="shared" si="29"/>
        <v>0</v>
      </c>
      <c r="CB51" s="593">
        <f t="shared" si="30"/>
        <v>0</v>
      </c>
      <c r="CC51" s="593">
        <f t="shared" si="31"/>
        <v>0</v>
      </c>
      <c r="CD51" s="593">
        <f t="shared" si="32"/>
        <v>0</v>
      </c>
      <c r="CE51" s="593">
        <f t="shared" si="32"/>
        <v>0</v>
      </c>
      <c r="CF51" s="595">
        <f t="shared" si="33"/>
        <v>0</v>
      </c>
      <c r="CG51" s="555" t="str">
        <f t="shared" si="34"/>
        <v/>
      </c>
      <c r="CH51" s="530" t="str">
        <f t="shared" si="35"/>
        <v/>
      </c>
      <c r="CI51" s="530" t="str">
        <f t="shared" si="36"/>
        <v/>
      </c>
      <c r="CJ51" s="530" t="str">
        <f t="shared" si="37"/>
        <v/>
      </c>
      <c r="CK51" s="530" t="str">
        <f t="shared" si="38"/>
        <v/>
      </c>
      <c r="CL51" s="530" t="str">
        <f t="shared" si="39"/>
        <v/>
      </c>
      <c r="CM51" s="82" t="str">
        <f t="shared" si="40"/>
        <v/>
      </c>
      <c r="CN51" s="496" t="str">
        <f t="shared" si="3"/>
        <v/>
      </c>
      <c r="CO51" s="496" t="str">
        <f t="shared" si="41"/>
        <v>0</v>
      </c>
      <c r="CP51" s="491">
        <f t="shared" si="42"/>
        <v>0</v>
      </c>
      <c r="CS51" s="496">
        <f t="shared" si="43"/>
        <v>0</v>
      </c>
      <c r="CT51" s="496">
        <f t="shared" si="44"/>
        <v>0</v>
      </c>
      <c r="CU51" s="497" t="str">
        <f t="shared" si="45"/>
        <v>00</v>
      </c>
    </row>
    <row r="52" spans="1:99" ht="6.75" hidden="1" customHeight="1">
      <c r="A52" s="951">
        <v>49</v>
      </c>
      <c r="B52" s="953"/>
      <c r="C52" s="922"/>
      <c r="D52" s="923"/>
      <c r="E52" s="913"/>
      <c r="F52" s="914"/>
      <c r="G52" s="926"/>
      <c r="H52" s="915"/>
      <c r="I52" s="916"/>
      <c r="J52" s="917"/>
      <c r="K52" s="1012"/>
      <c r="L52" s="1012"/>
      <c r="M52" s="1013"/>
      <c r="N52" s="1028" t="str">
        <f t="shared" si="5"/>
        <v>00</v>
      </c>
      <c r="O52" s="406" t="str">
        <f t="shared" si="46"/>
        <v/>
      </c>
      <c r="P52" s="407" t="str">
        <f>IF(O52="","",VLOOKUP(O52,所属コード!$A$2:$E$11,2,FALSE))</f>
        <v/>
      </c>
      <c r="Q52" s="1033" t="str">
        <f>IF(O52="","",VLOOKUP(O52,所属コード!$A$2:$G$11,7,FALSE))</f>
        <v/>
      </c>
      <c r="R52" s="1035"/>
      <c r="S52" s="77"/>
      <c r="T52" s="77"/>
      <c r="U52" s="77"/>
      <c r="V52" s="15"/>
      <c r="X52" s="488"/>
      <c r="Y52" s="945" t="str">
        <f t="shared" si="6"/>
        <v/>
      </c>
      <c r="Z52" s="489" t="str">
        <f t="shared" si="7"/>
        <v/>
      </c>
      <c r="AA52" s="488"/>
      <c r="AB52" s="488"/>
      <c r="AC52" s="488"/>
      <c r="AD52" s="488"/>
      <c r="AE52" s="488"/>
      <c r="AF52" s="488"/>
      <c r="AG52" s="491"/>
      <c r="AH52" s="591"/>
      <c r="AI52" s="592"/>
      <c r="AJ52" s="592"/>
      <c r="AK52" s="592"/>
      <c r="AL52" s="592"/>
      <c r="AM52" s="592"/>
      <c r="AN52" s="592"/>
      <c r="AO52" s="592"/>
      <c r="AP52" s="592"/>
      <c r="AQ52" s="592"/>
      <c r="AR52" s="592"/>
      <c r="AS52" s="592"/>
      <c r="AT52" s="592"/>
      <c r="AU52" s="592"/>
      <c r="AV52" s="592"/>
      <c r="AW52" s="604"/>
      <c r="AX52" s="609">
        <f t="shared" si="8"/>
        <v>0</v>
      </c>
      <c r="AY52" s="602">
        <f t="shared" si="0"/>
        <v>0</v>
      </c>
      <c r="AZ52" s="593">
        <f t="shared" si="1"/>
        <v>0</v>
      </c>
      <c r="BA52" s="594">
        <f t="shared" si="47"/>
        <v>0</v>
      </c>
      <c r="BB52" s="593">
        <f t="shared" si="47"/>
        <v>0</v>
      </c>
      <c r="BC52" s="593">
        <f t="shared" si="9"/>
        <v>0</v>
      </c>
      <c r="BD52" s="593">
        <f t="shared" si="10"/>
        <v>0</v>
      </c>
      <c r="BE52" s="593">
        <f t="shared" si="11"/>
        <v>0</v>
      </c>
      <c r="BF52" s="593">
        <f t="shared" si="12"/>
        <v>0</v>
      </c>
      <c r="BG52" s="593">
        <f t="shared" si="13"/>
        <v>0</v>
      </c>
      <c r="BH52" s="593">
        <f t="shared" si="14"/>
        <v>0</v>
      </c>
      <c r="BI52" s="593">
        <f t="shared" si="14"/>
        <v>0</v>
      </c>
      <c r="BJ52" s="593">
        <f t="shared" si="15"/>
        <v>0</v>
      </c>
      <c r="BK52" s="593">
        <f t="shared" si="15"/>
        <v>0</v>
      </c>
      <c r="BL52" s="593">
        <f t="shared" si="16"/>
        <v>0</v>
      </c>
      <c r="BM52" s="593">
        <f t="shared" si="17"/>
        <v>0</v>
      </c>
      <c r="BN52" s="593">
        <f t="shared" si="17"/>
        <v>0</v>
      </c>
      <c r="BO52" s="593">
        <f t="shared" si="17"/>
        <v>0</v>
      </c>
      <c r="BP52" s="593">
        <f t="shared" si="18"/>
        <v>0</v>
      </c>
      <c r="BQ52" s="593">
        <f t="shared" si="19"/>
        <v>0</v>
      </c>
      <c r="BR52" s="593">
        <f t="shared" si="20"/>
        <v>0</v>
      </c>
      <c r="BS52" s="593">
        <f t="shared" si="21"/>
        <v>0</v>
      </c>
      <c r="BT52" s="593">
        <f t="shared" si="22"/>
        <v>0</v>
      </c>
      <c r="BU52" s="593">
        <f t="shared" si="23"/>
        <v>0</v>
      </c>
      <c r="BV52" s="593">
        <f t="shared" si="24"/>
        <v>0</v>
      </c>
      <c r="BW52" s="593">
        <f t="shared" si="25"/>
        <v>0</v>
      </c>
      <c r="BX52" s="593">
        <f t="shared" si="26"/>
        <v>0</v>
      </c>
      <c r="BY52" s="593">
        <f t="shared" si="27"/>
        <v>0</v>
      </c>
      <c r="BZ52" s="593">
        <f t="shared" si="28"/>
        <v>0</v>
      </c>
      <c r="CA52" s="593">
        <f t="shared" si="29"/>
        <v>0</v>
      </c>
      <c r="CB52" s="593">
        <f t="shared" si="30"/>
        <v>0</v>
      </c>
      <c r="CC52" s="593">
        <f t="shared" si="31"/>
        <v>0</v>
      </c>
      <c r="CD52" s="593">
        <f t="shared" si="32"/>
        <v>0</v>
      </c>
      <c r="CE52" s="593">
        <f t="shared" si="32"/>
        <v>0</v>
      </c>
      <c r="CF52" s="595">
        <f t="shared" si="33"/>
        <v>0</v>
      </c>
      <c r="CG52" s="555" t="str">
        <f t="shared" si="34"/>
        <v/>
      </c>
      <c r="CH52" s="530" t="str">
        <f t="shared" si="35"/>
        <v/>
      </c>
      <c r="CI52" s="530" t="str">
        <f t="shared" si="36"/>
        <v/>
      </c>
      <c r="CJ52" s="530" t="str">
        <f t="shared" si="37"/>
        <v/>
      </c>
      <c r="CK52" s="530" t="str">
        <f t="shared" si="38"/>
        <v/>
      </c>
      <c r="CL52" s="530" t="str">
        <f t="shared" si="39"/>
        <v/>
      </c>
      <c r="CM52" s="82" t="str">
        <f t="shared" si="40"/>
        <v/>
      </c>
      <c r="CN52" s="496" t="str">
        <f t="shared" si="3"/>
        <v/>
      </c>
      <c r="CO52" s="496" t="str">
        <f t="shared" si="41"/>
        <v>0</v>
      </c>
      <c r="CP52" s="491">
        <f t="shared" si="42"/>
        <v>0</v>
      </c>
      <c r="CS52" s="496">
        <f t="shared" si="43"/>
        <v>0</v>
      </c>
      <c r="CT52" s="496">
        <f t="shared" si="44"/>
        <v>0</v>
      </c>
      <c r="CU52" s="497" t="str">
        <f t="shared" si="45"/>
        <v>00</v>
      </c>
    </row>
    <row r="53" spans="1:99" ht="15" hidden="1" customHeight="1">
      <c r="A53" s="951">
        <v>50</v>
      </c>
      <c r="B53" s="953"/>
      <c r="C53" s="922"/>
      <c r="D53" s="923"/>
      <c r="E53" s="913"/>
      <c r="F53" s="914"/>
      <c r="G53" s="926"/>
      <c r="H53" s="921"/>
      <c r="I53" s="916"/>
      <c r="J53" s="917"/>
      <c r="K53" s="1012"/>
      <c r="L53" s="1012"/>
      <c r="M53" s="1013"/>
      <c r="N53" s="1028" t="str">
        <f t="shared" si="5"/>
        <v>00</v>
      </c>
      <c r="O53" s="406" t="str">
        <f t="shared" si="46"/>
        <v/>
      </c>
      <c r="P53" s="407" t="str">
        <f>IF(O53="","",VLOOKUP(O53,所属コード!$A$2:$E$11,2,FALSE))</f>
        <v/>
      </c>
      <c r="Q53" s="1033" t="str">
        <f>IF(O53="","",VLOOKUP(O53,所属コード!$A$2:$G$11,7,FALSE))</f>
        <v/>
      </c>
      <c r="R53" s="1035"/>
      <c r="S53" s="77"/>
      <c r="T53" s="77"/>
      <c r="U53" s="77"/>
      <c r="V53" s="15"/>
      <c r="X53" s="488"/>
      <c r="Y53" s="945" t="str">
        <f t="shared" si="6"/>
        <v/>
      </c>
      <c r="Z53" s="489" t="str">
        <f t="shared" si="7"/>
        <v/>
      </c>
      <c r="AA53" s="488"/>
      <c r="AB53" s="488"/>
      <c r="AC53" s="488"/>
      <c r="AD53" s="488"/>
      <c r="AE53" s="488"/>
      <c r="AF53" s="488"/>
      <c r="AG53" s="491"/>
      <c r="AH53" s="591"/>
      <c r="AI53" s="592"/>
      <c r="AJ53" s="592"/>
      <c r="AK53" s="592"/>
      <c r="AL53" s="592"/>
      <c r="AM53" s="592"/>
      <c r="AN53" s="592"/>
      <c r="AO53" s="592"/>
      <c r="AP53" s="592"/>
      <c r="AQ53" s="592"/>
      <c r="AR53" s="592"/>
      <c r="AS53" s="592"/>
      <c r="AT53" s="592"/>
      <c r="AU53" s="592"/>
      <c r="AV53" s="592"/>
      <c r="AW53" s="604"/>
      <c r="AX53" s="609">
        <f t="shared" si="8"/>
        <v>0</v>
      </c>
      <c r="AY53" s="602">
        <f t="shared" si="0"/>
        <v>0</v>
      </c>
      <c r="AZ53" s="593">
        <f t="shared" si="1"/>
        <v>0</v>
      </c>
      <c r="BA53" s="594">
        <f t="shared" si="47"/>
        <v>0</v>
      </c>
      <c r="BB53" s="593">
        <f t="shared" si="47"/>
        <v>0</v>
      </c>
      <c r="BC53" s="593">
        <f t="shared" si="9"/>
        <v>0</v>
      </c>
      <c r="BD53" s="593">
        <f t="shared" si="10"/>
        <v>0</v>
      </c>
      <c r="BE53" s="593">
        <f t="shared" si="11"/>
        <v>0</v>
      </c>
      <c r="BF53" s="593">
        <f t="shared" si="12"/>
        <v>0</v>
      </c>
      <c r="BG53" s="593">
        <f t="shared" si="13"/>
        <v>0</v>
      </c>
      <c r="BH53" s="593">
        <f t="shared" si="14"/>
        <v>0</v>
      </c>
      <c r="BI53" s="593">
        <f t="shared" si="14"/>
        <v>0</v>
      </c>
      <c r="BJ53" s="593">
        <f t="shared" si="15"/>
        <v>0</v>
      </c>
      <c r="BK53" s="593">
        <f t="shared" si="15"/>
        <v>0</v>
      </c>
      <c r="BL53" s="593">
        <f t="shared" si="16"/>
        <v>0</v>
      </c>
      <c r="BM53" s="593">
        <f t="shared" si="17"/>
        <v>0</v>
      </c>
      <c r="BN53" s="593">
        <f t="shared" si="17"/>
        <v>0</v>
      </c>
      <c r="BO53" s="593">
        <f t="shared" si="17"/>
        <v>0</v>
      </c>
      <c r="BP53" s="593">
        <f t="shared" si="18"/>
        <v>0</v>
      </c>
      <c r="BQ53" s="593">
        <f t="shared" si="19"/>
        <v>0</v>
      </c>
      <c r="BR53" s="593">
        <f t="shared" si="20"/>
        <v>0</v>
      </c>
      <c r="BS53" s="593">
        <f t="shared" si="21"/>
        <v>0</v>
      </c>
      <c r="BT53" s="593">
        <f t="shared" si="22"/>
        <v>0</v>
      </c>
      <c r="BU53" s="593">
        <f t="shared" si="23"/>
        <v>0</v>
      </c>
      <c r="BV53" s="593">
        <f t="shared" si="24"/>
        <v>0</v>
      </c>
      <c r="BW53" s="593">
        <f t="shared" si="25"/>
        <v>0</v>
      </c>
      <c r="BX53" s="593">
        <f t="shared" si="26"/>
        <v>0</v>
      </c>
      <c r="BY53" s="593">
        <f t="shared" si="27"/>
        <v>0</v>
      </c>
      <c r="BZ53" s="593">
        <f t="shared" si="28"/>
        <v>0</v>
      </c>
      <c r="CA53" s="593">
        <f t="shared" si="29"/>
        <v>0</v>
      </c>
      <c r="CB53" s="593">
        <f t="shared" si="30"/>
        <v>0</v>
      </c>
      <c r="CC53" s="593">
        <f t="shared" si="31"/>
        <v>0</v>
      </c>
      <c r="CD53" s="593">
        <f t="shared" si="32"/>
        <v>0</v>
      </c>
      <c r="CE53" s="593">
        <f t="shared" si="32"/>
        <v>0</v>
      </c>
      <c r="CF53" s="595">
        <f t="shared" si="33"/>
        <v>0</v>
      </c>
      <c r="CG53" s="555" t="str">
        <f t="shared" si="34"/>
        <v/>
      </c>
      <c r="CH53" s="530" t="str">
        <f t="shared" si="35"/>
        <v/>
      </c>
      <c r="CI53" s="530" t="str">
        <f t="shared" si="36"/>
        <v/>
      </c>
      <c r="CJ53" s="530" t="str">
        <f t="shared" si="37"/>
        <v/>
      </c>
      <c r="CK53" s="530" t="str">
        <f t="shared" si="38"/>
        <v/>
      </c>
      <c r="CL53" s="530" t="str">
        <f t="shared" si="39"/>
        <v/>
      </c>
      <c r="CM53" s="82" t="str">
        <f t="shared" si="40"/>
        <v/>
      </c>
      <c r="CN53" s="496" t="str">
        <f t="shared" si="3"/>
        <v/>
      </c>
      <c r="CO53" s="496" t="str">
        <f t="shared" si="41"/>
        <v>0</v>
      </c>
      <c r="CP53" s="491">
        <f t="shared" si="42"/>
        <v>0</v>
      </c>
      <c r="CS53" s="496">
        <f t="shared" si="43"/>
        <v>0</v>
      </c>
      <c r="CT53" s="496">
        <f t="shared" si="44"/>
        <v>0</v>
      </c>
      <c r="CU53" s="497" t="str">
        <f t="shared" si="45"/>
        <v>00</v>
      </c>
    </row>
    <row r="54" spans="1:99" ht="15" hidden="1" customHeight="1">
      <c r="A54" s="951">
        <v>51</v>
      </c>
      <c r="B54" s="953"/>
      <c r="C54" s="922"/>
      <c r="D54" s="923"/>
      <c r="E54" s="913"/>
      <c r="F54" s="914"/>
      <c r="G54" s="926"/>
      <c r="H54" s="921"/>
      <c r="I54" s="916"/>
      <c r="J54" s="917"/>
      <c r="K54" s="1012"/>
      <c r="L54" s="1012"/>
      <c r="M54" s="1013"/>
      <c r="N54" s="1028" t="str">
        <f t="shared" si="5"/>
        <v>00</v>
      </c>
      <c r="O54" s="406" t="str">
        <f t="shared" si="46"/>
        <v/>
      </c>
      <c r="P54" s="407" t="str">
        <f>IF(O54="","",VLOOKUP(O54,所属コード!$A$2:$E$11,2,FALSE))</f>
        <v/>
      </c>
      <c r="Q54" s="1033" t="str">
        <f>IF(O54="","",VLOOKUP(O54,所属コード!$A$2:$G$11,7,FALSE))</f>
        <v/>
      </c>
      <c r="R54" s="1035"/>
      <c r="S54" s="77"/>
      <c r="T54" s="77"/>
      <c r="U54" s="77"/>
      <c r="V54" s="15"/>
      <c r="X54" s="488"/>
      <c r="Y54" s="945" t="str">
        <f t="shared" si="6"/>
        <v/>
      </c>
      <c r="Z54" s="489" t="str">
        <f t="shared" si="7"/>
        <v/>
      </c>
      <c r="AA54" s="488"/>
      <c r="AB54" s="488"/>
      <c r="AC54" s="488"/>
      <c r="AD54" s="488"/>
      <c r="AE54" s="488"/>
      <c r="AF54" s="488"/>
      <c r="AG54" s="491"/>
      <c r="AH54" s="591"/>
      <c r="AI54" s="592"/>
      <c r="AJ54" s="592"/>
      <c r="AK54" s="592"/>
      <c r="AL54" s="592"/>
      <c r="AM54" s="592"/>
      <c r="AN54" s="592"/>
      <c r="AO54" s="592"/>
      <c r="AP54" s="592"/>
      <c r="AQ54" s="592"/>
      <c r="AR54" s="592"/>
      <c r="AS54" s="592"/>
      <c r="AT54" s="592"/>
      <c r="AU54" s="592"/>
      <c r="AV54" s="592"/>
      <c r="AW54" s="604"/>
      <c r="AX54" s="609">
        <f t="shared" si="8"/>
        <v>0</v>
      </c>
      <c r="AY54" s="602">
        <f t="shared" si="0"/>
        <v>0</v>
      </c>
      <c r="AZ54" s="593">
        <f t="shared" si="1"/>
        <v>0</v>
      </c>
      <c r="BA54" s="594">
        <f t="shared" si="47"/>
        <v>0</v>
      </c>
      <c r="BB54" s="593">
        <f t="shared" si="47"/>
        <v>0</v>
      </c>
      <c r="BC54" s="593">
        <f t="shared" si="9"/>
        <v>0</v>
      </c>
      <c r="BD54" s="593">
        <f t="shared" si="10"/>
        <v>0</v>
      </c>
      <c r="BE54" s="593">
        <f t="shared" si="11"/>
        <v>0</v>
      </c>
      <c r="BF54" s="593">
        <f t="shared" si="12"/>
        <v>0</v>
      </c>
      <c r="BG54" s="593">
        <f t="shared" si="13"/>
        <v>0</v>
      </c>
      <c r="BH54" s="593">
        <f t="shared" si="14"/>
        <v>0</v>
      </c>
      <c r="BI54" s="593">
        <f t="shared" si="14"/>
        <v>0</v>
      </c>
      <c r="BJ54" s="593">
        <f t="shared" si="15"/>
        <v>0</v>
      </c>
      <c r="BK54" s="593">
        <f t="shared" si="15"/>
        <v>0</v>
      </c>
      <c r="BL54" s="593">
        <f t="shared" si="16"/>
        <v>0</v>
      </c>
      <c r="BM54" s="593">
        <f t="shared" si="17"/>
        <v>0</v>
      </c>
      <c r="BN54" s="593">
        <f t="shared" si="17"/>
        <v>0</v>
      </c>
      <c r="BO54" s="593">
        <f t="shared" si="17"/>
        <v>0</v>
      </c>
      <c r="BP54" s="593">
        <f t="shared" si="18"/>
        <v>0</v>
      </c>
      <c r="BQ54" s="593">
        <f t="shared" si="19"/>
        <v>0</v>
      </c>
      <c r="BR54" s="593">
        <f t="shared" si="20"/>
        <v>0</v>
      </c>
      <c r="BS54" s="593">
        <f t="shared" si="21"/>
        <v>0</v>
      </c>
      <c r="BT54" s="593">
        <f t="shared" si="22"/>
        <v>0</v>
      </c>
      <c r="BU54" s="593">
        <f t="shared" si="23"/>
        <v>0</v>
      </c>
      <c r="BV54" s="593">
        <f t="shared" si="24"/>
        <v>0</v>
      </c>
      <c r="BW54" s="593">
        <f t="shared" si="25"/>
        <v>0</v>
      </c>
      <c r="BX54" s="593">
        <f t="shared" si="26"/>
        <v>0</v>
      </c>
      <c r="BY54" s="593">
        <f t="shared" si="27"/>
        <v>0</v>
      </c>
      <c r="BZ54" s="593">
        <f t="shared" si="28"/>
        <v>0</v>
      </c>
      <c r="CA54" s="593">
        <f t="shared" si="29"/>
        <v>0</v>
      </c>
      <c r="CB54" s="593">
        <f t="shared" si="30"/>
        <v>0</v>
      </c>
      <c r="CC54" s="593">
        <f t="shared" si="31"/>
        <v>0</v>
      </c>
      <c r="CD54" s="593">
        <f t="shared" si="32"/>
        <v>0</v>
      </c>
      <c r="CE54" s="593">
        <f t="shared" si="32"/>
        <v>0</v>
      </c>
      <c r="CF54" s="595">
        <f t="shared" si="33"/>
        <v>0</v>
      </c>
      <c r="CG54" s="555" t="str">
        <f t="shared" si="34"/>
        <v/>
      </c>
      <c r="CH54" s="530" t="str">
        <f t="shared" si="35"/>
        <v/>
      </c>
      <c r="CI54" s="530" t="str">
        <f t="shared" si="36"/>
        <v/>
      </c>
      <c r="CJ54" s="530" t="str">
        <f t="shared" si="37"/>
        <v/>
      </c>
      <c r="CK54" s="530" t="str">
        <f t="shared" si="38"/>
        <v/>
      </c>
      <c r="CL54" s="530" t="str">
        <f t="shared" si="39"/>
        <v/>
      </c>
      <c r="CM54" s="82" t="str">
        <f t="shared" si="40"/>
        <v/>
      </c>
      <c r="CN54" s="496" t="str">
        <f t="shared" si="3"/>
        <v/>
      </c>
      <c r="CO54" s="496" t="str">
        <f t="shared" si="41"/>
        <v>0</v>
      </c>
      <c r="CP54" s="491">
        <f t="shared" si="42"/>
        <v>0</v>
      </c>
      <c r="CS54" s="496">
        <f t="shared" si="43"/>
        <v>0</v>
      </c>
      <c r="CT54" s="496">
        <f t="shared" si="44"/>
        <v>0</v>
      </c>
      <c r="CU54" s="497" t="str">
        <f t="shared" si="45"/>
        <v>00</v>
      </c>
    </row>
    <row r="55" spans="1:99" ht="15" hidden="1" customHeight="1">
      <c r="A55" s="951">
        <v>52</v>
      </c>
      <c r="B55" s="953"/>
      <c r="C55" s="922"/>
      <c r="D55" s="923"/>
      <c r="E55" s="913"/>
      <c r="F55" s="914"/>
      <c r="G55" s="926"/>
      <c r="H55" s="921"/>
      <c r="I55" s="917"/>
      <c r="J55" s="916"/>
      <c r="K55" s="1012"/>
      <c r="L55" s="1012"/>
      <c r="M55" s="1013"/>
      <c r="N55" s="1028" t="str">
        <f t="shared" si="5"/>
        <v>00</v>
      </c>
      <c r="O55" s="406" t="str">
        <f t="shared" si="46"/>
        <v/>
      </c>
      <c r="P55" s="407" t="str">
        <f>IF(O55="","",VLOOKUP(O55,所属コード!$A$2:$E$11,2,FALSE))</f>
        <v/>
      </c>
      <c r="Q55" s="1033" t="str">
        <f>IF(O55="","",VLOOKUP(O55,所属コード!$A$2:$G$11,7,FALSE))</f>
        <v/>
      </c>
      <c r="R55" s="1035"/>
      <c r="S55" s="77"/>
      <c r="T55" s="77"/>
      <c r="U55" s="77"/>
      <c r="V55" s="15"/>
      <c r="X55" s="488"/>
      <c r="Y55" s="945" t="str">
        <f t="shared" si="6"/>
        <v/>
      </c>
      <c r="Z55" s="489" t="str">
        <f t="shared" si="7"/>
        <v/>
      </c>
      <c r="AA55" s="488"/>
      <c r="AB55" s="488"/>
      <c r="AC55" s="488"/>
      <c r="AD55" s="488"/>
      <c r="AE55" s="488"/>
      <c r="AF55" s="488"/>
      <c r="AG55" s="491"/>
      <c r="AH55" s="591"/>
      <c r="AI55" s="592"/>
      <c r="AJ55" s="592"/>
      <c r="AK55" s="592"/>
      <c r="AL55" s="592"/>
      <c r="AM55" s="592"/>
      <c r="AN55" s="592"/>
      <c r="AO55" s="592"/>
      <c r="AP55" s="592"/>
      <c r="AQ55" s="592"/>
      <c r="AR55" s="592"/>
      <c r="AS55" s="592"/>
      <c r="AT55" s="592"/>
      <c r="AU55" s="592"/>
      <c r="AV55" s="592"/>
      <c r="AW55" s="604"/>
      <c r="AX55" s="609">
        <f t="shared" si="8"/>
        <v>0</v>
      </c>
      <c r="AY55" s="602">
        <f t="shared" si="0"/>
        <v>0</v>
      </c>
      <c r="AZ55" s="593">
        <f t="shared" si="1"/>
        <v>0</v>
      </c>
      <c r="BA55" s="594">
        <f t="shared" si="47"/>
        <v>0</v>
      </c>
      <c r="BB55" s="593">
        <f t="shared" si="47"/>
        <v>0</v>
      </c>
      <c r="BC55" s="593">
        <f t="shared" si="9"/>
        <v>0</v>
      </c>
      <c r="BD55" s="593">
        <f t="shared" si="10"/>
        <v>0</v>
      </c>
      <c r="BE55" s="593">
        <f t="shared" si="11"/>
        <v>0</v>
      </c>
      <c r="BF55" s="593">
        <f t="shared" si="12"/>
        <v>0</v>
      </c>
      <c r="BG55" s="593">
        <f t="shared" si="13"/>
        <v>0</v>
      </c>
      <c r="BH55" s="593">
        <f t="shared" si="14"/>
        <v>0</v>
      </c>
      <c r="BI55" s="593">
        <f t="shared" si="14"/>
        <v>0</v>
      </c>
      <c r="BJ55" s="593">
        <f t="shared" si="15"/>
        <v>0</v>
      </c>
      <c r="BK55" s="593">
        <f t="shared" si="15"/>
        <v>0</v>
      </c>
      <c r="BL55" s="593">
        <f t="shared" si="16"/>
        <v>0</v>
      </c>
      <c r="BM55" s="593">
        <f t="shared" si="17"/>
        <v>0</v>
      </c>
      <c r="BN55" s="593">
        <f t="shared" si="17"/>
        <v>0</v>
      </c>
      <c r="BO55" s="593">
        <f t="shared" si="17"/>
        <v>0</v>
      </c>
      <c r="BP55" s="593">
        <f t="shared" si="18"/>
        <v>0</v>
      </c>
      <c r="BQ55" s="593">
        <f t="shared" si="19"/>
        <v>0</v>
      </c>
      <c r="BR55" s="593">
        <f t="shared" si="20"/>
        <v>0</v>
      </c>
      <c r="BS55" s="593">
        <f t="shared" si="21"/>
        <v>0</v>
      </c>
      <c r="BT55" s="593">
        <f t="shared" si="22"/>
        <v>0</v>
      </c>
      <c r="BU55" s="593">
        <f t="shared" si="23"/>
        <v>0</v>
      </c>
      <c r="BV55" s="593">
        <f t="shared" si="24"/>
        <v>0</v>
      </c>
      <c r="BW55" s="593">
        <f t="shared" si="25"/>
        <v>0</v>
      </c>
      <c r="BX55" s="593">
        <f t="shared" si="26"/>
        <v>0</v>
      </c>
      <c r="BY55" s="593">
        <f t="shared" si="27"/>
        <v>0</v>
      </c>
      <c r="BZ55" s="593">
        <f t="shared" si="28"/>
        <v>0</v>
      </c>
      <c r="CA55" s="593">
        <f t="shared" si="29"/>
        <v>0</v>
      </c>
      <c r="CB55" s="593">
        <f t="shared" si="30"/>
        <v>0</v>
      </c>
      <c r="CC55" s="593">
        <f t="shared" si="31"/>
        <v>0</v>
      </c>
      <c r="CD55" s="593">
        <f t="shared" si="32"/>
        <v>0</v>
      </c>
      <c r="CE55" s="593">
        <f t="shared" si="32"/>
        <v>0</v>
      </c>
      <c r="CF55" s="595">
        <f t="shared" si="33"/>
        <v>0</v>
      </c>
      <c r="CG55" s="555" t="str">
        <f t="shared" si="34"/>
        <v/>
      </c>
      <c r="CH55" s="530" t="str">
        <f t="shared" si="35"/>
        <v/>
      </c>
      <c r="CI55" s="530" t="str">
        <f t="shared" si="36"/>
        <v/>
      </c>
      <c r="CJ55" s="530" t="str">
        <f t="shared" si="37"/>
        <v/>
      </c>
      <c r="CK55" s="530" t="str">
        <f t="shared" si="38"/>
        <v/>
      </c>
      <c r="CL55" s="530" t="str">
        <f t="shared" si="39"/>
        <v/>
      </c>
      <c r="CM55" s="82" t="str">
        <f t="shared" si="40"/>
        <v/>
      </c>
      <c r="CN55" s="496" t="str">
        <f t="shared" si="3"/>
        <v/>
      </c>
      <c r="CO55" s="496" t="str">
        <f t="shared" si="41"/>
        <v>0</v>
      </c>
      <c r="CP55" s="491">
        <f t="shared" si="42"/>
        <v>0</v>
      </c>
      <c r="CS55" s="496">
        <f t="shared" si="43"/>
        <v>0</v>
      </c>
      <c r="CT55" s="496">
        <f t="shared" si="44"/>
        <v>0</v>
      </c>
      <c r="CU55" s="497" t="str">
        <f t="shared" si="45"/>
        <v>00</v>
      </c>
    </row>
    <row r="56" spans="1:99" ht="15" hidden="1" customHeight="1">
      <c r="A56" s="951">
        <v>53</v>
      </c>
      <c r="B56" s="953"/>
      <c r="C56" s="922"/>
      <c r="D56" s="923"/>
      <c r="E56" s="913"/>
      <c r="F56" s="914"/>
      <c r="G56" s="926"/>
      <c r="H56" s="921"/>
      <c r="I56" s="917"/>
      <c r="J56" s="916"/>
      <c r="K56" s="1012"/>
      <c r="L56" s="1012"/>
      <c r="M56" s="1013"/>
      <c r="N56" s="1028" t="str">
        <f t="shared" si="5"/>
        <v>00</v>
      </c>
      <c r="O56" s="406" t="str">
        <f t="shared" si="46"/>
        <v/>
      </c>
      <c r="P56" s="407" t="str">
        <f>IF(O56="","",VLOOKUP(O56,所属コード!$A$2:$E$11,2,FALSE))</f>
        <v/>
      </c>
      <c r="Q56" s="1033" t="str">
        <f>IF(O56="","",VLOOKUP(O56,所属コード!$A$2:$G$11,7,FALSE))</f>
        <v/>
      </c>
      <c r="R56" s="1035"/>
      <c r="S56" s="77"/>
      <c r="T56" s="77"/>
      <c r="U56" s="77"/>
      <c r="V56" s="15"/>
      <c r="X56" s="488"/>
      <c r="Y56" s="945" t="str">
        <f t="shared" si="6"/>
        <v/>
      </c>
      <c r="Z56" s="489" t="str">
        <f t="shared" si="7"/>
        <v/>
      </c>
      <c r="AA56" s="488"/>
      <c r="AB56" s="488"/>
      <c r="AC56" s="488"/>
      <c r="AD56" s="488"/>
      <c r="AE56" s="488"/>
      <c r="AF56" s="488"/>
      <c r="AG56" s="491"/>
      <c r="AH56" s="591"/>
      <c r="AI56" s="592"/>
      <c r="AJ56" s="592"/>
      <c r="AK56" s="592"/>
      <c r="AL56" s="592"/>
      <c r="AM56" s="592"/>
      <c r="AN56" s="592"/>
      <c r="AO56" s="592"/>
      <c r="AP56" s="592"/>
      <c r="AQ56" s="592"/>
      <c r="AR56" s="592"/>
      <c r="AS56" s="592"/>
      <c r="AT56" s="592"/>
      <c r="AU56" s="592"/>
      <c r="AV56" s="592"/>
      <c r="AW56" s="604"/>
      <c r="AX56" s="609">
        <f t="shared" si="8"/>
        <v>0</v>
      </c>
      <c r="AY56" s="602">
        <f t="shared" si="0"/>
        <v>0</v>
      </c>
      <c r="AZ56" s="593">
        <f t="shared" si="1"/>
        <v>0</v>
      </c>
      <c r="BA56" s="594">
        <f t="shared" si="47"/>
        <v>0</v>
      </c>
      <c r="BB56" s="593">
        <f t="shared" si="47"/>
        <v>0</v>
      </c>
      <c r="BC56" s="593">
        <f t="shared" si="9"/>
        <v>0</v>
      </c>
      <c r="BD56" s="593">
        <f t="shared" si="10"/>
        <v>0</v>
      </c>
      <c r="BE56" s="593">
        <f t="shared" si="11"/>
        <v>0</v>
      </c>
      <c r="BF56" s="593">
        <f t="shared" si="12"/>
        <v>0</v>
      </c>
      <c r="BG56" s="593">
        <f t="shared" si="13"/>
        <v>0</v>
      </c>
      <c r="BH56" s="593">
        <f t="shared" si="14"/>
        <v>0</v>
      </c>
      <c r="BI56" s="593">
        <f t="shared" si="14"/>
        <v>0</v>
      </c>
      <c r="BJ56" s="593">
        <f t="shared" si="15"/>
        <v>0</v>
      </c>
      <c r="BK56" s="593">
        <f t="shared" si="15"/>
        <v>0</v>
      </c>
      <c r="BL56" s="593">
        <f t="shared" si="16"/>
        <v>0</v>
      </c>
      <c r="BM56" s="593">
        <f t="shared" si="17"/>
        <v>0</v>
      </c>
      <c r="BN56" s="593">
        <f t="shared" si="17"/>
        <v>0</v>
      </c>
      <c r="BO56" s="593">
        <f t="shared" si="17"/>
        <v>0</v>
      </c>
      <c r="BP56" s="593">
        <f t="shared" si="18"/>
        <v>0</v>
      </c>
      <c r="BQ56" s="593">
        <f t="shared" si="19"/>
        <v>0</v>
      </c>
      <c r="BR56" s="593">
        <f t="shared" si="20"/>
        <v>0</v>
      </c>
      <c r="BS56" s="593">
        <f t="shared" si="21"/>
        <v>0</v>
      </c>
      <c r="BT56" s="593">
        <f t="shared" si="22"/>
        <v>0</v>
      </c>
      <c r="BU56" s="593">
        <f t="shared" si="23"/>
        <v>0</v>
      </c>
      <c r="BV56" s="593">
        <f t="shared" si="24"/>
        <v>0</v>
      </c>
      <c r="BW56" s="593">
        <f t="shared" si="25"/>
        <v>0</v>
      </c>
      <c r="BX56" s="593">
        <f t="shared" si="26"/>
        <v>0</v>
      </c>
      <c r="BY56" s="593">
        <f t="shared" si="27"/>
        <v>0</v>
      </c>
      <c r="BZ56" s="593">
        <f t="shared" si="28"/>
        <v>0</v>
      </c>
      <c r="CA56" s="593">
        <f t="shared" si="29"/>
        <v>0</v>
      </c>
      <c r="CB56" s="593">
        <f t="shared" si="30"/>
        <v>0</v>
      </c>
      <c r="CC56" s="593">
        <f t="shared" si="31"/>
        <v>0</v>
      </c>
      <c r="CD56" s="593">
        <f t="shared" si="32"/>
        <v>0</v>
      </c>
      <c r="CE56" s="593">
        <f t="shared" si="32"/>
        <v>0</v>
      </c>
      <c r="CF56" s="595">
        <f t="shared" si="33"/>
        <v>0</v>
      </c>
      <c r="CG56" s="555" t="str">
        <f t="shared" si="34"/>
        <v/>
      </c>
      <c r="CH56" s="530" t="str">
        <f t="shared" si="35"/>
        <v/>
      </c>
      <c r="CI56" s="530" t="str">
        <f t="shared" si="36"/>
        <v/>
      </c>
      <c r="CJ56" s="530" t="str">
        <f t="shared" si="37"/>
        <v/>
      </c>
      <c r="CK56" s="530" t="str">
        <f t="shared" si="38"/>
        <v/>
      </c>
      <c r="CL56" s="530" t="str">
        <f t="shared" si="39"/>
        <v/>
      </c>
      <c r="CM56" s="82" t="str">
        <f t="shared" si="40"/>
        <v/>
      </c>
      <c r="CN56" s="496" t="str">
        <f t="shared" si="3"/>
        <v/>
      </c>
      <c r="CO56" s="496" t="str">
        <f t="shared" si="41"/>
        <v>0</v>
      </c>
      <c r="CP56" s="491">
        <f t="shared" si="42"/>
        <v>0</v>
      </c>
      <c r="CS56" s="496">
        <f t="shared" si="43"/>
        <v>0</v>
      </c>
      <c r="CT56" s="496">
        <f t="shared" si="44"/>
        <v>0</v>
      </c>
      <c r="CU56" s="497" t="str">
        <f t="shared" si="45"/>
        <v>00</v>
      </c>
    </row>
    <row r="57" spans="1:99" ht="15" hidden="1" customHeight="1">
      <c r="A57" s="951">
        <v>54</v>
      </c>
      <c r="B57" s="953"/>
      <c r="C57" s="922"/>
      <c r="D57" s="923"/>
      <c r="E57" s="913"/>
      <c r="F57" s="914"/>
      <c r="G57" s="926"/>
      <c r="H57" s="921"/>
      <c r="I57" s="917"/>
      <c r="J57" s="916"/>
      <c r="K57" s="1012"/>
      <c r="L57" s="1012"/>
      <c r="M57" s="1013"/>
      <c r="N57" s="1028" t="str">
        <f t="shared" si="5"/>
        <v>00</v>
      </c>
      <c r="O57" s="406" t="str">
        <f t="shared" si="46"/>
        <v/>
      </c>
      <c r="P57" s="407" t="str">
        <f>IF(O57="","",VLOOKUP(O57,所属コード!$A$2:$E$11,2,FALSE))</f>
        <v/>
      </c>
      <c r="Q57" s="1033" t="str">
        <f>IF(O57="","",VLOOKUP(O57,所属コード!$A$2:$G$11,7,FALSE))</f>
        <v/>
      </c>
      <c r="R57" s="1035"/>
      <c r="S57" s="77"/>
      <c r="T57" s="77"/>
      <c r="U57" s="77"/>
      <c r="V57" s="15"/>
      <c r="X57" s="488"/>
      <c r="Y57" s="945" t="str">
        <f t="shared" si="6"/>
        <v/>
      </c>
      <c r="Z57" s="489" t="str">
        <f t="shared" si="7"/>
        <v/>
      </c>
      <c r="AA57" s="488"/>
      <c r="AB57" s="488"/>
      <c r="AC57" s="488"/>
      <c r="AD57" s="488"/>
      <c r="AE57" s="488"/>
      <c r="AF57" s="488"/>
      <c r="AG57" s="491"/>
      <c r="AH57" s="591"/>
      <c r="AI57" s="592"/>
      <c r="AJ57" s="592"/>
      <c r="AK57" s="592"/>
      <c r="AL57" s="592"/>
      <c r="AM57" s="592"/>
      <c r="AN57" s="592"/>
      <c r="AO57" s="592"/>
      <c r="AP57" s="592"/>
      <c r="AQ57" s="592"/>
      <c r="AR57" s="592"/>
      <c r="AS57" s="592"/>
      <c r="AT57" s="592"/>
      <c r="AU57" s="592"/>
      <c r="AV57" s="592"/>
      <c r="AW57" s="604"/>
      <c r="AX57" s="609">
        <f t="shared" si="8"/>
        <v>0</v>
      </c>
      <c r="AY57" s="602">
        <f t="shared" si="0"/>
        <v>0</v>
      </c>
      <c r="AZ57" s="593">
        <f t="shared" si="1"/>
        <v>0</v>
      </c>
      <c r="BA57" s="594">
        <f t="shared" si="47"/>
        <v>0</v>
      </c>
      <c r="BB57" s="593">
        <f t="shared" si="47"/>
        <v>0</v>
      </c>
      <c r="BC57" s="593">
        <f t="shared" si="9"/>
        <v>0</v>
      </c>
      <c r="BD57" s="593">
        <f t="shared" si="10"/>
        <v>0</v>
      </c>
      <c r="BE57" s="593">
        <f t="shared" si="11"/>
        <v>0</v>
      </c>
      <c r="BF57" s="593">
        <f t="shared" si="12"/>
        <v>0</v>
      </c>
      <c r="BG57" s="593">
        <f t="shared" si="13"/>
        <v>0</v>
      </c>
      <c r="BH57" s="593">
        <f t="shared" si="14"/>
        <v>0</v>
      </c>
      <c r="BI57" s="593">
        <f t="shared" si="14"/>
        <v>0</v>
      </c>
      <c r="BJ57" s="593">
        <f t="shared" si="15"/>
        <v>0</v>
      </c>
      <c r="BK57" s="593">
        <f t="shared" si="15"/>
        <v>0</v>
      </c>
      <c r="BL57" s="593">
        <f t="shared" si="16"/>
        <v>0</v>
      </c>
      <c r="BM57" s="593">
        <f t="shared" si="17"/>
        <v>0</v>
      </c>
      <c r="BN57" s="593">
        <f t="shared" si="17"/>
        <v>0</v>
      </c>
      <c r="BO57" s="593">
        <f t="shared" si="17"/>
        <v>0</v>
      </c>
      <c r="BP57" s="593">
        <f t="shared" si="18"/>
        <v>0</v>
      </c>
      <c r="BQ57" s="593">
        <f t="shared" si="19"/>
        <v>0</v>
      </c>
      <c r="BR57" s="593">
        <f t="shared" si="20"/>
        <v>0</v>
      </c>
      <c r="BS57" s="593">
        <f t="shared" si="21"/>
        <v>0</v>
      </c>
      <c r="BT57" s="593">
        <f t="shared" si="22"/>
        <v>0</v>
      </c>
      <c r="BU57" s="593">
        <f t="shared" si="23"/>
        <v>0</v>
      </c>
      <c r="BV57" s="593">
        <f t="shared" si="24"/>
        <v>0</v>
      </c>
      <c r="BW57" s="593">
        <f t="shared" si="25"/>
        <v>0</v>
      </c>
      <c r="BX57" s="593">
        <f t="shared" si="26"/>
        <v>0</v>
      </c>
      <c r="BY57" s="593">
        <f t="shared" si="27"/>
        <v>0</v>
      </c>
      <c r="BZ57" s="593">
        <f t="shared" si="28"/>
        <v>0</v>
      </c>
      <c r="CA57" s="593">
        <f t="shared" si="29"/>
        <v>0</v>
      </c>
      <c r="CB57" s="593">
        <f t="shared" si="30"/>
        <v>0</v>
      </c>
      <c r="CC57" s="593">
        <f t="shared" si="31"/>
        <v>0</v>
      </c>
      <c r="CD57" s="593">
        <f t="shared" si="32"/>
        <v>0</v>
      </c>
      <c r="CE57" s="593">
        <f t="shared" si="32"/>
        <v>0</v>
      </c>
      <c r="CF57" s="595">
        <f t="shared" si="33"/>
        <v>0</v>
      </c>
      <c r="CG57" s="555" t="str">
        <f t="shared" si="34"/>
        <v/>
      </c>
      <c r="CH57" s="530" t="str">
        <f t="shared" si="35"/>
        <v/>
      </c>
      <c r="CI57" s="530" t="str">
        <f t="shared" si="36"/>
        <v/>
      </c>
      <c r="CJ57" s="530" t="str">
        <f t="shared" si="37"/>
        <v/>
      </c>
      <c r="CK57" s="530" t="str">
        <f t="shared" si="38"/>
        <v/>
      </c>
      <c r="CL57" s="530" t="str">
        <f t="shared" si="39"/>
        <v/>
      </c>
      <c r="CM57" s="82" t="str">
        <f t="shared" si="40"/>
        <v/>
      </c>
      <c r="CN57" s="496" t="str">
        <f t="shared" si="3"/>
        <v/>
      </c>
      <c r="CO57" s="496" t="str">
        <f t="shared" si="41"/>
        <v>0</v>
      </c>
      <c r="CP57" s="491">
        <f t="shared" si="42"/>
        <v>0</v>
      </c>
      <c r="CS57" s="496">
        <f t="shared" si="43"/>
        <v>0</v>
      </c>
      <c r="CT57" s="496">
        <f t="shared" si="44"/>
        <v>0</v>
      </c>
      <c r="CU57" s="497" t="str">
        <f t="shared" si="45"/>
        <v>00</v>
      </c>
    </row>
    <row r="58" spans="1:99" ht="15" hidden="1" customHeight="1">
      <c r="A58" s="951">
        <v>55</v>
      </c>
      <c r="B58" s="953"/>
      <c r="C58" s="922"/>
      <c r="D58" s="923"/>
      <c r="E58" s="913"/>
      <c r="F58" s="914"/>
      <c r="G58" s="926"/>
      <c r="H58" s="921"/>
      <c r="I58" s="917"/>
      <c r="J58" s="916"/>
      <c r="K58" s="1012"/>
      <c r="L58" s="1012"/>
      <c r="M58" s="1013"/>
      <c r="N58" s="1028" t="str">
        <f t="shared" si="5"/>
        <v>00</v>
      </c>
      <c r="O58" s="406" t="str">
        <f t="shared" si="46"/>
        <v/>
      </c>
      <c r="P58" s="407" t="str">
        <f>IF(O58="","",VLOOKUP(O58,所属コード!$A$2:$E$11,2,FALSE))</f>
        <v/>
      </c>
      <c r="Q58" s="1033" t="str">
        <f>IF(O58="","",VLOOKUP(O58,所属コード!$A$2:$G$11,7,FALSE))</f>
        <v/>
      </c>
      <c r="R58" s="1035"/>
      <c r="S58" s="77"/>
      <c r="T58" s="77"/>
      <c r="U58" s="77"/>
      <c r="V58" s="15"/>
      <c r="X58" s="488"/>
      <c r="Y58" s="945" t="str">
        <f t="shared" si="6"/>
        <v/>
      </c>
      <c r="Z58" s="489" t="str">
        <f t="shared" si="7"/>
        <v/>
      </c>
      <c r="AA58" s="488"/>
      <c r="AB58" s="488"/>
      <c r="AC58" s="488"/>
      <c r="AD58" s="488"/>
      <c r="AE58" s="488"/>
      <c r="AF58" s="488"/>
      <c r="AG58" s="491"/>
      <c r="AH58" s="591"/>
      <c r="AI58" s="592"/>
      <c r="AJ58" s="592"/>
      <c r="AK58" s="592"/>
      <c r="AL58" s="592"/>
      <c r="AM58" s="592"/>
      <c r="AN58" s="592"/>
      <c r="AO58" s="592"/>
      <c r="AP58" s="592"/>
      <c r="AQ58" s="592"/>
      <c r="AR58" s="592"/>
      <c r="AS58" s="592"/>
      <c r="AT58" s="592"/>
      <c r="AU58" s="592"/>
      <c r="AV58" s="592"/>
      <c r="AW58" s="604"/>
      <c r="AX58" s="609">
        <f t="shared" si="8"/>
        <v>0</v>
      </c>
      <c r="AY58" s="602">
        <f t="shared" si="0"/>
        <v>0</v>
      </c>
      <c r="AZ58" s="593">
        <f t="shared" si="1"/>
        <v>0</v>
      </c>
      <c r="BA58" s="594">
        <f t="shared" si="47"/>
        <v>0</v>
      </c>
      <c r="BB58" s="593">
        <f t="shared" si="47"/>
        <v>0</v>
      </c>
      <c r="BC58" s="593">
        <f t="shared" si="9"/>
        <v>0</v>
      </c>
      <c r="BD58" s="593">
        <f t="shared" si="10"/>
        <v>0</v>
      </c>
      <c r="BE58" s="593">
        <f t="shared" si="11"/>
        <v>0</v>
      </c>
      <c r="BF58" s="593">
        <f t="shared" si="12"/>
        <v>0</v>
      </c>
      <c r="BG58" s="593">
        <f t="shared" si="13"/>
        <v>0</v>
      </c>
      <c r="BH58" s="593">
        <f t="shared" si="14"/>
        <v>0</v>
      </c>
      <c r="BI58" s="593">
        <f t="shared" si="14"/>
        <v>0</v>
      </c>
      <c r="BJ58" s="593">
        <f t="shared" si="15"/>
        <v>0</v>
      </c>
      <c r="BK58" s="593">
        <f t="shared" si="15"/>
        <v>0</v>
      </c>
      <c r="BL58" s="593">
        <f t="shared" si="16"/>
        <v>0</v>
      </c>
      <c r="BM58" s="593">
        <f t="shared" si="17"/>
        <v>0</v>
      </c>
      <c r="BN58" s="593">
        <f t="shared" si="17"/>
        <v>0</v>
      </c>
      <c r="BO58" s="593">
        <f t="shared" si="17"/>
        <v>0</v>
      </c>
      <c r="BP58" s="593">
        <f t="shared" si="18"/>
        <v>0</v>
      </c>
      <c r="BQ58" s="593">
        <f t="shared" si="19"/>
        <v>0</v>
      </c>
      <c r="BR58" s="593">
        <f t="shared" si="20"/>
        <v>0</v>
      </c>
      <c r="BS58" s="593">
        <f t="shared" si="21"/>
        <v>0</v>
      </c>
      <c r="BT58" s="593">
        <f t="shared" si="22"/>
        <v>0</v>
      </c>
      <c r="BU58" s="593">
        <f t="shared" si="23"/>
        <v>0</v>
      </c>
      <c r="BV58" s="593">
        <f t="shared" si="24"/>
        <v>0</v>
      </c>
      <c r="BW58" s="593">
        <f t="shared" si="25"/>
        <v>0</v>
      </c>
      <c r="BX58" s="593">
        <f t="shared" si="26"/>
        <v>0</v>
      </c>
      <c r="BY58" s="593">
        <f t="shared" si="27"/>
        <v>0</v>
      </c>
      <c r="BZ58" s="593">
        <f t="shared" si="28"/>
        <v>0</v>
      </c>
      <c r="CA58" s="593">
        <f t="shared" si="29"/>
        <v>0</v>
      </c>
      <c r="CB58" s="593">
        <f t="shared" si="30"/>
        <v>0</v>
      </c>
      <c r="CC58" s="593">
        <f t="shared" si="31"/>
        <v>0</v>
      </c>
      <c r="CD58" s="593">
        <f t="shared" si="32"/>
        <v>0</v>
      </c>
      <c r="CE58" s="593">
        <f t="shared" si="32"/>
        <v>0</v>
      </c>
      <c r="CF58" s="595">
        <f t="shared" si="33"/>
        <v>0</v>
      </c>
      <c r="CG58" s="555" t="str">
        <f t="shared" si="34"/>
        <v/>
      </c>
      <c r="CH58" s="530" t="str">
        <f t="shared" si="35"/>
        <v/>
      </c>
      <c r="CI58" s="530" t="str">
        <f t="shared" si="36"/>
        <v/>
      </c>
      <c r="CJ58" s="530" t="str">
        <f t="shared" si="37"/>
        <v/>
      </c>
      <c r="CK58" s="530" t="str">
        <f t="shared" si="38"/>
        <v/>
      </c>
      <c r="CL58" s="530" t="str">
        <f t="shared" si="39"/>
        <v/>
      </c>
      <c r="CM58" s="82" t="str">
        <f t="shared" si="40"/>
        <v/>
      </c>
      <c r="CN58" s="496" t="str">
        <f t="shared" si="3"/>
        <v/>
      </c>
      <c r="CO58" s="496" t="str">
        <f t="shared" si="41"/>
        <v>0</v>
      </c>
      <c r="CP58" s="491">
        <f t="shared" si="42"/>
        <v>0</v>
      </c>
      <c r="CS58" s="496">
        <f t="shared" si="43"/>
        <v>0</v>
      </c>
      <c r="CT58" s="496">
        <f t="shared" si="44"/>
        <v>0</v>
      </c>
      <c r="CU58" s="497" t="str">
        <f t="shared" si="45"/>
        <v>00</v>
      </c>
    </row>
    <row r="59" spans="1:99" ht="15" hidden="1" customHeight="1">
      <c r="A59" s="951">
        <v>56</v>
      </c>
      <c r="B59" s="953"/>
      <c r="C59" s="922"/>
      <c r="D59" s="923"/>
      <c r="E59" s="913"/>
      <c r="F59" s="914"/>
      <c r="G59" s="926"/>
      <c r="H59" s="921"/>
      <c r="I59" s="917"/>
      <c r="J59" s="916"/>
      <c r="K59" s="1012"/>
      <c r="L59" s="1012"/>
      <c r="M59" s="1013"/>
      <c r="N59" s="1028" t="str">
        <f t="shared" si="5"/>
        <v>00</v>
      </c>
      <c r="O59" s="406" t="str">
        <f t="shared" si="46"/>
        <v/>
      </c>
      <c r="P59" s="407" t="str">
        <f>IF(O59="","",VLOOKUP(O59,所属コード!$A$2:$E$11,2,FALSE))</f>
        <v/>
      </c>
      <c r="Q59" s="1033" t="str">
        <f>IF(O59="","",VLOOKUP(O59,所属コード!$A$2:$G$11,7,FALSE))</f>
        <v/>
      </c>
      <c r="R59" s="1035"/>
      <c r="S59" s="77"/>
      <c r="T59" s="77"/>
      <c r="U59" s="77"/>
      <c r="V59" s="15"/>
      <c r="X59" s="488"/>
      <c r="Y59" s="945" t="str">
        <f t="shared" si="6"/>
        <v/>
      </c>
      <c r="Z59" s="489" t="str">
        <f t="shared" si="7"/>
        <v/>
      </c>
      <c r="AA59" s="488"/>
      <c r="AB59" s="488"/>
      <c r="AC59" s="488"/>
      <c r="AD59" s="488"/>
      <c r="AE59" s="488"/>
      <c r="AF59" s="488"/>
      <c r="AG59" s="491"/>
      <c r="AH59" s="591"/>
      <c r="AI59" s="592"/>
      <c r="AJ59" s="592"/>
      <c r="AK59" s="592"/>
      <c r="AL59" s="592"/>
      <c r="AM59" s="592"/>
      <c r="AN59" s="592"/>
      <c r="AO59" s="592"/>
      <c r="AP59" s="592"/>
      <c r="AQ59" s="592"/>
      <c r="AR59" s="592"/>
      <c r="AS59" s="592"/>
      <c r="AT59" s="592"/>
      <c r="AU59" s="592"/>
      <c r="AV59" s="592"/>
      <c r="AW59" s="604"/>
      <c r="AX59" s="609">
        <f t="shared" si="8"/>
        <v>0</v>
      </c>
      <c r="AY59" s="602">
        <f t="shared" si="0"/>
        <v>0</v>
      </c>
      <c r="AZ59" s="593">
        <f t="shared" si="1"/>
        <v>0</v>
      </c>
      <c r="BA59" s="594">
        <f t="shared" si="47"/>
        <v>0</v>
      </c>
      <c r="BB59" s="593">
        <f t="shared" si="47"/>
        <v>0</v>
      </c>
      <c r="BC59" s="593">
        <f t="shared" si="9"/>
        <v>0</v>
      </c>
      <c r="BD59" s="593">
        <f t="shared" si="10"/>
        <v>0</v>
      </c>
      <c r="BE59" s="593">
        <f t="shared" si="11"/>
        <v>0</v>
      </c>
      <c r="BF59" s="593">
        <f t="shared" si="12"/>
        <v>0</v>
      </c>
      <c r="BG59" s="593">
        <f t="shared" si="13"/>
        <v>0</v>
      </c>
      <c r="BH59" s="593">
        <f t="shared" si="14"/>
        <v>0</v>
      </c>
      <c r="BI59" s="593">
        <f t="shared" si="14"/>
        <v>0</v>
      </c>
      <c r="BJ59" s="593">
        <f t="shared" si="15"/>
        <v>0</v>
      </c>
      <c r="BK59" s="593">
        <f t="shared" si="15"/>
        <v>0</v>
      </c>
      <c r="BL59" s="593">
        <f t="shared" si="16"/>
        <v>0</v>
      </c>
      <c r="BM59" s="593">
        <f t="shared" si="17"/>
        <v>0</v>
      </c>
      <c r="BN59" s="593">
        <f t="shared" si="17"/>
        <v>0</v>
      </c>
      <c r="BO59" s="593">
        <f t="shared" si="17"/>
        <v>0</v>
      </c>
      <c r="BP59" s="593">
        <f t="shared" si="18"/>
        <v>0</v>
      </c>
      <c r="BQ59" s="593">
        <f t="shared" si="19"/>
        <v>0</v>
      </c>
      <c r="BR59" s="593">
        <f t="shared" si="20"/>
        <v>0</v>
      </c>
      <c r="BS59" s="593">
        <f t="shared" si="21"/>
        <v>0</v>
      </c>
      <c r="BT59" s="593">
        <f t="shared" si="22"/>
        <v>0</v>
      </c>
      <c r="BU59" s="593">
        <f t="shared" si="23"/>
        <v>0</v>
      </c>
      <c r="BV59" s="593">
        <f t="shared" si="24"/>
        <v>0</v>
      </c>
      <c r="BW59" s="593">
        <f t="shared" si="25"/>
        <v>0</v>
      </c>
      <c r="BX59" s="593">
        <f t="shared" si="26"/>
        <v>0</v>
      </c>
      <c r="BY59" s="593">
        <f t="shared" si="27"/>
        <v>0</v>
      </c>
      <c r="BZ59" s="593">
        <f t="shared" si="28"/>
        <v>0</v>
      </c>
      <c r="CA59" s="593">
        <f t="shared" si="29"/>
        <v>0</v>
      </c>
      <c r="CB59" s="593">
        <f t="shared" si="30"/>
        <v>0</v>
      </c>
      <c r="CC59" s="593">
        <f t="shared" si="31"/>
        <v>0</v>
      </c>
      <c r="CD59" s="593">
        <f t="shared" si="32"/>
        <v>0</v>
      </c>
      <c r="CE59" s="593">
        <f t="shared" si="32"/>
        <v>0</v>
      </c>
      <c r="CF59" s="595">
        <f t="shared" si="33"/>
        <v>0</v>
      </c>
      <c r="CG59" s="555" t="str">
        <f t="shared" si="34"/>
        <v/>
      </c>
      <c r="CH59" s="530" t="str">
        <f t="shared" si="35"/>
        <v/>
      </c>
      <c r="CI59" s="530" t="str">
        <f t="shared" si="36"/>
        <v/>
      </c>
      <c r="CJ59" s="530" t="str">
        <f t="shared" si="37"/>
        <v/>
      </c>
      <c r="CK59" s="530" t="str">
        <f t="shared" si="38"/>
        <v/>
      </c>
      <c r="CL59" s="530" t="str">
        <f t="shared" si="39"/>
        <v/>
      </c>
      <c r="CM59" s="82" t="str">
        <f t="shared" si="40"/>
        <v/>
      </c>
      <c r="CN59" s="496" t="str">
        <f t="shared" si="3"/>
        <v/>
      </c>
      <c r="CO59" s="496" t="str">
        <f t="shared" si="41"/>
        <v>0</v>
      </c>
      <c r="CP59" s="491">
        <f t="shared" si="42"/>
        <v>0</v>
      </c>
      <c r="CS59" s="496">
        <f t="shared" si="43"/>
        <v>0</v>
      </c>
      <c r="CT59" s="496">
        <f t="shared" si="44"/>
        <v>0</v>
      </c>
      <c r="CU59" s="497" t="str">
        <f t="shared" si="45"/>
        <v>00</v>
      </c>
    </row>
    <row r="60" spans="1:99" ht="15" hidden="1" customHeight="1">
      <c r="A60" s="951">
        <v>57</v>
      </c>
      <c r="B60" s="953"/>
      <c r="C60" s="922"/>
      <c r="D60" s="923"/>
      <c r="E60" s="913"/>
      <c r="F60" s="914"/>
      <c r="G60" s="926"/>
      <c r="H60" s="921"/>
      <c r="I60" s="917"/>
      <c r="J60" s="916"/>
      <c r="K60" s="1012"/>
      <c r="L60" s="1012"/>
      <c r="M60" s="1013"/>
      <c r="N60" s="1028" t="str">
        <f t="shared" si="5"/>
        <v>00</v>
      </c>
      <c r="O60" s="406" t="str">
        <f t="shared" si="46"/>
        <v/>
      </c>
      <c r="P60" s="407" t="str">
        <f>IF(O60="","",VLOOKUP(O60,所属コード!$A$2:$E$11,2,FALSE))</f>
        <v/>
      </c>
      <c r="Q60" s="1033" t="str">
        <f>IF(O60="","",VLOOKUP(O60,所属コード!$A$2:$G$11,7,FALSE))</f>
        <v/>
      </c>
      <c r="R60" s="1035"/>
      <c r="S60" s="77"/>
      <c r="T60" s="77"/>
      <c r="U60" s="77"/>
      <c r="V60" s="15"/>
      <c r="X60" s="488"/>
      <c r="Y60" s="945" t="str">
        <f t="shared" si="6"/>
        <v/>
      </c>
      <c r="Z60" s="489" t="str">
        <f t="shared" si="7"/>
        <v/>
      </c>
      <c r="AA60" s="488"/>
      <c r="AB60" s="488"/>
      <c r="AC60" s="488"/>
      <c r="AD60" s="488"/>
      <c r="AE60" s="488"/>
      <c r="AF60" s="488"/>
      <c r="AG60" s="491"/>
      <c r="AH60" s="591"/>
      <c r="AI60" s="592"/>
      <c r="AJ60" s="592"/>
      <c r="AK60" s="592"/>
      <c r="AL60" s="592"/>
      <c r="AM60" s="592"/>
      <c r="AN60" s="592"/>
      <c r="AO60" s="592"/>
      <c r="AP60" s="592"/>
      <c r="AQ60" s="592"/>
      <c r="AR60" s="592"/>
      <c r="AS60" s="592"/>
      <c r="AT60" s="592"/>
      <c r="AU60" s="592"/>
      <c r="AV60" s="592"/>
      <c r="AW60" s="604"/>
      <c r="AX60" s="609">
        <f t="shared" si="8"/>
        <v>0</v>
      </c>
      <c r="AY60" s="602">
        <f t="shared" si="0"/>
        <v>0</v>
      </c>
      <c r="AZ60" s="593">
        <f t="shared" si="1"/>
        <v>0</v>
      </c>
      <c r="BA60" s="594">
        <f t="shared" si="47"/>
        <v>0</v>
      </c>
      <c r="BB60" s="593">
        <f t="shared" si="47"/>
        <v>0</v>
      </c>
      <c r="BC60" s="593">
        <f t="shared" si="9"/>
        <v>0</v>
      </c>
      <c r="BD60" s="593">
        <f t="shared" si="10"/>
        <v>0</v>
      </c>
      <c r="BE60" s="593">
        <f t="shared" si="11"/>
        <v>0</v>
      </c>
      <c r="BF60" s="593">
        <f t="shared" si="12"/>
        <v>0</v>
      </c>
      <c r="BG60" s="593">
        <f t="shared" si="13"/>
        <v>0</v>
      </c>
      <c r="BH60" s="593">
        <f t="shared" si="14"/>
        <v>0</v>
      </c>
      <c r="BI60" s="593">
        <f t="shared" si="14"/>
        <v>0</v>
      </c>
      <c r="BJ60" s="593">
        <f t="shared" si="15"/>
        <v>0</v>
      </c>
      <c r="BK60" s="593">
        <f t="shared" si="15"/>
        <v>0</v>
      </c>
      <c r="BL60" s="593">
        <f t="shared" si="16"/>
        <v>0</v>
      </c>
      <c r="BM60" s="593">
        <f t="shared" si="17"/>
        <v>0</v>
      </c>
      <c r="BN60" s="593">
        <f t="shared" si="17"/>
        <v>0</v>
      </c>
      <c r="BO60" s="593">
        <f t="shared" si="17"/>
        <v>0</v>
      </c>
      <c r="BP60" s="593">
        <f t="shared" si="18"/>
        <v>0</v>
      </c>
      <c r="BQ60" s="593">
        <f t="shared" si="19"/>
        <v>0</v>
      </c>
      <c r="BR60" s="593">
        <f t="shared" si="20"/>
        <v>0</v>
      </c>
      <c r="BS60" s="593">
        <f t="shared" si="21"/>
        <v>0</v>
      </c>
      <c r="BT60" s="593">
        <f t="shared" si="22"/>
        <v>0</v>
      </c>
      <c r="BU60" s="593">
        <f t="shared" si="23"/>
        <v>0</v>
      </c>
      <c r="BV60" s="593">
        <f t="shared" si="24"/>
        <v>0</v>
      </c>
      <c r="BW60" s="593">
        <f t="shared" si="25"/>
        <v>0</v>
      </c>
      <c r="BX60" s="593">
        <f t="shared" si="26"/>
        <v>0</v>
      </c>
      <c r="BY60" s="593">
        <f t="shared" si="27"/>
        <v>0</v>
      </c>
      <c r="BZ60" s="593">
        <f t="shared" si="28"/>
        <v>0</v>
      </c>
      <c r="CA60" s="593">
        <f t="shared" si="29"/>
        <v>0</v>
      </c>
      <c r="CB60" s="593">
        <f t="shared" si="30"/>
        <v>0</v>
      </c>
      <c r="CC60" s="593">
        <f t="shared" si="31"/>
        <v>0</v>
      </c>
      <c r="CD60" s="593">
        <f t="shared" si="32"/>
        <v>0</v>
      </c>
      <c r="CE60" s="593">
        <f t="shared" si="32"/>
        <v>0</v>
      </c>
      <c r="CF60" s="595">
        <f t="shared" si="33"/>
        <v>0</v>
      </c>
      <c r="CG60" s="555" t="str">
        <f t="shared" si="34"/>
        <v/>
      </c>
      <c r="CH60" s="530" t="str">
        <f t="shared" si="35"/>
        <v/>
      </c>
      <c r="CI60" s="530" t="str">
        <f t="shared" si="36"/>
        <v/>
      </c>
      <c r="CJ60" s="530" t="str">
        <f t="shared" si="37"/>
        <v/>
      </c>
      <c r="CK60" s="530" t="str">
        <f t="shared" si="38"/>
        <v/>
      </c>
      <c r="CL60" s="530" t="str">
        <f t="shared" si="39"/>
        <v/>
      </c>
      <c r="CM60" s="82" t="str">
        <f t="shared" si="40"/>
        <v/>
      </c>
      <c r="CN60" s="496" t="str">
        <f t="shared" si="3"/>
        <v/>
      </c>
      <c r="CO60" s="496" t="str">
        <f t="shared" si="41"/>
        <v>0</v>
      </c>
      <c r="CP60" s="491">
        <f t="shared" si="42"/>
        <v>0</v>
      </c>
      <c r="CS60" s="496">
        <f t="shared" si="43"/>
        <v>0</v>
      </c>
      <c r="CT60" s="496">
        <f t="shared" si="44"/>
        <v>0</v>
      </c>
      <c r="CU60" s="497" t="str">
        <f t="shared" si="45"/>
        <v>00</v>
      </c>
    </row>
    <row r="61" spans="1:99" ht="15" hidden="1" customHeight="1">
      <c r="A61" s="951">
        <v>58</v>
      </c>
      <c r="B61" s="953"/>
      <c r="C61" s="922"/>
      <c r="D61" s="923"/>
      <c r="E61" s="913"/>
      <c r="F61" s="914"/>
      <c r="G61" s="926"/>
      <c r="H61" s="921"/>
      <c r="I61" s="917"/>
      <c r="J61" s="916"/>
      <c r="K61" s="1012"/>
      <c r="L61" s="1012"/>
      <c r="M61" s="1013"/>
      <c r="N61" s="1028" t="str">
        <f t="shared" si="5"/>
        <v>00</v>
      </c>
      <c r="O61" s="406" t="str">
        <f t="shared" si="46"/>
        <v/>
      </c>
      <c r="P61" s="407" t="str">
        <f>IF(O61="","",VLOOKUP(O61,所属コード!$A$2:$E$11,2,FALSE))</f>
        <v/>
      </c>
      <c r="Q61" s="1033" t="str">
        <f>IF(O61="","",VLOOKUP(O61,所属コード!$A$2:$G$11,7,FALSE))</f>
        <v/>
      </c>
      <c r="R61" s="1035"/>
      <c r="S61" s="77"/>
      <c r="T61" s="77"/>
      <c r="U61" s="77"/>
      <c r="V61" s="15"/>
      <c r="X61" s="488"/>
      <c r="Y61" s="945" t="str">
        <f t="shared" si="6"/>
        <v/>
      </c>
      <c r="Z61" s="489" t="str">
        <f t="shared" si="7"/>
        <v/>
      </c>
      <c r="AA61" s="488"/>
      <c r="AB61" s="488"/>
      <c r="AC61" s="488"/>
      <c r="AD61" s="488"/>
      <c r="AE61" s="488"/>
      <c r="AF61" s="488"/>
      <c r="AG61" s="491"/>
      <c r="AH61" s="591"/>
      <c r="AI61" s="592"/>
      <c r="AJ61" s="592"/>
      <c r="AK61" s="592"/>
      <c r="AL61" s="592"/>
      <c r="AM61" s="592"/>
      <c r="AN61" s="592"/>
      <c r="AO61" s="592"/>
      <c r="AP61" s="592"/>
      <c r="AQ61" s="592"/>
      <c r="AR61" s="592"/>
      <c r="AS61" s="592"/>
      <c r="AT61" s="592"/>
      <c r="AU61" s="592"/>
      <c r="AV61" s="592"/>
      <c r="AW61" s="604"/>
      <c r="AX61" s="609">
        <f t="shared" si="8"/>
        <v>0</v>
      </c>
      <c r="AY61" s="602">
        <f t="shared" si="0"/>
        <v>0</v>
      </c>
      <c r="AZ61" s="593">
        <f t="shared" si="1"/>
        <v>0</v>
      </c>
      <c r="BA61" s="594">
        <f t="shared" si="47"/>
        <v>0</v>
      </c>
      <c r="BB61" s="593">
        <f t="shared" si="47"/>
        <v>0</v>
      </c>
      <c r="BC61" s="593">
        <f t="shared" si="9"/>
        <v>0</v>
      </c>
      <c r="BD61" s="593">
        <f t="shared" si="10"/>
        <v>0</v>
      </c>
      <c r="BE61" s="593">
        <f t="shared" si="11"/>
        <v>0</v>
      </c>
      <c r="BF61" s="593">
        <f t="shared" si="12"/>
        <v>0</v>
      </c>
      <c r="BG61" s="593">
        <f t="shared" si="13"/>
        <v>0</v>
      </c>
      <c r="BH61" s="593">
        <f t="shared" si="14"/>
        <v>0</v>
      </c>
      <c r="BI61" s="593">
        <f t="shared" si="14"/>
        <v>0</v>
      </c>
      <c r="BJ61" s="593">
        <f t="shared" si="15"/>
        <v>0</v>
      </c>
      <c r="BK61" s="593">
        <f t="shared" si="15"/>
        <v>0</v>
      </c>
      <c r="BL61" s="593">
        <f t="shared" si="16"/>
        <v>0</v>
      </c>
      <c r="BM61" s="593">
        <f t="shared" si="17"/>
        <v>0</v>
      </c>
      <c r="BN61" s="593">
        <f t="shared" si="17"/>
        <v>0</v>
      </c>
      <c r="BO61" s="593">
        <f t="shared" si="17"/>
        <v>0</v>
      </c>
      <c r="BP61" s="593">
        <f t="shared" si="18"/>
        <v>0</v>
      </c>
      <c r="BQ61" s="593">
        <f t="shared" si="19"/>
        <v>0</v>
      </c>
      <c r="BR61" s="593">
        <f t="shared" si="20"/>
        <v>0</v>
      </c>
      <c r="BS61" s="593">
        <f t="shared" si="21"/>
        <v>0</v>
      </c>
      <c r="BT61" s="593">
        <f t="shared" si="22"/>
        <v>0</v>
      </c>
      <c r="BU61" s="593">
        <f t="shared" si="23"/>
        <v>0</v>
      </c>
      <c r="BV61" s="593">
        <f t="shared" si="24"/>
        <v>0</v>
      </c>
      <c r="BW61" s="593">
        <f t="shared" si="25"/>
        <v>0</v>
      </c>
      <c r="BX61" s="593">
        <f t="shared" si="26"/>
        <v>0</v>
      </c>
      <c r="BY61" s="593">
        <f t="shared" si="27"/>
        <v>0</v>
      </c>
      <c r="BZ61" s="593">
        <f t="shared" si="28"/>
        <v>0</v>
      </c>
      <c r="CA61" s="593">
        <f t="shared" si="29"/>
        <v>0</v>
      </c>
      <c r="CB61" s="593">
        <f t="shared" si="30"/>
        <v>0</v>
      </c>
      <c r="CC61" s="593">
        <f t="shared" si="31"/>
        <v>0</v>
      </c>
      <c r="CD61" s="593">
        <f t="shared" si="32"/>
        <v>0</v>
      </c>
      <c r="CE61" s="593">
        <f t="shared" si="32"/>
        <v>0</v>
      </c>
      <c r="CF61" s="595">
        <f t="shared" si="33"/>
        <v>0</v>
      </c>
      <c r="CG61" s="555" t="str">
        <f t="shared" si="34"/>
        <v/>
      </c>
      <c r="CH61" s="530" t="str">
        <f t="shared" si="35"/>
        <v/>
      </c>
      <c r="CI61" s="530" t="str">
        <f t="shared" si="36"/>
        <v/>
      </c>
      <c r="CJ61" s="530" t="str">
        <f t="shared" si="37"/>
        <v/>
      </c>
      <c r="CK61" s="530" t="str">
        <f t="shared" si="38"/>
        <v/>
      </c>
      <c r="CL61" s="530" t="str">
        <f t="shared" si="39"/>
        <v/>
      </c>
      <c r="CM61" s="82" t="str">
        <f t="shared" si="40"/>
        <v/>
      </c>
      <c r="CN61" s="496" t="str">
        <f t="shared" si="3"/>
        <v/>
      </c>
      <c r="CO61" s="496" t="str">
        <f t="shared" si="41"/>
        <v>0</v>
      </c>
      <c r="CP61" s="491">
        <f t="shared" si="42"/>
        <v>0</v>
      </c>
      <c r="CS61" s="496">
        <f t="shared" si="43"/>
        <v>0</v>
      </c>
      <c r="CT61" s="496">
        <f t="shared" si="44"/>
        <v>0</v>
      </c>
      <c r="CU61" s="497" t="str">
        <f t="shared" si="45"/>
        <v>00</v>
      </c>
    </row>
    <row r="62" spans="1:99" ht="15" hidden="1" customHeight="1">
      <c r="A62" s="951">
        <v>59</v>
      </c>
      <c r="B62" s="953"/>
      <c r="C62" s="922"/>
      <c r="D62" s="923"/>
      <c r="E62" s="913"/>
      <c r="F62" s="914"/>
      <c r="G62" s="926"/>
      <c r="H62" s="921"/>
      <c r="I62" s="917"/>
      <c r="J62" s="916"/>
      <c r="K62" s="1012"/>
      <c r="L62" s="1012"/>
      <c r="M62" s="1013"/>
      <c r="N62" s="1028" t="str">
        <f t="shared" si="5"/>
        <v>00</v>
      </c>
      <c r="O62" s="406" t="str">
        <f t="shared" si="46"/>
        <v/>
      </c>
      <c r="P62" s="407" t="str">
        <f>IF(O62="","",VLOOKUP(O62,所属コード!$A$2:$E$11,2,FALSE))</f>
        <v/>
      </c>
      <c r="Q62" s="1033" t="str">
        <f>IF(O62="","",VLOOKUP(O62,所属コード!$A$2:$G$11,7,FALSE))</f>
        <v/>
      </c>
      <c r="R62" s="1035"/>
      <c r="S62" s="77"/>
      <c r="T62" s="77"/>
      <c r="U62" s="77"/>
      <c r="V62" s="15"/>
      <c r="X62" s="488"/>
      <c r="Y62" s="945" t="str">
        <f t="shared" si="6"/>
        <v/>
      </c>
      <c r="Z62" s="489" t="str">
        <f t="shared" si="7"/>
        <v/>
      </c>
      <c r="AA62" s="488"/>
      <c r="AB62" s="488"/>
      <c r="AC62" s="488"/>
      <c r="AD62" s="488"/>
      <c r="AE62" s="488"/>
      <c r="AF62" s="488"/>
      <c r="AG62" s="491"/>
      <c r="AH62" s="591"/>
      <c r="AI62" s="592"/>
      <c r="AJ62" s="592"/>
      <c r="AK62" s="592"/>
      <c r="AL62" s="592"/>
      <c r="AM62" s="592"/>
      <c r="AN62" s="592"/>
      <c r="AO62" s="592"/>
      <c r="AP62" s="592"/>
      <c r="AQ62" s="592"/>
      <c r="AR62" s="592"/>
      <c r="AS62" s="592"/>
      <c r="AT62" s="592"/>
      <c r="AU62" s="592"/>
      <c r="AV62" s="592"/>
      <c r="AW62" s="604"/>
      <c r="AX62" s="609">
        <f t="shared" si="8"/>
        <v>0</v>
      </c>
      <c r="AY62" s="602">
        <f t="shared" si="0"/>
        <v>0</v>
      </c>
      <c r="AZ62" s="593">
        <f t="shared" si="1"/>
        <v>0</v>
      </c>
      <c r="BA62" s="594">
        <f t="shared" si="47"/>
        <v>0</v>
      </c>
      <c r="BB62" s="593">
        <f t="shared" si="47"/>
        <v>0</v>
      </c>
      <c r="BC62" s="593">
        <f t="shared" si="9"/>
        <v>0</v>
      </c>
      <c r="BD62" s="593">
        <f t="shared" si="10"/>
        <v>0</v>
      </c>
      <c r="BE62" s="593">
        <f t="shared" si="11"/>
        <v>0</v>
      </c>
      <c r="BF62" s="593">
        <f t="shared" si="12"/>
        <v>0</v>
      </c>
      <c r="BG62" s="593">
        <f t="shared" si="13"/>
        <v>0</v>
      </c>
      <c r="BH62" s="593">
        <f t="shared" si="14"/>
        <v>0</v>
      </c>
      <c r="BI62" s="593">
        <f t="shared" si="14"/>
        <v>0</v>
      </c>
      <c r="BJ62" s="593">
        <f t="shared" si="15"/>
        <v>0</v>
      </c>
      <c r="BK62" s="593">
        <f t="shared" si="15"/>
        <v>0</v>
      </c>
      <c r="BL62" s="593">
        <f t="shared" si="16"/>
        <v>0</v>
      </c>
      <c r="BM62" s="593">
        <f t="shared" si="17"/>
        <v>0</v>
      </c>
      <c r="BN62" s="593">
        <f t="shared" si="17"/>
        <v>0</v>
      </c>
      <c r="BO62" s="593">
        <f t="shared" si="17"/>
        <v>0</v>
      </c>
      <c r="BP62" s="593">
        <f t="shared" si="18"/>
        <v>0</v>
      </c>
      <c r="BQ62" s="593">
        <f t="shared" si="19"/>
        <v>0</v>
      </c>
      <c r="BR62" s="593">
        <f t="shared" si="20"/>
        <v>0</v>
      </c>
      <c r="BS62" s="593">
        <f t="shared" si="21"/>
        <v>0</v>
      </c>
      <c r="BT62" s="593">
        <f t="shared" si="22"/>
        <v>0</v>
      </c>
      <c r="BU62" s="593">
        <f t="shared" si="23"/>
        <v>0</v>
      </c>
      <c r="BV62" s="593">
        <f t="shared" si="24"/>
        <v>0</v>
      </c>
      <c r="BW62" s="593">
        <f t="shared" si="25"/>
        <v>0</v>
      </c>
      <c r="BX62" s="593">
        <f t="shared" si="26"/>
        <v>0</v>
      </c>
      <c r="BY62" s="593">
        <f t="shared" si="27"/>
        <v>0</v>
      </c>
      <c r="BZ62" s="593">
        <f t="shared" si="28"/>
        <v>0</v>
      </c>
      <c r="CA62" s="593">
        <f t="shared" si="29"/>
        <v>0</v>
      </c>
      <c r="CB62" s="593">
        <f t="shared" si="30"/>
        <v>0</v>
      </c>
      <c r="CC62" s="593">
        <f t="shared" si="31"/>
        <v>0</v>
      </c>
      <c r="CD62" s="593">
        <f t="shared" si="32"/>
        <v>0</v>
      </c>
      <c r="CE62" s="593">
        <f t="shared" si="32"/>
        <v>0</v>
      </c>
      <c r="CF62" s="595">
        <f t="shared" si="33"/>
        <v>0</v>
      </c>
      <c r="CG62" s="555" t="str">
        <f t="shared" si="34"/>
        <v/>
      </c>
      <c r="CH62" s="530" t="str">
        <f t="shared" si="35"/>
        <v/>
      </c>
      <c r="CI62" s="530" t="str">
        <f t="shared" si="36"/>
        <v/>
      </c>
      <c r="CJ62" s="530" t="str">
        <f t="shared" si="37"/>
        <v/>
      </c>
      <c r="CK62" s="530" t="str">
        <f t="shared" si="38"/>
        <v/>
      </c>
      <c r="CL62" s="530" t="str">
        <f t="shared" si="39"/>
        <v/>
      </c>
      <c r="CM62" s="82" t="str">
        <f t="shared" si="40"/>
        <v/>
      </c>
      <c r="CN62" s="496" t="str">
        <f t="shared" si="3"/>
        <v/>
      </c>
      <c r="CO62" s="496" t="str">
        <f t="shared" si="41"/>
        <v>0</v>
      </c>
      <c r="CP62" s="491">
        <f t="shared" si="42"/>
        <v>0</v>
      </c>
      <c r="CS62" s="496">
        <f t="shared" si="43"/>
        <v>0</v>
      </c>
      <c r="CT62" s="496">
        <f t="shared" si="44"/>
        <v>0</v>
      </c>
      <c r="CU62" s="497" t="str">
        <f t="shared" si="45"/>
        <v>00</v>
      </c>
    </row>
    <row r="63" spans="1:99" ht="15" hidden="1" customHeight="1">
      <c r="A63" s="951">
        <v>60</v>
      </c>
      <c r="B63" s="953"/>
      <c r="C63" s="922"/>
      <c r="D63" s="923"/>
      <c r="E63" s="913"/>
      <c r="F63" s="914"/>
      <c r="G63" s="926"/>
      <c r="H63" s="915"/>
      <c r="I63" s="916"/>
      <c r="J63" s="917"/>
      <c r="K63" s="1012"/>
      <c r="L63" s="1012"/>
      <c r="M63" s="1013"/>
      <c r="N63" s="1028" t="str">
        <f t="shared" si="5"/>
        <v>00</v>
      </c>
      <c r="O63" s="406" t="str">
        <f t="shared" si="46"/>
        <v/>
      </c>
      <c r="P63" s="407" t="str">
        <f>IF(O63="","",VLOOKUP(O63,所属コード!$A$2:$E$11,2,FALSE))</f>
        <v/>
      </c>
      <c r="Q63" s="1033" t="str">
        <f>IF(O63="","",VLOOKUP(O63,所属コード!$A$2:$G$11,7,FALSE))</f>
        <v/>
      </c>
      <c r="R63" s="1035"/>
      <c r="S63" s="77"/>
      <c r="T63" s="77"/>
      <c r="U63" s="77"/>
      <c r="V63" s="15"/>
      <c r="X63" s="488"/>
      <c r="Y63" s="945" t="str">
        <f t="shared" si="6"/>
        <v/>
      </c>
      <c r="Z63" s="489" t="str">
        <f t="shared" si="7"/>
        <v/>
      </c>
      <c r="AA63" s="488"/>
      <c r="AB63" s="488"/>
      <c r="AC63" s="488"/>
      <c r="AD63" s="488"/>
      <c r="AE63" s="488"/>
      <c r="AF63" s="488"/>
      <c r="AG63" s="491"/>
      <c r="AH63" s="591"/>
      <c r="AI63" s="592"/>
      <c r="AJ63" s="592"/>
      <c r="AK63" s="592"/>
      <c r="AL63" s="592"/>
      <c r="AM63" s="592"/>
      <c r="AN63" s="592"/>
      <c r="AO63" s="592"/>
      <c r="AP63" s="592"/>
      <c r="AQ63" s="592"/>
      <c r="AR63" s="592"/>
      <c r="AS63" s="592"/>
      <c r="AT63" s="592"/>
      <c r="AU63" s="592"/>
      <c r="AV63" s="592"/>
      <c r="AW63" s="604"/>
      <c r="AX63" s="609">
        <f t="shared" si="8"/>
        <v>0</v>
      </c>
      <c r="AY63" s="602">
        <f t="shared" si="0"/>
        <v>0</v>
      </c>
      <c r="AZ63" s="593">
        <f t="shared" si="1"/>
        <v>0</v>
      </c>
      <c r="BA63" s="594">
        <f t="shared" si="47"/>
        <v>0</v>
      </c>
      <c r="BB63" s="593">
        <f t="shared" si="47"/>
        <v>0</v>
      </c>
      <c r="BC63" s="593">
        <f t="shared" si="9"/>
        <v>0</v>
      </c>
      <c r="BD63" s="593">
        <f t="shared" si="10"/>
        <v>0</v>
      </c>
      <c r="BE63" s="593">
        <f t="shared" si="11"/>
        <v>0</v>
      </c>
      <c r="BF63" s="593">
        <f t="shared" si="12"/>
        <v>0</v>
      </c>
      <c r="BG63" s="593">
        <f t="shared" si="13"/>
        <v>0</v>
      </c>
      <c r="BH63" s="593">
        <f t="shared" si="14"/>
        <v>0</v>
      </c>
      <c r="BI63" s="593">
        <f t="shared" si="14"/>
        <v>0</v>
      </c>
      <c r="BJ63" s="593">
        <f t="shared" si="15"/>
        <v>0</v>
      </c>
      <c r="BK63" s="593">
        <f t="shared" si="15"/>
        <v>0</v>
      </c>
      <c r="BL63" s="593">
        <f t="shared" si="16"/>
        <v>0</v>
      </c>
      <c r="BM63" s="593">
        <f t="shared" si="17"/>
        <v>0</v>
      </c>
      <c r="BN63" s="593">
        <f t="shared" si="17"/>
        <v>0</v>
      </c>
      <c r="BO63" s="593">
        <f t="shared" si="17"/>
        <v>0</v>
      </c>
      <c r="BP63" s="593">
        <f t="shared" si="18"/>
        <v>0</v>
      </c>
      <c r="BQ63" s="593">
        <f t="shared" si="19"/>
        <v>0</v>
      </c>
      <c r="BR63" s="593">
        <f t="shared" si="20"/>
        <v>0</v>
      </c>
      <c r="BS63" s="593">
        <f t="shared" si="21"/>
        <v>0</v>
      </c>
      <c r="BT63" s="593">
        <f t="shared" si="22"/>
        <v>0</v>
      </c>
      <c r="BU63" s="593">
        <f t="shared" si="23"/>
        <v>0</v>
      </c>
      <c r="BV63" s="593">
        <f t="shared" si="24"/>
        <v>0</v>
      </c>
      <c r="BW63" s="593">
        <f t="shared" si="25"/>
        <v>0</v>
      </c>
      <c r="BX63" s="593">
        <f t="shared" si="26"/>
        <v>0</v>
      </c>
      <c r="BY63" s="593">
        <f t="shared" si="27"/>
        <v>0</v>
      </c>
      <c r="BZ63" s="593">
        <f t="shared" si="28"/>
        <v>0</v>
      </c>
      <c r="CA63" s="593">
        <f t="shared" si="29"/>
        <v>0</v>
      </c>
      <c r="CB63" s="593">
        <f t="shared" si="30"/>
        <v>0</v>
      </c>
      <c r="CC63" s="593">
        <f t="shared" si="31"/>
        <v>0</v>
      </c>
      <c r="CD63" s="593">
        <f t="shared" si="32"/>
        <v>0</v>
      </c>
      <c r="CE63" s="593">
        <f t="shared" si="32"/>
        <v>0</v>
      </c>
      <c r="CF63" s="595">
        <f t="shared" si="33"/>
        <v>0</v>
      </c>
      <c r="CG63" s="555" t="str">
        <f t="shared" si="34"/>
        <v/>
      </c>
      <c r="CH63" s="530" t="str">
        <f t="shared" si="35"/>
        <v/>
      </c>
      <c r="CI63" s="530" t="str">
        <f t="shared" si="36"/>
        <v/>
      </c>
      <c r="CJ63" s="530" t="str">
        <f t="shared" si="37"/>
        <v/>
      </c>
      <c r="CK63" s="530" t="str">
        <f t="shared" si="38"/>
        <v/>
      </c>
      <c r="CL63" s="530" t="str">
        <f t="shared" si="39"/>
        <v/>
      </c>
      <c r="CM63" s="82" t="str">
        <f t="shared" si="40"/>
        <v/>
      </c>
      <c r="CN63" s="496" t="str">
        <f t="shared" si="3"/>
        <v/>
      </c>
      <c r="CO63" s="496" t="str">
        <f t="shared" si="41"/>
        <v>0</v>
      </c>
      <c r="CP63" s="491">
        <f t="shared" si="42"/>
        <v>0</v>
      </c>
      <c r="CS63" s="496">
        <f t="shared" si="43"/>
        <v>0</v>
      </c>
      <c r="CT63" s="496">
        <f t="shared" si="44"/>
        <v>0</v>
      </c>
      <c r="CU63" s="497" t="str">
        <f t="shared" si="45"/>
        <v>00</v>
      </c>
    </row>
    <row r="64" spans="1:99" ht="15" hidden="1" customHeight="1">
      <c r="A64" s="951">
        <v>61</v>
      </c>
      <c r="B64" s="953"/>
      <c r="C64" s="922"/>
      <c r="D64" s="923"/>
      <c r="E64" s="913"/>
      <c r="F64" s="914"/>
      <c r="G64" s="926"/>
      <c r="H64" s="915"/>
      <c r="I64" s="916"/>
      <c r="J64" s="917"/>
      <c r="K64" s="1012"/>
      <c r="L64" s="1012"/>
      <c r="M64" s="1013"/>
      <c r="N64" s="1028" t="str">
        <f t="shared" si="5"/>
        <v>00</v>
      </c>
      <c r="O64" s="406" t="str">
        <f t="shared" si="46"/>
        <v/>
      </c>
      <c r="P64" s="407" t="str">
        <f>IF(O64="","",VLOOKUP(O64,所属コード!$A$2:$E$11,2,FALSE))</f>
        <v/>
      </c>
      <c r="Q64" s="1033" t="str">
        <f>IF(O64="","",VLOOKUP(O64,所属コード!$A$2:$G$11,7,FALSE))</f>
        <v/>
      </c>
      <c r="R64" s="1035"/>
      <c r="S64" s="77"/>
      <c r="T64" s="77"/>
      <c r="U64" s="77"/>
      <c r="X64" s="488"/>
      <c r="Y64" s="945" t="str">
        <f t="shared" si="6"/>
        <v/>
      </c>
      <c r="Z64" s="489" t="str">
        <f t="shared" si="7"/>
        <v/>
      </c>
      <c r="AA64" s="488"/>
      <c r="AB64" s="488"/>
      <c r="AC64" s="488"/>
      <c r="AD64" s="488"/>
      <c r="AE64" s="488"/>
      <c r="AF64" s="488"/>
      <c r="AG64" s="491"/>
      <c r="AH64" s="591"/>
      <c r="AI64" s="592"/>
      <c r="AJ64" s="592"/>
      <c r="AK64" s="592"/>
      <c r="AL64" s="592"/>
      <c r="AM64" s="592"/>
      <c r="AN64" s="592"/>
      <c r="AO64" s="592"/>
      <c r="AP64" s="592"/>
      <c r="AQ64" s="592"/>
      <c r="AR64" s="592"/>
      <c r="AS64" s="592"/>
      <c r="AT64" s="592"/>
      <c r="AU64" s="592"/>
      <c r="AV64" s="592"/>
      <c r="AW64" s="604"/>
      <c r="AX64" s="609">
        <f t="shared" si="8"/>
        <v>0</v>
      </c>
      <c r="AY64" s="602">
        <f t="shared" si="0"/>
        <v>0</v>
      </c>
      <c r="AZ64" s="593">
        <f t="shared" si="1"/>
        <v>0</v>
      </c>
      <c r="BA64" s="594">
        <f t="shared" si="47"/>
        <v>0</v>
      </c>
      <c r="BB64" s="593">
        <f t="shared" si="47"/>
        <v>0</v>
      </c>
      <c r="BC64" s="593">
        <f t="shared" si="9"/>
        <v>0</v>
      </c>
      <c r="BD64" s="593">
        <f t="shared" si="10"/>
        <v>0</v>
      </c>
      <c r="BE64" s="593">
        <f t="shared" si="11"/>
        <v>0</v>
      </c>
      <c r="BF64" s="593">
        <f t="shared" si="12"/>
        <v>0</v>
      </c>
      <c r="BG64" s="593">
        <f t="shared" si="13"/>
        <v>0</v>
      </c>
      <c r="BH64" s="593">
        <f t="shared" si="14"/>
        <v>0</v>
      </c>
      <c r="BI64" s="593">
        <f t="shared" si="14"/>
        <v>0</v>
      </c>
      <c r="BJ64" s="593">
        <f t="shared" si="15"/>
        <v>0</v>
      </c>
      <c r="BK64" s="593">
        <f t="shared" si="15"/>
        <v>0</v>
      </c>
      <c r="BL64" s="593">
        <f t="shared" si="16"/>
        <v>0</v>
      </c>
      <c r="BM64" s="593">
        <f t="shared" si="17"/>
        <v>0</v>
      </c>
      <c r="BN64" s="593">
        <f t="shared" si="17"/>
        <v>0</v>
      </c>
      <c r="BO64" s="593">
        <f t="shared" si="17"/>
        <v>0</v>
      </c>
      <c r="BP64" s="593">
        <f t="shared" si="18"/>
        <v>0</v>
      </c>
      <c r="BQ64" s="593">
        <f t="shared" si="19"/>
        <v>0</v>
      </c>
      <c r="BR64" s="593">
        <f t="shared" si="20"/>
        <v>0</v>
      </c>
      <c r="BS64" s="593">
        <f t="shared" si="21"/>
        <v>0</v>
      </c>
      <c r="BT64" s="593">
        <f t="shared" si="22"/>
        <v>0</v>
      </c>
      <c r="BU64" s="593">
        <f t="shared" si="23"/>
        <v>0</v>
      </c>
      <c r="BV64" s="593">
        <f t="shared" si="24"/>
        <v>0</v>
      </c>
      <c r="BW64" s="593">
        <f t="shared" si="25"/>
        <v>0</v>
      </c>
      <c r="BX64" s="593">
        <f t="shared" si="26"/>
        <v>0</v>
      </c>
      <c r="BY64" s="593">
        <f t="shared" si="27"/>
        <v>0</v>
      </c>
      <c r="BZ64" s="593">
        <f t="shared" si="28"/>
        <v>0</v>
      </c>
      <c r="CA64" s="593">
        <f t="shared" si="29"/>
        <v>0</v>
      </c>
      <c r="CB64" s="593">
        <f t="shared" si="30"/>
        <v>0</v>
      </c>
      <c r="CC64" s="593">
        <f t="shared" si="31"/>
        <v>0</v>
      </c>
      <c r="CD64" s="593">
        <f t="shared" si="32"/>
        <v>0</v>
      </c>
      <c r="CE64" s="593">
        <f t="shared" si="32"/>
        <v>0</v>
      </c>
      <c r="CF64" s="595">
        <f t="shared" si="33"/>
        <v>0</v>
      </c>
      <c r="CG64" s="555" t="str">
        <f t="shared" si="34"/>
        <v/>
      </c>
      <c r="CH64" s="530" t="str">
        <f t="shared" si="35"/>
        <v/>
      </c>
      <c r="CI64" s="530" t="str">
        <f t="shared" si="36"/>
        <v/>
      </c>
      <c r="CJ64" s="530" t="str">
        <f t="shared" si="37"/>
        <v/>
      </c>
      <c r="CK64" s="530" t="str">
        <f t="shared" si="38"/>
        <v/>
      </c>
      <c r="CL64" s="530" t="str">
        <f t="shared" si="39"/>
        <v/>
      </c>
      <c r="CM64" s="82" t="str">
        <f t="shared" si="40"/>
        <v/>
      </c>
      <c r="CN64" s="496" t="str">
        <f t="shared" si="3"/>
        <v/>
      </c>
      <c r="CO64" s="496" t="str">
        <f t="shared" si="41"/>
        <v>0</v>
      </c>
      <c r="CP64" s="491">
        <f t="shared" si="42"/>
        <v>0</v>
      </c>
      <c r="CS64" s="496">
        <f t="shared" si="43"/>
        <v>0</v>
      </c>
      <c r="CT64" s="496">
        <f t="shared" si="44"/>
        <v>0</v>
      </c>
      <c r="CU64" s="497" t="str">
        <f t="shared" si="45"/>
        <v>00</v>
      </c>
    </row>
    <row r="65" spans="1:99" ht="15" hidden="1" customHeight="1">
      <c r="A65" s="951">
        <v>62</v>
      </c>
      <c r="B65" s="953"/>
      <c r="C65" s="922"/>
      <c r="D65" s="923"/>
      <c r="E65" s="913"/>
      <c r="F65" s="914"/>
      <c r="G65" s="926"/>
      <c r="H65" s="915"/>
      <c r="I65" s="916"/>
      <c r="J65" s="917"/>
      <c r="K65" s="1012"/>
      <c r="L65" s="1012"/>
      <c r="M65" s="1013"/>
      <c r="N65" s="1028" t="str">
        <f t="shared" si="5"/>
        <v>00</v>
      </c>
      <c r="O65" s="406" t="str">
        <f t="shared" si="46"/>
        <v/>
      </c>
      <c r="P65" s="407" t="str">
        <f>IF(O65="","",VLOOKUP(O65,所属コード!$A$2:$E$11,2,FALSE))</f>
        <v/>
      </c>
      <c r="Q65" s="1033" t="str">
        <f>IF(O65="","",VLOOKUP(O65,所属コード!$A$2:$G$11,7,FALSE))</f>
        <v/>
      </c>
      <c r="R65" s="1035"/>
      <c r="S65" s="77"/>
      <c r="T65" s="77"/>
      <c r="U65" s="77"/>
      <c r="X65" s="488"/>
      <c r="Y65" s="945" t="str">
        <f t="shared" si="6"/>
        <v/>
      </c>
      <c r="Z65" s="489" t="str">
        <f t="shared" si="7"/>
        <v/>
      </c>
      <c r="AA65" s="488"/>
      <c r="AB65" s="488"/>
      <c r="AC65" s="488"/>
      <c r="AD65" s="488"/>
      <c r="AE65" s="488"/>
      <c r="AF65" s="488"/>
      <c r="AG65" s="491"/>
      <c r="AH65" s="591"/>
      <c r="AI65" s="592"/>
      <c r="AJ65" s="592"/>
      <c r="AK65" s="592"/>
      <c r="AL65" s="592"/>
      <c r="AM65" s="592"/>
      <c r="AN65" s="592"/>
      <c r="AO65" s="592"/>
      <c r="AP65" s="592"/>
      <c r="AQ65" s="592"/>
      <c r="AR65" s="592"/>
      <c r="AS65" s="592"/>
      <c r="AT65" s="592"/>
      <c r="AU65" s="592"/>
      <c r="AV65" s="592"/>
      <c r="AW65" s="604"/>
      <c r="AX65" s="609">
        <f t="shared" si="8"/>
        <v>0</v>
      </c>
      <c r="AY65" s="602">
        <f t="shared" si="0"/>
        <v>0</v>
      </c>
      <c r="AZ65" s="593">
        <f t="shared" si="1"/>
        <v>0</v>
      </c>
      <c r="BA65" s="594">
        <f t="shared" si="47"/>
        <v>0</v>
      </c>
      <c r="BB65" s="593">
        <f t="shared" si="47"/>
        <v>0</v>
      </c>
      <c r="BC65" s="593">
        <f t="shared" si="9"/>
        <v>0</v>
      </c>
      <c r="BD65" s="593">
        <f t="shared" si="10"/>
        <v>0</v>
      </c>
      <c r="BE65" s="593">
        <f t="shared" si="11"/>
        <v>0</v>
      </c>
      <c r="BF65" s="593">
        <f t="shared" si="12"/>
        <v>0</v>
      </c>
      <c r="BG65" s="593">
        <f t="shared" si="13"/>
        <v>0</v>
      </c>
      <c r="BH65" s="593">
        <f t="shared" si="14"/>
        <v>0</v>
      </c>
      <c r="BI65" s="593">
        <f t="shared" si="14"/>
        <v>0</v>
      </c>
      <c r="BJ65" s="593">
        <f t="shared" si="15"/>
        <v>0</v>
      </c>
      <c r="BK65" s="593">
        <f t="shared" si="15"/>
        <v>0</v>
      </c>
      <c r="BL65" s="593">
        <f t="shared" si="16"/>
        <v>0</v>
      </c>
      <c r="BM65" s="593">
        <f t="shared" si="17"/>
        <v>0</v>
      </c>
      <c r="BN65" s="593">
        <f t="shared" si="17"/>
        <v>0</v>
      </c>
      <c r="BO65" s="593">
        <f t="shared" si="17"/>
        <v>0</v>
      </c>
      <c r="BP65" s="593">
        <f t="shared" si="18"/>
        <v>0</v>
      </c>
      <c r="BQ65" s="593">
        <f t="shared" si="19"/>
        <v>0</v>
      </c>
      <c r="BR65" s="593">
        <f t="shared" si="20"/>
        <v>0</v>
      </c>
      <c r="BS65" s="593">
        <f t="shared" si="21"/>
        <v>0</v>
      </c>
      <c r="BT65" s="593">
        <f t="shared" si="22"/>
        <v>0</v>
      </c>
      <c r="BU65" s="593">
        <f t="shared" si="23"/>
        <v>0</v>
      </c>
      <c r="BV65" s="593">
        <f t="shared" si="24"/>
        <v>0</v>
      </c>
      <c r="BW65" s="593">
        <f t="shared" si="25"/>
        <v>0</v>
      </c>
      <c r="BX65" s="593">
        <f t="shared" si="26"/>
        <v>0</v>
      </c>
      <c r="BY65" s="593">
        <f t="shared" si="27"/>
        <v>0</v>
      </c>
      <c r="BZ65" s="593">
        <f t="shared" si="28"/>
        <v>0</v>
      </c>
      <c r="CA65" s="593">
        <f t="shared" si="29"/>
        <v>0</v>
      </c>
      <c r="CB65" s="593">
        <f t="shared" si="30"/>
        <v>0</v>
      </c>
      <c r="CC65" s="593">
        <f t="shared" si="31"/>
        <v>0</v>
      </c>
      <c r="CD65" s="593">
        <f t="shared" si="32"/>
        <v>0</v>
      </c>
      <c r="CE65" s="593">
        <f t="shared" si="32"/>
        <v>0</v>
      </c>
      <c r="CF65" s="595">
        <f t="shared" si="33"/>
        <v>0</v>
      </c>
      <c r="CG65" s="555" t="str">
        <f t="shared" si="34"/>
        <v/>
      </c>
      <c r="CH65" s="530" t="str">
        <f t="shared" si="35"/>
        <v/>
      </c>
      <c r="CI65" s="530" t="str">
        <f t="shared" si="36"/>
        <v/>
      </c>
      <c r="CJ65" s="530" t="str">
        <f t="shared" si="37"/>
        <v/>
      </c>
      <c r="CK65" s="530" t="str">
        <f t="shared" si="38"/>
        <v/>
      </c>
      <c r="CL65" s="530" t="str">
        <f t="shared" si="39"/>
        <v/>
      </c>
      <c r="CM65" s="82" t="str">
        <f t="shared" si="40"/>
        <v/>
      </c>
      <c r="CN65" s="496" t="str">
        <f t="shared" si="3"/>
        <v/>
      </c>
      <c r="CO65" s="496" t="str">
        <f t="shared" si="41"/>
        <v>0</v>
      </c>
      <c r="CP65" s="491">
        <f t="shared" si="42"/>
        <v>0</v>
      </c>
      <c r="CS65" s="496">
        <f t="shared" si="43"/>
        <v>0</v>
      </c>
      <c r="CT65" s="496">
        <f t="shared" si="44"/>
        <v>0</v>
      </c>
      <c r="CU65" s="497" t="str">
        <f t="shared" si="45"/>
        <v>00</v>
      </c>
    </row>
    <row r="66" spans="1:99" ht="15" hidden="1" customHeight="1">
      <c r="A66" s="951">
        <v>63</v>
      </c>
      <c r="B66" s="953"/>
      <c r="C66" s="922"/>
      <c r="D66" s="923"/>
      <c r="E66" s="913"/>
      <c r="F66" s="914"/>
      <c r="G66" s="926"/>
      <c r="H66" s="915"/>
      <c r="I66" s="916"/>
      <c r="J66" s="917"/>
      <c r="K66" s="1012"/>
      <c r="L66" s="1012"/>
      <c r="M66" s="1013"/>
      <c r="N66" s="1028" t="str">
        <f t="shared" si="5"/>
        <v>00</v>
      </c>
      <c r="O66" s="406" t="str">
        <f t="shared" si="46"/>
        <v/>
      </c>
      <c r="P66" s="407" t="str">
        <f>IF(O66="","",VLOOKUP(O66,所属コード!$A$2:$E$11,2,FALSE))</f>
        <v/>
      </c>
      <c r="Q66" s="1033" t="str">
        <f>IF(O66="","",VLOOKUP(O66,所属コード!$A$2:$G$11,7,FALSE))</f>
        <v/>
      </c>
      <c r="R66" s="1035"/>
      <c r="S66" s="77"/>
      <c r="T66" s="77"/>
      <c r="U66" s="77"/>
      <c r="V66" s="15"/>
      <c r="X66" s="488"/>
      <c r="Y66" s="945" t="str">
        <f t="shared" si="6"/>
        <v/>
      </c>
      <c r="Z66" s="489" t="str">
        <f t="shared" si="7"/>
        <v/>
      </c>
      <c r="AA66" s="488"/>
      <c r="AB66" s="488"/>
      <c r="AC66" s="488"/>
      <c r="AD66" s="488"/>
      <c r="AE66" s="488"/>
      <c r="AF66" s="488"/>
      <c r="AG66" s="491"/>
      <c r="AH66" s="591"/>
      <c r="AI66" s="592"/>
      <c r="AJ66" s="592"/>
      <c r="AK66" s="592"/>
      <c r="AL66" s="592"/>
      <c r="AM66" s="592"/>
      <c r="AN66" s="592"/>
      <c r="AO66" s="592"/>
      <c r="AP66" s="592"/>
      <c r="AQ66" s="592"/>
      <c r="AR66" s="592"/>
      <c r="AS66" s="592"/>
      <c r="AT66" s="592"/>
      <c r="AU66" s="592"/>
      <c r="AV66" s="592"/>
      <c r="AW66" s="604"/>
      <c r="AX66" s="609">
        <f t="shared" si="8"/>
        <v>0</v>
      </c>
      <c r="AY66" s="602">
        <f t="shared" si="0"/>
        <v>0</v>
      </c>
      <c r="AZ66" s="593">
        <f t="shared" si="1"/>
        <v>0</v>
      </c>
      <c r="BA66" s="594">
        <f t="shared" si="47"/>
        <v>0</v>
      </c>
      <c r="BB66" s="593">
        <f t="shared" si="47"/>
        <v>0</v>
      </c>
      <c r="BC66" s="593">
        <f t="shared" si="9"/>
        <v>0</v>
      </c>
      <c r="BD66" s="593">
        <f t="shared" si="10"/>
        <v>0</v>
      </c>
      <c r="BE66" s="593">
        <f t="shared" si="11"/>
        <v>0</v>
      </c>
      <c r="BF66" s="593">
        <f t="shared" si="12"/>
        <v>0</v>
      </c>
      <c r="BG66" s="593">
        <f t="shared" si="13"/>
        <v>0</v>
      </c>
      <c r="BH66" s="593">
        <f t="shared" si="14"/>
        <v>0</v>
      </c>
      <c r="BI66" s="593">
        <f t="shared" si="14"/>
        <v>0</v>
      </c>
      <c r="BJ66" s="593">
        <f t="shared" si="15"/>
        <v>0</v>
      </c>
      <c r="BK66" s="593">
        <f t="shared" si="15"/>
        <v>0</v>
      </c>
      <c r="BL66" s="593">
        <f t="shared" si="16"/>
        <v>0</v>
      </c>
      <c r="BM66" s="593">
        <f t="shared" si="17"/>
        <v>0</v>
      </c>
      <c r="BN66" s="593">
        <f t="shared" si="17"/>
        <v>0</v>
      </c>
      <c r="BO66" s="593">
        <f t="shared" si="17"/>
        <v>0</v>
      </c>
      <c r="BP66" s="593">
        <f t="shared" si="18"/>
        <v>0</v>
      </c>
      <c r="BQ66" s="593">
        <f t="shared" si="19"/>
        <v>0</v>
      </c>
      <c r="BR66" s="593">
        <f t="shared" si="20"/>
        <v>0</v>
      </c>
      <c r="BS66" s="593">
        <f t="shared" si="21"/>
        <v>0</v>
      </c>
      <c r="BT66" s="593">
        <f t="shared" si="22"/>
        <v>0</v>
      </c>
      <c r="BU66" s="593">
        <f t="shared" si="23"/>
        <v>0</v>
      </c>
      <c r="BV66" s="593">
        <f t="shared" si="24"/>
        <v>0</v>
      </c>
      <c r="BW66" s="593">
        <f t="shared" si="25"/>
        <v>0</v>
      </c>
      <c r="BX66" s="593">
        <f t="shared" si="26"/>
        <v>0</v>
      </c>
      <c r="BY66" s="593">
        <f t="shared" si="27"/>
        <v>0</v>
      </c>
      <c r="BZ66" s="593">
        <f t="shared" si="28"/>
        <v>0</v>
      </c>
      <c r="CA66" s="593">
        <f t="shared" si="29"/>
        <v>0</v>
      </c>
      <c r="CB66" s="593">
        <f t="shared" si="30"/>
        <v>0</v>
      </c>
      <c r="CC66" s="593">
        <f t="shared" si="31"/>
        <v>0</v>
      </c>
      <c r="CD66" s="593">
        <f t="shared" si="32"/>
        <v>0</v>
      </c>
      <c r="CE66" s="593">
        <f t="shared" si="32"/>
        <v>0</v>
      </c>
      <c r="CF66" s="595">
        <f t="shared" si="33"/>
        <v>0</v>
      </c>
      <c r="CG66" s="555" t="str">
        <f t="shared" si="34"/>
        <v/>
      </c>
      <c r="CH66" s="530" t="str">
        <f t="shared" si="35"/>
        <v/>
      </c>
      <c r="CI66" s="530" t="str">
        <f t="shared" si="36"/>
        <v/>
      </c>
      <c r="CJ66" s="530" t="str">
        <f t="shared" si="37"/>
        <v/>
      </c>
      <c r="CK66" s="530" t="str">
        <f t="shared" si="38"/>
        <v/>
      </c>
      <c r="CL66" s="530" t="str">
        <f t="shared" si="39"/>
        <v/>
      </c>
      <c r="CM66" s="82" t="str">
        <f t="shared" si="40"/>
        <v/>
      </c>
      <c r="CN66" s="496" t="str">
        <f t="shared" si="3"/>
        <v/>
      </c>
      <c r="CO66" s="496" t="str">
        <f t="shared" si="41"/>
        <v>0</v>
      </c>
      <c r="CP66" s="491">
        <f t="shared" si="42"/>
        <v>0</v>
      </c>
      <c r="CS66" s="496">
        <f t="shared" si="43"/>
        <v>0</v>
      </c>
      <c r="CT66" s="496">
        <f t="shared" si="44"/>
        <v>0</v>
      </c>
      <c r="CU66" s="497" t="str">
        <f t="shared" si="45"/>
        <v>00</v>
      </c>
    </row>
    <row r="67" spans="1:99" ht="15" hidden="1" customHeight="1">
      <c r="A67" s="951">
        <v>64</v>
      </c>
      <c r="B67" s="953"/>
      <c r="C67" s="922"/>
      <c r="D67" s="923"/>
      <c r="E67" s="913"/>
      <c r="F67" s="914"/>
      <c r="G67" s="926"/>
      <c r="H67" s="915"/>
      <c r="I67" s="916"/>
      <c r="J67" s="917"/>
      <c r="K67" s="1012"/>
      <c r="L67" s="1012"/>
      <c r="M67" s="1013"/>
      <c r="N67" s="1028" t="str">
        <f t="shared" si="5"/>
        <v>00</v>
      </c>
      <c r="O67" s="406" t="str">
        <f t="shared" si="46"/>
        <v/>
      </c>
      <c r="P67" s="407" t="str">
        <f>IF(O67="","",VLOOKUP(O67,所属コード!$A$2:$E$11,2,FALSE))</f>
        <v/>
      </c>
      <c r="Q67" s="1033" t="str">
        <f>IF(O67="","",VLOOKUP(O67,所属コード!$A$2:$G$11,7,FALSE))</f>
        <v/>
      </c>
      <c r="R67" s="1035"/>
      <c r="S67" s="77"/>
      <c r="T67" s="77"/>
      <c r="U67" s="77"/>
      <c r="V67" s="15"/>
      <c r="X67" s="488"/>
      <c r="Y67" s="945" t="str">
        <f t="shared" si="6"/>
        <v/>
      </c>
      <c r="Z67" s="489" t="str">
        <f t="shared" si="7"/>
        <v/>
      </c>
      <c r="AA67" s="488"/>
      <c r="AB67" s="488"/>
      <c r="AC67" s="488"/>
      <c r="AD67" s="488"/>
      <c r="AE67" s="488"/>
      <c r="AF67" s="488"/>
      <c r="AG67" s="491"/>
      <c r="AH67" s="591"/>
      <c r="AI67" s="592"/>
      <c r="AJ67" s="592"/>
      <c r="AK67" s="592"/>
      <c r="AL67" s="592"/>
      <c r="AM67" s="592"/>
      <c r="AN67" s="592"/>
      <c r="AO67" s="592"/>
      <c r="AP67" s="592"/>
      <c r="AQ67" s="592"/>
      <c r="AR67" s="592"/>
      <c r="AS67" s="592"/>
      <c r="AT67" s="592"/>
      <c r="AU67" s="592"/>
      <c r="AV67" s="592"/>
      <c r="AW67" s="604"/>
      <c r="AX67" s="609">
        <f t="shared" si="8"/>
        <v>0</v>
      </c>
      <c r="AY67" s="602">
        <f t="shared" si="0"/>
        <v>0</v>
      </c>
      <c r="AZ67" s="593">
        <f t="shared" si="1"/>
        <v>0</v>
      </c>
      <c r="BA67" s="594">
        <f t="shared" si="47"/>
        <v>0</v>
      </c>
      <c r="BB67" s="593">
        <f t="shared" si="47"/>
        <v>0</v>
      </c>
      <c r="BC67" s="593">
        <f t="shared" si="9"/>
        <v>0</v>
      </c>
      <c r="BD67" s="593">
        <f t="shared" si="10"/>
        <v>0</v>
      </c>
      <c r="BE67" s="593">
        <f t="shared" si="11"/>
        <v>0</v>
      </c>
      <c r="BF67" s="593">
        <f t="shared" si="12"/>
        <v>0</v>
      </c>
      <c r="BG67" s="593">
        <f t="shared" si="13"/>
        <v>0</v>
      </c>
      <c r="BH67" s="593">
        <f t="shared" si="14"/>
        <v>0</v>
      </c>
      <c r="BI67" s="593">
        <f t="shared" si="14"/>
        <v>0</v>
      </c>
      <c r="BJ67" s="593">
        <f t="shared" si="15"/>
        <v>0</v>
      </c>
      <c r="BK67" s="593">
        <f t="shared" si="15"/>
        <v>0</v>
      </c>
      <c r="BL67" s="593">
        <f t="shared" si="16"/>
        <v>0</v>
      </c>
      <c r="BM67" s="593">
        <f t="shared" si="17"/>
        <v>0</v>
      </c>
      <c r="BN67" s="593">
        <f t="shared" si="17"/>
        <v>0</v>
      </c>
      <c r="BO67" s="593">
        <f t="shared" si="17"/>
        <v>0</v>
      </c>
      <c r="BP67" s="593">
        <f t="shared" si="18"/>
        <v>0</v>
      </c>
      <c r="BQ67" s="593">
        <f t="shared" si="19"/>
        <v>0</v>
      </c>
      <c r="BR67" s="593">
        <f t="shared" si="20"/>
        <v>0</v>
      </c>
      <c r="BS67" s="593">
        <f t="shared" si="21"/>
        <v>0</v>
      </c>
      <c r="BT67" s="593">
        <f t="shared" si="22"/>
        <v>0</v>
      </c>
      <c r="BU67" s="593">
        <f t="shared" si="23"/>
        <v>0</v>
      </c>
      <c r="BV67" s="593">
        <f t="shared" si="24"/>
        <v>0</v>
      </c>
      <c r="BW67" s="593">
        <f t="shared" si="25"/>
        <v>0</v>
      </c>
      <c r="BX67" s="593">
        <f t="shared" si="26"/>
        <v>0</v>
      </c>
      <c r="BY67" s="593">
        <f t="shared" si="27"/>
        <v>0</v>
      </c>
      <c r="BZ67" s="593">
        <f t="shared" si="28"/>
        <v>0</v>
      </c>
      <c r="CA67" s="593">
        <f t="shared" si="29"/>
        <v>0</v>
      </c>
      <c r="CB67" s="593">
        <f t="shared" si="30"/>
        <v>0</v>
      </c>
      <c r="CC67" s="593">
        <f t="shared" si="31"/>
        <v>0</v>
      </c>
      <c r="CD67" s="593">
        <f t="shared" si="32"/>
        <v>0</v>
      </c>
      <c r="CE67" s="593">
        <f t="shared" si="32"/>
        <v>0</v>
      </c>
      <c r="CF67" s="595">
        <f t="shared" si="33"/>
        <v>0</v>
      </c>
      <c r="CG67" s="555" t="str">
        <f t="shared" si="34"/>
        <v/>
      </c>
      <c r="CH67" s="530" t="str">
        <f t="shared" si="35"/>
        <v/>
      </c>
      <c r="CI67" s="530" t="str">
        <f t="shared" si="36"/>
        <v/>
      </c>
      <c r="CJ67" s="530" t="str">
        <f t="shared" si="37"/>
        <v/>
      </c>
      <c r="CK67" s="530" t="str">
        <f t="shared" si="38"/>
        <v/>
      </c>
      <c r="CL67" s="530" t="str">
        <f t="shared" si="39"/>
        <v/>
      </c>
      <c r="CM67" s="82" t="str">
        <f t="shared" si="40"/>
        <v/>
      </c>
      <c r="CN67" s="496" t="str">
        <f t="shared" si="3"/>
        <v/>
      </c>
      <c r="CO67" s="496" t="str">
        <f t="shared" si="41"/>
        <v>0</v>
      </c>
      <c r="CP67" s="491">
        <f t="shared" si="42"/>
        <v>0</v>
      </c>
      <c r="CS67" s="496">
        <f t="shared" si="43"/>
        <v>0</v>
      </c>
      <c r="CT67" s="496">
        <f t="shared" si="44"/>
        <v>0</v>
      </c>
      <c r="CU67" s="497" t="str">
        <f t="shared" si="45"/>
        <v>00</v>
      </c>
    </row>
    <row r="68" spans="1:99" ht="12.75" hidden="1" customHeight="1">
      <c r="A68" s="951">
        <v>65</v>
      </c>
      <c r="B68" s="953"/>
      <c r="C68" s="922"/>
      <c r="D68" s="923"/>
      <c r="E68" s="913"/>
      <c r="F68" s="914"/>
      <c r="G68" s="926"/>
      <c r="H68" s="921"/>
      <c r="I68" s="916"/>
      <c r="J68" s="917"/>
      <c r="K68" s="1012"/>
      <c r="L68" s="1012"/>
      <c r="M68" s="1013"/>
      <c r="N68" s="1028" t="str">
        <f t="shared" si="5"/>
        <v>00</v>
      </c>
      <c r="O68" s="406" t="str">
        <f t="shared" si="46"/>
        <v/>
      </c>
      <c r="P68" s="407" t="str">
        <f>IF(O68="","",VLOOKUP(O68,所属コード!$A$2:$E$11,2,FALSE))</f>
        <v/>
      </c>
      <c r="Q68" s="1033" t="str">
        <f>IF(O68="","",VLOOKUP(O68,所属コード!$A$2:$G$11,7,FALSE))</f>
        <v/>
      </c>
      <c r="R68" s="1035"/>
      <c r="S68" s="77"/>
      <c r="T68" s="77"/>
      <c r="U68" s="77"/>
      <c r="V68" s="15"/>
      <c r="X68" s="488"/>
      <c r="Y68" s="945" t="str">
        <f t="shared" si="6"/>
        <v/>
      </c>
      <c r="Z68" s="489" t="str">
        <f t="shared" si="7"/>
        <v/>
      </c>
      <c r="AA68" s="488"/>
      <c r="AB68" s="488"/>
      <c r="AC68" s="488"/>
      <c r="AD68" s="488"/>
      <c r="AE68" s="488"/>
      <c r="AF68" s="488"/>
      <c r="AG68" s="491"/>
      <c r="AH68" s="591"/>
      <c r="AI68" s="592"/>
      <c r="AJ68" s="592"/>
      <c r="AK68" s="592"/>
      <c r="AL68" s="592"/>
      <c r="AM68" s="592"/>
      <c r="AN68" s="592"/>
      <c r="AO68" s="592"/>
      <c r="AP68" s="592"/>
      <c r="AQ68" s="592"/>
      <c r="AR68" s="592"/>
      <c r="AS68" s="592"/>
      <c r="AT68" s="592"/>
      <c r="AU68" s="592"/>
      <c r="AV68" s="592"/>
      <c r="AW68" s="604"/>
      <c r="AX68" s="609">
        <f t="shared" si="8"/>
        <v>0</v>
      </c>
      <c r="AY68" s="602">
        <f t="shared" ref="AY68:AY113" si="48">AO68</f>
        <v>0</v>
      </c>
      <c r="AZ68" s="593">
        <f t="shared" ref="AZ68:AZ113" si="49">AO68</f>
        <v>0</v>
      </c>
      <c r="BA68" s="594">
        <f t="shared" ref="BA68:BB99" si="50">AO68</f>
        <v>0</v>
      </c>
      <c r="BB68" s="593">
        <f t="shared" si="50"/>
        <v>0</v>
      </c>
      <c r="BC68" s="593">
        <f t="shared" si="9"/>
        <v>0</v>
      </c>
      <c r="BD68" s="593">
        <f t="shared" si="10"/>
        <v>0</v>
      </c>
      <c r="BE68" s="593">
        <f t="shared" si="11"/>
        <v>0</v>
      </c>
      <c r="BF68" s="593">
        <f t="shared" si="12"/>
        <v>0</v>
      </c>
      <c r="BG68" s="593">
        <f t="shared" si="13"/>
        <v>0</v>
      </c>
      <c r="BH68" s="593">
        <f t="shared" si="14"/>
        <v>0</v>
      </c>
      <c r="BI68" s="593">
        <f t="shared" si="14"/>
        <v>0</v>
      </c>
      <c r="BJ68" s="593">
        <f t="shared" si="15"/>
        <v>0</v>
      </c>
      <c r="BK68" s="593">
        <f t="shared" si="15"/>
        <v>0</v>
      </c>
      <c r="BL68" s="593">
        <f t="shared" si="16"/>
        <v>0</v>
      </c>
      <c r="BM68" s="593">
        <f t="shared" si="17"/>
        <v>0</v>
      </c>
      <c r="BN68" s="593">
        <f t="shared" si="17"/>
        <v>0</v>
      </c>
      <c r="BO68" s="593">
        <f t="shared" si="17"/>
        <v>0</v>
      </c>
      <c r="BP68" s="593">
        <f t="shared" si="18"/>
        <v>0</v>
      </c>
      <c r="BQ68" s="593">
        <f t="shared" si="19"/>
        <v>0</v>
      </c>
      <c r="BR68" s="593">
        <f t="shared" si="20"/>
        <v>0</v>
      </c>
      <c r="BS68" s="593">
        <f t="shared" si="21"/>
        <v>0</v>
      </c>
      <c r="BT68" s="593">
        <f t="shared" si="22"/>
        <v>0</v>
      </c>
      <c r="BU68" s="593">
        <f t="shared" si="23"/>
        <v>0</v>
      </c>
      <c r="BV68" s="593">
        <f t="shared" si="24"/>
        <v>0</v>
      </c>
      <c r="BW68" s="593">
        <f t="shared" si="25"/>
        <v>0</v>
      </c>
      <c r="BX68" s="593">
        <f t="shared" si="26"/>
        <v>0</v>
      </c>
      <c r="BY68" s="593">
        <f t="shared" si="27"/>
        <v>0</v>
      </c>
      <c r="BZ68" s="593">
        <f t="shared" si="28"/>
        <v>0</v>
      </c>
      <c r="CA68" s="593">
        <f t="shared" si="29"/>
        <v>0</v>
      </c>
      <c r="CB68" s="593">
        <f t="shared" si="30"/>
        <v>0</v>
      </c>
      <c r="CC68" s="593">
        <f t="shared" si="31"/>
        <v>0</v>
      </c>
      <c r="CD68" s="593">
        <f t="shared" si="32"/>
        <v>0</v>
      </c>
      <c r="CE68" s="593">
        <f t="shared" si="32"/>
        <v>0</v>
      </c>
      <c r="CF68" s="595">
        <f t="shared" si="33"/>
        <v>0</v>
      </c>
      <c r="CG68" s="555" t="str">
        <f t="shared" si="34"/>
        <v/>
      </c>
      <c r="CH68" s="530" t="str">
        <f t="shared" si="35"/>
        <v/>
      </c>
      <c r="CI68" s="530" t="str">
        <f t="shared" si="36"/>
        <v/>
      </c>
      <c r="CJ68" s="530" t="str">
        <f t="shared" si="37"/>
        <v/>
      </c>
      <c r="CK68" s="530" t="str">
        <f t="shared" si="38"/>
        <v/>
      </c>
      <c r="CL68" s="530" t="str">
        <f t="shared" si="39"/>
        <v/>
      </c>
      <c r="CM68" s="82" t="str">
        <f t="shared" si="40"/>
        <v/>
      </c>
      <c r="CN68" s="496" t="str">
        <f t="shared" ref="CN68:CN113" si="51">IF(I68="3",3,IF(I68="2",2,IF(I68="1",1,IF(I68=1,1,IF(I68=2,2,IF(I68=3,3,""))))))</f>
        <v/>
      </c>
      <c r="CO68" s="496" t="str">
        <f t="shared" si="41"/>
        <v>0</v>
      </c>
      <c r="CP68" s="491">
        <f t="shared" si="42"/>
        <v>0</v>
      </c>
      <c r="CS68" s="496">
        <f t="shared" si="43"/>
        <v>0</v>
      </c>
      <c r="CT68" s="496">
        <f t="shared" si="44"/>
        <v>0</v>
      </c>
      <c r="CU68" s="497" t="str">
        <f t="shared" si="45"/>
        <v>00</v>
      </c>
    </row>
    <row r="69" spans="1:99" ht="15" hidden="1" customHeight="1">
      <c r="A69" s="951">
        <v>66</v>
      </c>
      <c r="B69" s="953"/>
      <c r="C69" s="922"/>
      <c r="D69" s="923"/>
      <c r="E69" s="913"/>
      <c r="F69" s="914"/>
      <c r="G69" s="926"/>
      <c r="H69" s="921"/>
      <c r="I69" s="916"/>
      <c r="J69" s="917"/>
      <c r="K69" s="1012"/>
      <c r="L69" s="1012"/>
      <c r="M69" s="1013"/>
      <c r="N69" s="1028" t="str">
        <f t="shared" ref="N69:N113" si="52">CU69</f>
        <v>00</v>
      </c>
      <c r="O69" s="406" t="str">
        <f t="shared" si="46"/>
        <v/>
      </c>
      <c r="P69" s="407" t="str">
        <f>IF(O69="","",VLOOKUP(O69,所属コード!$A$2:$E$11,2,FALSE))</f>
        <v/>
      </c>
      <c r="Q69" s="1033" t="str">
        <f>IF(O69="","",VLOOKUP(O69,所属コード!$A$2:$G$11,7,FALSE))</f>
        <v/>
      </c>
      <c r="R69" s="1035"/>
      <c r="S69" s="77"/>
      <c r="T69" s="77"/>
      <c r="U69" s="77"/>
      <c r="V69" s="15"/>
      <c r="X69" s="488"/>
      <c r="Y69" s="945" t="str">
        <f t="shared" ref="Y69:Y113" si="53">IF(J69="","",IF(J69="男",1,2))</f>
        <v/>
      </c>
      <c r="Z69" s="489" t="str">
        <f t="shared" ref="Z69:Z113" si="54">ASC(H69)</f>
        <v/>
      </c>
      <c r="AA69" s="488"/>
      <c r="AB69" s="488"/>
      <c r="AC69" s="488"/>
      <c r="AD69" s="488"/>
      <c r="AE69" s="488"/>
      <c r="AF69" s="488"/>
      <c r="AG69" s="491"/>
      <c r="AH69" s="591"/>
      <c r="AI69" s="592"/>
      <c r="AJ69" s="592"/>
      <c r="AK69" s="592"/>
      <c r="AL69" s="592"/>
      <c r="AM69" s="592"/>
      <c r="AN69" s="592"/>
      <c r="AO69" s="592"/>
      <c r="AP69" s="592"/>
      <c r="AQ69" s="592"/>
      <c r="AR69" s="592"/>
      <c r="AS69" s="592"/>
      <c r="AT69" s="592"/>
      <c r="AU69" s="592"/>
      <c r="AV69" s="592"/>
      <c r="AW69" s="604"/>
      <c r="AX69" s="609">
        <f t="shared" ref="AX69:AX113" si="55">AQ69</f>
        <v>0</v>
      </c>
      <c r="AY69" s="602">
        <f t="shared" si="48"/>
        <v>0</v>
      </c>
      <c r="AZ69" s="593">
        <f t="shared" si="49"/>
        <v>0</v>
      </c>
      <c r="BA69" s="594">
        <f t="shared" si="50"/>
        <v>0</v>
      </c>
      <c r="BB69" s="593">
        <f t="shared" si="50"/>
        <v>0</v>
      </c>
      <c r="BC69" s="593">
        <f t="shared" ref="BC69:BC113" si="56">AH69</f>
        <v>0</v>
      </c>
      <c r="BD69" s="593">
        <f t="shared" ref="BD69:BD113" si="57">AL69</f>
        <v>0</v>
      </c>
      <c r="BE69" s="593">
        <f t="shared" ref="BE69:BE113" si="58">AH69</f>
        <v>0</v>
      </c>
      <c r="BF69" s="593">
        <f t="shared" ref="BF69:BF113" si="59">AL69</f>
        <v>0</v>
      </c>
      <c r="BG69" s="593">
        <f t="shared" ref="BG69:BG113" si="60">AK69</f>
        <v>0</v>
      </c>
      <c r="BH69" s="593">
        <f t="shared" ref="BH69:BI113" si="61">AH69</f>
        <v>0</v>
      </c>
      <c r="BI69" s="593">
        <f t="shared" si="61"/>
        <v>0</v>
      </c>
      <c r="BJ69" s="593">
        <f t="shared" ref="BJ69:BK113" si="62">AN69</f>
        <v>0</v>
      </c>
      <c r="BK69" s="593">
        <f t="shared" si="62"/>
        <v>0</v>
      </c>
      <c r="BL69" s="593">
        <f t="shared" ref="BL69:BL113" si="63">AQ69</f>
        <v>0</v>
      </c>
      <c r="BM69" s="593">
        <f t="shared" ref="BM69:BO113" si="64">AU69</f>
        <v>0</v>
      </c>
      <c r="BN69" s="593">
        <f t="shared" si="64"/>
        <v>0</v>
      </c>
      <c r="BO69" s="593">
        <f t="shared" si="64"/>
        <v>0</v>
      </c>
      <c r="BP69" s="593">
        <f t="shared" ref="BP69:BP113" si="65">AP69</f>
        <v>0</v>
      </c>
      <c r="BQ69" s="593">
        <f t="shared" ref="BQ69:BQ113" si="66">AH69</f>
        <v>0</v>
      </c>
      <c r="BR69" s="593">
        <f t="shared" ref="BR69:BR113" si="67">AL69</f>
        <v>0</v>
      </c>
      <c r="BS69" s="593">
        <f t="shared" ref="BS69:BS113" si="68">AO69</f>
        <v>0</v>
      </c>
      <c r="BT69" s="593">
        <f t="shared" ref="BT69:BT113" si="69">AS69</f>
        <v>0</v>
      </c>
      <c r="BU69" s="593">
        <f t="shared" ref="BU69:BU113" si="70">AP69</f>
        <v>0</v>
      </c>
      <c r="BV69" s="593">
        <f t="shared" ref="BV69:BV113" si="71">AK69</f>
        <v>0</v>
      </c>
      <c r="BW69" s="593">
        <f t="shared" ref="BW69:BW113" si="72">AU69</f>
        <v>0</v>
      </c>
      <c r="BX69" s="593">
        <f t="shared" ref="BX69:BX113" si="73">AH69</f>
        <v>0</v>
      </c>
      <c r="BY69" s="593">
        <f t="shared" ref="BY69:BY113" si="74">AL69</f>
        <v>0</v>
      </c>
      <c r="BZ69" s="593">
        <f t="shared" ref="BZ69:BZ113" si="75">AP69</f>
        <v>0</v>
      </c>
      <c r="CA69" s="593">
        <f t="shared" ref="CA69:CA113" si="76">AS69</f>
        <v>0</v>
      </c>
      <c r="CB69" s="593">
        <f t="shared" ref="CB69:CB113" si="77">AU69</f>
        <v>0</v>
      </c>
      <c r="CC69" s="593">
        <f t="shared" ref="CC69:CC113" si="78">AN69</f>
        <v>0</v>
      </c>
      <c r="CD69" s="593">
        <f t="shared" ref="CD69:CE113" si="79">AM69</f>
        <v>0</v>
      </c>
      <c r="CE69" s="593">
        <f t="shared" si="79"/>
        <v>0</v>
      </c>
      <c r="CF69" s="595">
        <f t="shared" ref="CF69:CF113" si="80">AU69</f>
        <v>0</v>
      </c>
      <c r="CG69" s="555" t="str">
        <f t="shared" ref="CG69:CG113" si="81">TRIM(G69)</f>
        <v/>
      </c>
      <c r="CH69" s="530" t="str">
        <f t="shared" ref="CH69:CH113" si="82">IF(CG69="","",LEN(CG69))</f>
        <v/>
      </c>
      <c r="CI69" s="530" t="str">
        <f t="shared" ref="CI69:CI113" si="83">IF(CG69="","",FIND("　",CG69,1))</f>
        <v/>
      </c>
      <c r="CJ69" s="530" t="str">
        <f t="shared" ref="CJ69:CJ113" si="84">IF(CG69="","",CH69-CI69)</f>
        <v/>
      </c>
      <c r="CK69" s="530" t="str">
        <f t="shared" ref="CK69:CK113" si="85">IF(CG69="","",LEFT(CG69,CI69-1))</f>
        <v/>
      </c>
      <c r="CL69" s="530" t="str">
        <f t="shared" ref="CL69:CL113" si="86">IF(CG69="","",RIGHT(CG69,CJ69))</f>
        <v/>
      </c>
      <c r="CM69" s="82" t="str">
        <f t="shared" ref="CM69:CM113" si="87">IF(CG69="","",IF(CH69=4,CONCATENATE(CK69,"　","　",CL69),IF(CH69=6,CONCATENATE(CK69,CL69),CG69)))</f>
        <v/>
      </c>
      <c r="CN69" s="496" t="str">
        <f t="shared" si="51"/>
        <v/>
      </c>
      <c r="CO69" s="496" t="str">
        <f t="shared" ref="CO69:CO113" si="88">IF(M69&lt;10,CONCATENATE(0,M69),M69)</f>
        <v>0</v>
      </c>
      <c r="CP69" s="491">
        <f t="shared" ref="CP69:CP113" si="89">K69</f>
        <v>0</v>
      </c>
      <c r="CS69" s="496">
        <f t="shared" ref="CS69:CS113" si="90">IF(L69=1,"01",IF(L69=2,"02",IF(L69=3,"03",IF(L69=4,"04",IF(L69=5,"05",IF(L69=6,"06",IF(L69=7,"07",IF(L69=8,"08",IF(L69=9,"09",L69)))))))))</f>
        <v>0</v>
      </c>
      <c r="CT69" s="496">
        <f t="shared" ref="CT69:CT113" si="91">IF(M69=1,"01",IF(M69=2,"02",IF(M69=3,"03",IF(M69=4,"04",IF(M69=5,"05",IF(M69=6,"06",IF(M69=7,"07",IF(M69=8,"08",IF(M69=9,"09",M69)))))))))</f>
        <v>0</v>
      </c>
      <c r="CU69" s="497" t="str">
        <f t="shared" ref="CU69:CU113" si="92">CONCATENATE(CS69,CT69)</f>
        <v>00</v>
      </c>
    </row>
    <row r="70" spans="1:99" ht="15" hidden="1" customHeight="1">
      <c r="A70" s="951">
        <v>67</v>
      </c>
      <c r="B70" s="953"/>
      <c r="C70" s="922"/>
      <c r="D70" s="923"/>
      <c r="E70" s="913"/>
      <c r="F70" s="914"/>
      <c r="G70" s="926"/>
      <c r="H70" s="921"/>
      <c r="I70" s="917"/>
      <c r="J70" s="916"/>
      <c r="K70" s="1012"/>
      <c r="L70" s="1012"/>
      <c r="M70" s="1013"/>
      <c r="N70" s="1028" t="str">
        <f t="shared" si="52"/>
        <v>00</v>
      </c>
      <c r="O70" s="406" t="str">
        <f t="shared" ref="O70:O113" si="93">IF(G70="","",$O$4)</f>
        <v/>
      </c>
      <c r="P70" s="407" t="str">
        <f>IF(O70="","",VLOOKUP(O70,所属コード!$A$2:$E$11,2,FALSE))</f>
        <v/>
      </c>
      <c r="Q70" s="1033" t="str">
        <f>IF(O70="","",VLOOKUP(O70,所属コード!$A$2:$G$11,7,FALSE))</f>
        <v/>
      </c>
      <c r="R70" s="1035"/>
      <c r="S70" s="77"/>
      <c r="T70" s="77"/>
      <c r="U70" s="77"/>
      <c r="V70" s="15"/>
      <c r="X70" s="488"/>
      <c r="Y70" s="945" t="str">
        <f t="shared" si="53"/>
        <v/>
      </c>
      <c r="Z70" s="489" t="str">
        <f t="shared" si="54"/>
        <v/>
      </c>
      <c r="AA70" s="488"/>
      <c r="AB70" s="488"/>
      <c r="AC70" s="488"/>
      <c r="AD70" s="488"/>
      <c r="AE70" s="488"/>
      <c r="AF70" s="488"/>
      <c r="AG70" s="491"/>
      <c r="AH70" s="591"/>
      <c r="AI70" s="592"/>
      <c r="AJ70" s="592"/>
      <c r="AK70" s="592"/>
      <c r="AL70" s="592"/>
      <c r="AM70" s="592"/>
      <c r="AN70" s="592"/>
      <c r="AO70" s="592"/>
      <c r="AP70" s="592"/>
      <c r="AQ70" s="592"/>
      <c r="AR70" s="592"/>
      <c r="AS70" s="592"/>
      <c r="AT70" s="592"/>
      <c r="AU70" s="592"/>
      <c r="AV70" s="592"/>
      <c r="AW70" s="604"/>
      <c r="AX70" s="609">
        <f t="shared" si="55"/>
        <v>0</v>
      </c>
      <c r="AY70" s="602">
        <f t="shared" si="48"/>
        <v>0</v>
      </c>
      <c r="AZ70" s="593">
        <f t="shared" si="49"/>
        <v>0</v>
      </c>
      <c r="BA70" s="594">
        <f t="shared" si="50"/>
        <v>0</v>
      </c>
      <c r="BB70" s="593">
        <f t="shared" si="50"/>
        <v>0</v>
      </c>
      <c r="BC70" s="593">
        <f t="shared" si="56"/>
        <v>0</v>
      </c>
      <c r="BD70" s="593">
        <f t="shared" si="57"/>
        <v>0</v>
      </c>
      <c r="BE70" s="593">
        <f t="shared" si="58"/>
        <v>0</v>
      </c>
      <c r="BF70" s="593">
        <f t="shared" si="59"/>
        <v>0</v>
      </c>
      <c r="BG70" s="593">
        <f t="shared" si="60"/>
        <v>0</v>
      </c>
      <c r="BH70" s="593">
        <f t="shared" si="61"/>
        <v>0</v>
      </c>
      <c r="BI70" s="593">
        <f t="shared" si="61"/>
        <v>0</v>
      </c>
      <c r="BJ70" s="593">
        <f t="shared" si="62"/>
        <v>0</v>
      </c>
      <c r="BK70" s="593">
        <f t="shared" si="62"/>
        <v>0</v>
      </c>
      <c r="BL70" s="593">
        <f t="shared" si="63"/>
        <v>0</v>
      </c>
      <c r="BM70" s="593">
        <f t="shared" si="64"/>
        <v>0</v>
      </c>
      <c r="BN70" s="593">
        <f t="shared" si="64"/>
        <v>0</v>
      </c>
      <c r="BO70" s="593">
        <f t="shared" si="64"/>
        <v>0</v>
      </c>
      <c r="BP70" s="593">
        <f t="shared" si="65"/>
        <v>0</v>
      </c>
      <c r="BQ70" s="593">
        <f t="shared" si="66"/>
        <v>0</v>
      </c>
      <c r="BR70" s="593">
        <f t="shared" si="67"/>
        <v>0</v>
      </c>
      <c r="BS70" s="593">
        <f t="shared" si="68"/>
        <v>0</v>
      </c>
      <c r="BT70" s="593">
        <f t="shared" si="69"/>
        <v>0</v>
      </c>
      <c r="BU70" s="593">
        <f t="shared" si="70"/>
        <v>0</v>
      </c>
      <c r="BV70" s="593">
        <f t="shared" si="71"/>
        <v>0</v>
      </c>
      <c r="BW70" s="593">
        <f t="shared" si="72"/>
        <v>0</v>
      </c>
      <c r="BX70" s="593">
        <f t="shared" si="73"/>
        <v>0</v>
      </c>
      <c r="BY70" s="593">
        <f t="shared" si="74"/>
        <v>0</v>
      </c>
      <c r="BZ70" s="593">
        <f t="shared" si="75"/>
        <v>0</v>
      </c>
      <c r="CA70" s="593">
        <f t="shared" si="76"/>
        <v>0</v>
      </c>
      <c r="CB70" s="593">
        <f t="shared" si="77"/>
        <v>0</v>
      </c>
      <c r="CC70" s="593">
        <f t="shared" si="78"/>
        <v>0</v>
      </c>
      <c r="CD70" s="593">
        <f t="shared" si="79"/>
        <v>0</v>
      </c>
      <c r="CE70" s="593">
        <f t="shared" si="79"/>
        <v>0</v>
      </c>
      <c r="CF70" s="595">
        <f t="shared" si="80"/>
        <v>0</v>
      </c>
      <c r="CG70" s="555" t="str">
        <f t="shared" si="81"/>
        <v/>
      </c>
      <c r="CH70" s="530" t="str">
        <f t="shared" si="82"/>
        <v/>
      </c>
      <c r="CI70" s="530" t="str">
        <f t="shared" si="83"/>
        <v/>
      </c>
      <c r="CJ70" s="530" t="str">
        <f t="shared" si="84"/>
        <v/>
      </c>
      <c r="CK70" s="530" t="str">
        <f t="shared" si="85"/>
        <v/>
      </c>
      <c r="CL70" s="530" t="str">
        <f t="shared" si="86"/>
        <v/>
      </c>
      <c r="CM70" s="82" t="str">
        <f t="shared" si="87"/>
        <v/>
      </c>
      <c r="CN70" s="496" t="str">
        <f t="shared" si="51"/>
        <v/>
      </c>
      <c r="CO70" s="496" t="str">
        <f t="shared" si="88"/>
        <v>0</v>
      </c>
      <c r="CP70" s="491">
        <f t="shared" si="89"/>
        <v>0</v>
      </c>
      <c r="CS70" s="496">
        <f t="shared" si="90"/>
        <v>0</v>
      </c>
      <c r="CT70" s="496">
        <f t="shared" si="91"/>
        <v>0</v>
      </c>
      <c r="CU70" s="497" t="str">
        <f t="shared" si="92"/>
        <v>00</v>
      </c>
    </row>
    <row r="71" spans="1:99" ht="15" hidden="1" customHeight="1">
      <c r="A71" s="951">
        <v>68</v>
      </c>
      <c r="B71" s="953"/>
      <c r="C71" s="922"/>
      <c r="D71" s="923"/>
      <c r="E71" s="913"/>
      <c r="F71" s="914"/>
      <c r="G71" s="926"/>
      <c r="H71" s="921"/>
      <c r="I71" s="917"/>
      <c r="J71" s="916"/>
      <c r="K71" s="1012"/>
      <c r="L71" s="1012"/>
      <c r="M71" s="1013"/>
      <c r="N71" s="1028" t="str">
        <f t="shared" si="52"/>
        <v>00</v>
      </c>
      <c r="O71" s="406" t="str">
        <f t="shared" si="93"/>
        <v/>
      </c>
      <c r="P71" s="407" t="str">
        <f>IF(O71="","",VLOOKUP(O71,所属コード!$A$2:$E$11,2,FALSE))</f>
        <v/>
      </c>
      <c r="Q71" s="1033" t="str">
        <f>IF(O71="","",VLOOKUP(O71,所属コード!$A$2:$G$11,7,FALSE))</f>
        <v/>
      </c>
      <c r="R71" s="1035"/>
      <c r="S71" s="77"/>
      <c r="T71" s="77"/>
      <c r="U71" s="77"/>
      <c r="V71" s="15"/>
      <c r="X71" s="488"/>
      <c r="Y71" s="945" t="str">
        <f t="shared" si="53"/>
        <v/>
      </c>
      <c r="Z71" s="489" t="str">
        <f t="shared" si="54"/>
        <v/>
      </c>
      <c r="AA71" s="488"/>
      <c r="AB71" s="488"/>
      <c r="AC71" s="488"/>
      <c r="AD71" s="488"/>
      <c r="AE71" s="488"/>
      <c r="AF71" s="488"/>
      <c r="AG71" s="491"/>
      <c r="AH71" s="591"/>
      <c r="AI71" s="592"/>
      <c r="AJ71" s="592"/>
      <c r="AK71" s="592"/>
      <c r="AL71" s="592"/>
      <c r="AM71" s="592"/>
      <c r="AN71" s="592"/>
      <c r="AO71" s="592"/>
      <c r="AP71" s="592"/>
      <c r="AQ71" s="592"/>
      <c r="AR71" s="592"/>
      <c r="AS71" s="592"/>
      <c r="AT71" s="592"/>
      <c r="AU71" s="592"/>
      <c r="AV71" s="592"/>
      <c r="AW71" s="604"/>
      <c r="AX71" s="609">
        <f t="shared" si="55"/>
        <v>0</v>
      </c>
      <c r="AY71" s="602">
        <f t="shared" si="48"/>
        <v>0</v>
      </c>
      <c r="AZ71" s="593">
        <f t="shared" si="49"/>
        <v>0</v>
      </c>
      <c r="BA71" s="594">
        <f t="shared" si="50"/>
        <v>0</v>
      </c>
      <c r="BB71" s="593">
        <f t="shared" si="50"/>
        <v>0</v>
      </c>
      <c r="BC71" s="593">
        <f t="shared" si="56"/>
        <v>0</v>
      </c>
      <c r="BD71" s="593">
        <f t="shared" si="57"/>
        <v>0</v>
      </c>
      <c r="BE71" s="593">
        <f t="shared" si="58"/>
        <v>0</v>
      </c>
      <c r="BF71" s="593">
        <f t="shared" si="59"/>
        <v>0</v>
      </c>
      <c r="BG71" s="593">
        <f t="shared" si="60"/>
        <v>0</v>
      </c>
      <c r="BH71" s="593">
        <f t="shared" si="61"/>
        <v>0</v>
      </c>
      <c r="BI71" s="593">
        <f t="shared" si="61"/>
        <v>0</v>
      </c>
      <c r="BJ71" s="593">
        <f t="shared" si="62"/>
        <v>0</v>
      </c>
      <c r="BK71" s="593">
        <f t="shared" si="62"/>
        <v>0</v>
      </c>
      <c r="BL71" s="593">
        <f t="shared" si="63"/>
        <v>0</v>
      </c>
      <c r="BM71" s="593">
        <f t="shared" si="64"/>
        <v>0</v>
      </c>
      <c r="BN71" s="593">
        <f t="shared" si="64"/>
        <v>0</v>
      </c>
      <c r="BO71" s="593">
        <f t="shared" si="64"/>
        <v>0</v>
      </c>
      <c r="BP71" s="593">
        <f t="shared" si="65"/>
        <v>0</v>
      </c>
      <c r="BQ71" s="593">
        <f t="shared" si="66"/>
        <v>0</v>
      </c>
      <c r="BR71" s="593">
        <f t="shared" si="67"/>
        <v>0</v>
      </c>
      <c r="BS71" s="593">
        <f t="shared" si="68"/>
        <v>0</v>
      </c>
      <c r="BT71" s="593">
        <f t="shared" si="69"/>
        <v>0</v>
      </c>
      <c r="BU71" s="593">
        <f t="shared" si="70"/>
        <v>0</v>
      </c>
      <c r="BV71" s="593">
        <f t="shared" si="71"/>
        <v>0</v>
      </c>
      <c r="BW71" s="593">
        <f t="shared" si="72"/>
        <v>0</v>
      </c>
      <c r="BX71" s="593">
        <f t="shared" si="73"/>
        <v>0</v>
      </c>
      <c r="BY71" s="593">
        <f t="shared" si="74"/>
        <v>0</v>
      </c>
      <c r="BZ71" s="593">
        <f t="shared" si="75"/>
        <v>0</v>
      </c>
      <c r="CA71" s="593">
        <f t="shared" si="76"/>
        <v>0</v>
      </c>
      <c r="CB71" s="593">
        <f t="shared" si="77"/>
        <v>0</v>
      </c>
      <c r="CC71" s="593">
        <f t="shared" si="78"/>
        <v>0</v>
      </c>
      <c r="CD71" s="593">
        <f t="shared" si="79"/>
        <v>0</v>
      </c>
      <c r="CE71" s="593">
        <f t="shared" si="79"/>
        <v>0</v>
      </c>
      <c r="CF71" s="595">
        <f t="shared" si="80"/>
        <v>0</v>
      </c>
      <c r="CG71" s="555" t="str">
        <f t="shared" si="81"/>
        <v/>
      </c>
      <c r="CH71" s="530" t="str">
        <f t="shared" si="82"/>
        <v/>
      </c>
      <c r="CI71" s="530" t="str">
        <f t="shared" si="83"/>
        <v/>
      </c>
      <c r="CJ71" s="530" t="str">
        <f t="shared" si="84"/>
        <v/>
      </c>
      <c r="CK71" s="530" t="str">
        <f t="shared" si="85"/>
        <v/>
      </c>
      <c r="CL71" s="530" t="str">
        <f t="shared" si="86"/>
        <v/>
      </c>
      <c r="CM71" s="82" t="str">
        <f t="shared" si="87"/>
        <v/>
      </c>
      <c r="CN71" s="496" t="str">
        <f t="shared" si="51"/>
        <v/>
      </c>
      <c r="CO71" s="496" t="str">
        <f t="shared" si="88"/>
        <v>0</v>
      </c>
      <c r="CP71" s="491">
        <f t="shared" si="89"/>
        <v>0</v>
      </c>
      <c r="CS71" s="496">
        <f t="shared" si="90"/>
        <v>0</v>
      </c>
      <c r="CT71" s="496">
        <f t="shared" si="91"/>
        <v>0</v>
      </c>
      <c r="CU71" s="497" t="str">
        <f t="shared" si="92"/>
        <v>00</v>
      </c>
    </row>
    <row r="72" spans="1:99" ht="15" hidden="1" customHeight="1">
      <c r="A72" s="951">
        <v>69</v>
      </c>
      <c r="B72" s="953"/>
      <c r="C72" s="922"/>
      <c r="D72" s="923"/>
      <c r="E72" s="913"/>
      <c r="F72" s="914"/>
      <c r="G72" s="926"/>
      <c r="H72" s="921"/>
      <c r="I72" s="917"/>
      <c r="J72" s="916"/>
      <c r="K72" s="1012"/>
      <c r="L72" s="1012"/>
      <c r="M72" s="1013"/>
      <c r="N72" s="1028" t="str">
        <f t="shared" si="52"/>
        <v>00</v>
      </c>
      <c r="O72" s="406" t="str">
        <f t="shared" si="93"/>
        <v/>
      </c>
      <c r="P72" s="407" t="str">
        <f>IF(O72="","",VLOOKUP(O72,所属コード!$A$2:$E$11,2,FALSE))</f>
        <v/>
      </c>
      <c r="Q72" s="1033" t="str">
        <f>IF(O72="","",VLOOKUP(O72,所属コード!$A$2:$G$11,7,FALSE))</f>
        <v/>
      </c>
      <c r="R72" s="1035"/>
      <c r="S72" s="77"/>
      <c r="T72" s="77"/>
      <c r="U72" s="77"/>
      <c r="V72" s="15"/>
      <c r="X72" s="488"/>
      <c r="Y72" s="945" t="str">
        <f t="shared" si="53"/>
        <v/>
      </c>
      <c r="Z72" s="489" t="str">
        <f t="shared" si="54"/>
        <v/>
      </c>
      <c r="AA72" s="488"/>
      <c r="AB72" s="488"/>
      <c r="AC72" s="488"/>
      <c r="AD72" s="488"/>
      <c r="AE72" s="488"/>
      <c r="AF72" s="488"/>
      <c r="AG72" s="491"/>
      <c r="AH72" s="591"/>
      <c r="AI72" s="592"/>
      <c r="AJ72" s="592"/>
      <c r="AK72" s="592"/>
      <c r="AL72" s="592"/>
      <c r="AM72" s="592"/>
      <c r="AN72" s="592"/>
      <c r="AO72" s="592"/>
      <c r="AP72" s="592"/>
      <c r="AQ72" s="592"/>
      <c r="AR72" s="592"/>
      <c r="AS72" s="592"/>
      <c r="AT72" s="592"/>
      <c r="AU72" s="592"/>
      <c r="AV72" s="592"/>
      <c r="AW72" s="604"/>
      <c r="AX72" s="609">
        <f t="shared" si="55"/>
        <v>0</v>
      </c>
      <c r="AY72" s="602">
        <f t="shared" si="48"/>
        <v>0</v>
      </c>
      <c r="AZ72" s="593">
        <f t="shared" si="49"/>
        <v>0</v>
      </c>
      <c r="BA72" s="594">
        <f t="shared" si="50"/>
        <v>0</v>
      </c>
      <c r="BB72" s="593">
        <f t="shared" si="50"/>
        <v>0</v>
      </c>
      <c r="BC72" s="593">
        <f t="shared" si="56"/>
        <v>0</v>
      </c>
      <c r="BD72" s="593">
        <f t="shared" si="57"/>
        <v>0</v>
      </c>
      <c r="BE72" s="593">
        <f t="shared" si="58"/>
        <v>0</v>
      </c>
      <c r="BF72" s="593">
        <f t="shared" si="59"/>
        <v>0</v>
      </c>
      <c r="BG72" s="593">
        <f t="shared" si="60"/>
        <v>0</v>
      </c>
      <c r="BH72" s="593">
        <f t="shared" si="61"/>
        <v>0</v>
      </c>
      <c r="BI72" s="593">
        <f t="shared" si="61"/>
        <v>0</v>
      </c>
      <c r="BJ72" s="593">
        <f t="shared" si="62"/>
        <v>0</v>
      </c>
      <c r="BK72" s="593">
        <f t="shared" si="62"/>
        <v>0</v>
      </c>
      <c r="BL72" s="593">
        <f t="shared" si="63"/>
        <v>0</v>
      </c>
      <c r="BM72" s="593">
        <f t="shared" si="64"/>
        <v>0</v>
      </c>
      <c r="BN72" s="593">
        <f t="shared" si="64"/>
        <v>0</v>
      </c>
      <c r="BO72" s="593">
        <f t="shared" si="64"/>
        <v>0</v>
      </c>
      <c r="BP72" s="593">
        <f t="shared" si="65"/>
        <v>0</v>
      </c>
      <c r="BQ72" s="593">
        <f t="shared" si="66"/>
        <v>0</v>
      </c>
      <c r="BR72" s="593">
        <f t="shared" si="67"/>
        <v>0</v>
      </c>
      <c r="BS72" s="593">
        <f t="shared" si="68"/>
        <v>0</v>
      </c>
      <c r="BT72" s="593">
        <f t="shared" si="69"/>
        <v>0</v>
      </c>
      <c r="BU72" s="593">
        <f t="shared" si="70"/>
        <v>0</v>
      </c>
      <c r="BV72" s="593">
        <f t="shared" si="71"/>
        <v>0</v>
      </c>
      <c r="BW72" s="593">
        <f t="shared" si="72"/>
        <v>0</v>
      </c>
      <c r="BX72" s="593">
        <f t="shared" si="73"/>
        <v>0</v>
      </c>
      <c r="BY72" s="593">
        <f t="shared" si="74"/>
        <v>0</v>
      </c>
      <c r="BZ72" s="593">
        <f t="shared" si="75"/>
        <v>0</v>
      </c>
      <c r="CA72" s="593">
        <f t="shared" si="76"/>
        <v>0</v>
      </c>
      <c r="CB72" s="593">
        <f t="shared" si="77"/>
        <v>0</v>
      </c>
      <c r="CC72" s="593">
        <f t="shared" si="78"/>
        <v>0</v>
      </c>
      <c r="CD72" s="593">
        <f t="shared" si="79"/>
        <v>0</v>
      </c>
      <c r="CE72" s="593">
        <f t="shared" si="79"/>
        <v>0</v>
      </c>
      <c r="CF72" s="595">
        <f t="shared" si="80"/>
        <v>0</v>
      </c>
      <c r="CG72" s="555" t="str">
        <f t="shared" si="81"/>
        <v/>
      </c>
      <c r="CH72" s="530" t="str">
        <f t="shared" si="82"/>
        <v/>
      </c>
      <c r="CI72" s="530" t="str">
        <f t="shared" si="83"/>
        <v/>
      </c>
      <c r="CJ72" s="530" t="str">
        <f t="shared" si="84"/>
        <v/>
      </c>
      <c r="CK72" s="530" t="str">
        <f t="shared" si="85"/>
        <v/>
      </c>
      <c r="CL72" s="530" t="str">
        <f t="shared" si="86"/>
        <v/>
      </c>
      <c r="CM72" s="82" t="str">
        <f t="shared" si="87"/>
        <v/>
      </c>
      <c r="CN72" s="496" t="str">
        <f t="shared" si="51"/>
        <v/>
      </c>
      <c r="CO72" s="496" t="str">
        <f t="shared" si="88"/>
        <v>0</v>
      </c>
      <c r="CP72" s="491">
        <f t="shared" si="89"/>
        <v>0</v>
      </c>
      <c r="CS72" s="496">
        <f t="shared" si="90"/>
        <v>0</v>
      </c>
      <c r="CT72" s="496">
        <f t="shared" si="91"/>
        <v>0</v>
      </c>
      <c r="CU72" s="497" t="str">
        <f t="shared" si="92"/>
        <v>00</v>
      </c>
    </row>
    <row r="73" spans="1:99" ht="15" hidden="1" customHeight="1">
      <c r="A73" s="951">
        <v>70</v>
      </c>
      <c r="B73" s="953"/>
      <c r="C73" s="922"/>
      <c r="D73" s="923"/>
      <c r="E73" s="913"/>
      <c r="F73" s="914"/>
      <c r="G73" s="926"/>
      <c r="H73" s="921"/>
      <c r="I73" s="917"/>
      <c r="J73" s="916"/>
      <c r="K73" s="1012"/>
      <c r="L73" s="1012"/>
      <c r="M73" s="1013"/>
      <c r="N73" s="1028" t="str">
        <f t="shared" si="52"/>
        <v>00</v>
      </c>
      <c r="O73" s="406" t="str">
        <f t="shared" si="93"/>
        <v/>
      </c>
      <c r="P73" s="407" t="str">
        <f>IF(O73="","",VLOOKUP(O73,所属コード!$A$2:$E$11,2,FALSE))</f>
        <v/>
      </c>
      <c r="Q73" s="1033" t="str">
        <f>IF(O73="","",VLOOKUP(O73,所属コード!$A$2:$G$11,7,FALSE))</f>
        <v/>
      </c>
      <c r="R73" s="1035"/>
      <c r="S73" s="77"/>
      <c r="T73" s="77"/>
      <c r="U73" s="77"/>
      <c r="V73" s="15"/>
      <c r="X73" s="488"/>
      <c r="Y73" s="945" t="str">
        <f t="shared" si="53"/>
        <v/>
      </c>
      <c r="Z73" s="489" t="str">
        <f t="shared" si="54"/>
        <v/>
      </c>
      <c r="AA73" s="488"/>
      <c r="AB73" s="488"/>
      <c r="AC73" s="488"/>
      <c r="AD73" s="488"/>
      <c r="AE73" s="488"/>
      <c r="AF73" s="488"/>
      <c r="AG73" s="491"/>
      <c r="AH73" s="591"/>
      <c r="AI73" s="592"/>
      <c r="AJ73" s="592"/>
      <c r="AK73" s="592"/>
      <c r="AL73" s="592"/>
      <c r="AM73" s="592"/>
      <c r="AN73" s="592"/>
      <c r="AO73" s="592"/>
      <c r="AP73" s="592"/>
      <c r="AQ73" s="592"/>
      <c r="AR73" s="592"/>
      <c r="AS73" s="592"/>
      <c r="AT73" s="592"/>
      <c r="AU73" s="592"/>
      <c r="AV73" s="592"/>
      <c r="AW73" s="604"/>
      <c r="AX73" s="609">
        <f t="shared" si="55"/>
        <v>0</v>
      </c>
      <c r="AY73" s="602">
        <f t="shared" si="48"/>
        <v>0</v>
      </c>
      <c r="AZ73" s="593">
        <f t="shared" si="49"/>
        <v>0</v>
      </c>
      <c r="BA73" s="594">
        <f t="shared" si="50"/>
        <v>0</v>
      </c>
      <c r="BB73" s="593">
        <f t="shared" si="50"/>
        <v>0</v>
      </c>
      <c r="BC73" s="593">
        <f t="shared" si="56"/>
        <v>0</v>
      </c>
      <c r="BD73" s="593">
        <f t="shared" si="57"/>
        <v>0</v>
      </c>
      <c r="BE73" s="593">
        <f t="shared" si="58"/>
        <v>0</v>
      </c>
      <c r="BF73" s="593">
        <f t="shared" si="59"/>
        <v>0</v>
      </c>
      <c r="BG73" s="593">
        <f t="shared" si="60"/>
        <v>0</v>
      </c>
      <c r="BH73" s="593">
        <f t="shared" si="61"/>
        <v>0</v>
      </c>
      <c r="BI73" s="593">
        <f t="shared" si="61"/>
        <v>0</v>
      </c>
      <c r="BJ73" s="593">
        <f t="shared" si="62"/>
        <v>0</v>
      </c>
      <c r="BK73" s="593">
        <f t="shared" si="62"/>
        <v>0</v>
      </c>
      <c r="BL73" s="593">
        <f t="shared" si="63"/>
        <v>0</v>
      </c>
      <c r="BM73" s="593">
        <f t="shared" si="64"/>
        <v>0</v>
      </c>
      <c r="BN73" s="593">
        <f t="shared" si="64"/>
        <v>0</v>
      </c>
      <c r="BO73" s="593">
        <f t="shared" si="64"/>
        <v>0</v>
      </c>
      <c r="BP73" s="593">
        <f t="shared" si="65"/>
        <v>0</v>
      </c>
      <c r="BQ73" s="593">
        <f t="shared" si="66"/>
        <v>0</v>
      </c>
      <c r="BR73" s="593">
        <f t="shared" si="67"/>
        <v>0</v>
      </c>
      <c r="BS73" s="593">
        <f t="shared" si="68"/>
        <v>0</v>
      </c>
      <c r="BT73" s="593">
        <f t="shared" si="69"/>
        <v>0</v>
      </c>
      <c r="BU73" s="593">
        <f t="shared" si="70"/>
        <v>0</v>
      </c>
      <c r="BV73" s="593">
        <f t="shared" si="71"/>
        <v>0</v>
      </c>
      <c r="BW73" s="593">
        <f t="shared" si="72"/>
        <v>0</v>
      </c>
      <c r="BX73" s="593">
        <f t="shared" si="73"/>
        <v>0</v>
      </c>
      <c r="BY73" s="593">
        <f t="shared" si="74"/>
        <v>0</v>
      </c>
      <c r="BZ73" s="593">
        <f t="shared" si="75"/>
        <v>0</v>
      </c>
      <c r="CA73" s="593">
        <f t="shared" si="76"/>
        <v>0</v>
      </c>
      <c r="CB73" s="593">
        <f t="shared" si="77"/>
        <v>0</v>
      </c>
      <c r="CC73" s="593">
        <f t="shared" si="78"/>
        <v>0</v>
      </c>
      <c r="CD73" s="593">
        <f t="shared" si="79"/>
        <v>0</v>
      </c>
      <c r="CE73" s="593">
        <f t="shared" si="79"/>
        <v>0</v>
      </c>
      <c r="CF73" s="595">
        <f t="shared" si="80"/>
        <v>0</v>
      </c>
      <c r="CG73" s="555" t="str">
        <f t="shared" si="81"/>
        <v/>
      </c>
      <c r="CH73" s="530" t="str">
        <f t="shared" si="82"/>
        <v/>
      </c>
      <c r="CI73" s="530" t="str">
        <f t="shared" si="83"/>
        <v/>
      </c>
      <c r="CJ73" s="530" t="str">
        <f t="shared" si="84"/>
        <v/>
      </c>
      <c r="CK73" s="530" t="str">
        <f t="shared" si="85"/>
        <v/>
      </c>
      <c r="CL73" s="530" t="str">
        <f t="shared" si="86"/>
        <v/>
      </c>
      <c r="CM73" s="82" t="str">
        <f t="shared" si="87"/>
        <v/>
      </c>
      <c r="CN73" s="496" t="str">
        <f t="shared" si="51"/>
        <v/>
      </c>
      <c r="CO73" s="496" t="str">
        <f t="shared" si="88"/>
        <v>0</v>
      </c>
      <c r="CP73" s="491">
        <f t="shared" si="89"/>
        <v>0</v>
      </c>
      <c r="CS73" s="496">
        <f t="shared" si="90"/>
        <v>0</v>
      </c>
      <c r="CT73" s="496">
        <f t="shared" si="91"/>
        <v>0</v>
      </c>
      <c r="CU73" s="497" t="str">
        <f t="shared" si="92"/>
        <v>00</v>
      </c>
    </row>
    <row r="74" spans="1:99" ht="15" hidden="1" customHeight="1">
      <c r="A74" s="951">
        <v>71</v>
      </c>
      <c r="B74" s="953"/>
      <c r="C74" s="922"/>
      <c r="D74" s="923"/>
      <c r="E74" s="913"/>
      <c r="F74" s="914"/>
      <c r="G74" s="926"/>
      <c r="H74" s="921"/>
      <c r="I74" s="917"/>
      <c r="J74" s="916"/>
      <c r="K74" s="1012"/>
      <c r="L74" s="1012"/>
      <c r="M74" s="1013"/>
      <c r="N74" s="1028" t="str">
        <f t="shared" si="52"/>
        <v>00</v>
      </c>
      <c r="O74" s="406" t="str">
        <f t="shared" si="93"/>
        <v/>
      </c>
      <c r="P74" s="407" t="str">
        <f>IF(O74="","",VLOOKUP(O74,所属コード!$A$2:$E$11,2,FALSE))</f>
        <v/>
      </c>
      <c r="Q74" s="1033" t="str">
        <f>IF(O74="","",VLOOKUP(O74,所属コード!$A$2:$G$11,7,FALSE))</f>
        <v/>
      </c>
      <c r="R74" s="1035"/>
      <c r="S74" s="77"/>
      <c r="T74" s="77"/>
      <c r="U74" s="77"/>
      <c r="V74" s="15"/>
      <c r="X74" s="488"/>
      <c r="Y74" s="945" t="str">
        <f t="shared" si="53"/>
        <v/>
      </c>
      <c r="Z74" s="489" t="str">
        <f t="shared" si="54"/>
        <v/>
      </c>
      <c r="AA74" s="488"/>
      <c r="AB74" s="488"/>
      <c r="AC74" s="488"/>
      <c r="AD74" s="488"/>
      <c r="AE74" s="488"/>
      <c r="AF74" s="488"/>
      <c r="AG74" s="491"/>
      <c r="AH74" s="591"/>
      <c r="AI74" s="592"/>
      <c r="AJ74" s="592"/>
      <c r="AK74" s="592"/>
      <c r="AL74" s="592"/>
      <c r="AM74" s="592"/>
      <c r="AN74" s="592"/>
      <c r="AO74" s="592"/>
      <c r="AP74" s="592"/>
      <c r="AQ74" s="592"/>
      <c r="AR74" s="592"/>
      <c r="AS74" s="592"/>
      <c r="AT74" s="592"/>
      <c r="AU74" s="592"/>
      <c r="AV74" s="592"/>
      <c r="AW74" s="604"/>
      <c r="AX74" s="609">
        <f t="shared" si="55"/>
        <v>0</v>
      </c>
      <c r="AY74" s="602">
        <f t="shared" si="48"/>
        <v>0</v>
      </c>
      <c r="AZ74" s="593">
        <f t="shared" si="49"/>
        <v>0</v>
      </c>
      <c r="BA74" s="594">
        <f t="shared" si="50"/>
        <v>0</v>
      </c>
      <c r="BB74" s="593">
        <f t="shared" si="50"/>
        <v>0</v>
      </c>
      <c r="BC74" s="593">
        <f t="shared" si="56"/>
        <v>0</v>
      </c>
      <c r="BD74" s="593">
        <f t="shared" si="57"/>
        <v>0</v>
      </c>
      <c r="BE74" s="593">
        <f t="shared" si="58"/>
        <v>0</v>
      </c>
      <c r="BF74" s="593">
        <f t="shared" si="59"/>
        <v>0</v>
      </c>
      <c r="BG74" s="593">
        <f t="shared" si="60"/>
        <v>0</v>
      </c>
      <c r="BH74" s="593">
        <f t="shared" si="61"/>
        <v>0</v>
      </c>
      <c r="BI74" s="593">
        <f t="shared" si="61"/>
        <v>0</v>
      </c>
      <c r="BJ74" s="593">
        <f t="shared" si="62"/>
        <v>0</v>
      </c>
      <c r="BK74" s="593">
        <f t="shared" si="62"/>
        <v>0</v>
      </c>
      <c r="BL74" s="593">
        <f t="shared" si="63"/>
        <v>0</v>
      </c>
      <c r="BM74" s="593">
        <f t="shared" si="64"/>
        <v>0</v>
      </c>
      <c r="BN74" s="593">
        <f t="shared" si="64"/>
        <v>0</v>
      </c>
      <c r="BO74" s="593">
        <f t="shared" si="64"/>
        <v>0</v>
      </c>
      <c r="BP74" s="593">
        <f t="shared" si="65"/>
        <v>0</v>
      </c>
      <c r="BQ74" s="593">
        <f t="shared" si="66"/>
        <v>0</v>
      </c>
      <c r="BR74" s="593">
        <f t="shared" si="67"/>
        <v>0</v>
      </c>
      <c r="BS74" s="593">
        <f t="shared" si="68"/>
        <v>0</v>
      </c>
      <c r="BT74" s="593">
        <f t="shared" si="69"/>
        <v>0</v>
      </c>
      <c r="BU74" s="593">
        <f t="shared" si="70"/>
        <v>0</v>
      </c>
      <c r="BV74" s="593">
        <f t="shared" si="71"/>
        <v>0</v>
      </c>
      <c r="BW74" s="593">
        <f t="shared" si="72"/>
        <v>0</v>
      </c>
      <c r="BX74" s="593">
        <f t="shared" si="73"/>
        <v>0</v>
      </c>
      <c r="BY74" s="593">
        <f t="shared" si="74"/>
        <v>0</v>
      </c>
      <c r="BZ74" s="593">
        <f t="shared" si="75"/>
        <v>0</v>
      </c>
      <c r="CA74" s="593">
        <f t="shared" si="76"/>
        <v>0</v>
      </c>
      <c r="CB74" s="593">
        <f t="shared" si="77"/>
        <v>0</v>
      </c>
      <c r="CC74" s="593">
        <f t="shared" si="78"/>
        <v>0</v>
      </c>
      <c r="CD74" s="593">
        <f t="shared" si="79"/>
        <v>0</v>
      </c>
      <c r="CE74" s="593">
        <f t="shared" si="79"/>
        <v>0</v>
      </c>
      <c r="CF74" s="595">
        <f t="shared" si="80"/>
        <v>0</v>
      </c>
      <c r="CG74" s="555" t="str">
        <f t="shared" si="81"/>
        <v/>
      </c>
      <c r="CH74" s="530" t="str">
        <f t="shared" si="82"/>
        <v/>
      </c>
      <c r="CI74" s="530" t="str">
        <f t="shared" si="83"/>
        <v/>
      </c>
      <c r="CJ74" s="530" t="str">
        <f t="shared" si="84"/>
        <v/>
      </c>
      <c r="CK74" s="530" t="str">
        <f t="shared" si="85"/>
        <v/>
      </c>
      <c r="CL74" s="530" t="str">
        <f t="shared" si="86"/>
        <v/>
      </c>
      <c r="CM74" s="82" t="str">
        <f t="shared" si="87"/>
        <v/>
      </c>
      <c r="CN74" s="496" t="str">
        <f t="shared" si="51"/>
        <v/>
      </c>
      <c r="CO74" s="496" t="str">
        <f t="shared" si="88"/>
        <v>0</v>
      </c>
      <c r="CP74" s="491">
        <f t="shared" si="89"/>
        <v>0</v>
      </c>
      <c r="CS74" s="496">
        <f t="shared" si="90"/>
        <v>0</v>
      </c>
      <c r="CT74" s="496">
        <f t="shared" si="91"/>
        <v>0</v>
      </c>
      <c r="CU74" s="497" t="str">
        <f t="shared" si="92"/>
        <v>00</v>
      </c>
    </row>
    <row r="75" spans="1:99" ht="15" hidden="1" customHeight="1">
      <c r="A75" s="951">
        <v>72</v>
      </c>
      <c r="B75" s="953"/>
      <c r="C75" s="922"/>
      <c r="D75" s="923"/>
      <c r="E75" s="913"/>
      <c r="F75" s="914"/>
      <c r="G75" s="926"/>
      <c r="H75" s="921"/>
      <c r="I75" s="917"/>
      <c r="J75" s="916"/>
      <c r="K75" s="1012"/>
      <c r="L75" s="1012"/>
      <c r="M75" s="1013"/>
      <c r="N75" s="1028" t="str">
        <f t="shared" si="52"/>
        <v>00</v>
      </c>
      <c r="O75" s="406" t="str">
        <f t="shared" si="93"/>
        <v/>
      </c>
      <c r="P75" s="407" t="str">
        <f>IF(O75="","",VLOOKUP(O75,所属コード!$A$2:$E$11,2,FALSE))</f>
        <v/>
      </c>
      <c r="Q75" s="1033" t="str">
        <f>IF(O75="","",VLOOKUP(O75,所属コード!$A$2:$G$11,7,FALSE))</f>
        <v/>
      </c>
      <c r="R75" s="1035"/>
      <c r="S75" s="77"/>
      <c r="T75" s="77"/>
      <c r="U75" s="77"/>
      <c r="V75" s="15"/>
      <c r="X75" s="488"/>
      <c r="Y75" s="945" t="str">
        <f t="shared" si="53"/>
        <v/>
      </c>
      <c r="Z75" s="489" t="str">
        <f t="shared" si="54"/>
        <v/>
      </c>
      <c r="AA75" s="488"/>
      <c r="AB75" s="488"/>
      <c r="AC75" s="488"/>
      <c r="AD75" s="488"/>
      <c r="AE75" s="488"/>
      <c r="AF75" s="488"/>
      <c r="AG75" s="491"/>
      <c r="AH75" s="591"/>
      <c r="AI75" s="592"/>
      <c r="AJ75" s="592"/>
      <c r="AK75" s="592"/>
      <c r="AL75" s="592"/>
      <c r="AM75" s="592"/>
      <c r="AN75" s="592"/>
      <c r="AO75" s="592"/>
      <c r="AP75" s="592"/>
      <c r="AQ75" s="592"/>
      <c r="AR75" s="592"/>
      <c r="AS75" s="592"/>
      <c r="AT75" s="592"/>
      <c r="AU75" s="592"/>
      <c r="AV75" s="592"/>
      <c r="AW75" s="604"/>
      <c r="AX75" s="609">
        <f t="shared" si="55"/>
        <v>0</v>
      </c>
      <c r="AY75" s="602">
        <f t="shared" si="48"/>
        <v>0</v>
      </c>
      <c r="AZ75" s="593">
        <f t="shared" si="49"/>
        <v>0</v>
      </c>
      <c r="BA75" s="594">
        <f t="shared" si="50"/>
        <v>0</v>
      </c>
      <c r="BB75" s="593">
        <f t="shared" si="50"/>
        <v>0</v>
      </c>
      <c r="BC75" s="593">
        <f t="shared" si="56"/>
        <v>0</v>
      </c>
      <c r="BD75" s="593">
        <f t="shared" si="57"/>
        <v>0</v>
      </c>
      <c r="BE75" s="593">
        <f t="shared" si="58"/>
        <v>0</v>
      </c>
      <c r="BF75" s="593">
        <f t="shared" si="59"/>
        <v>0</v>
      </c>
      <c r="BG75" s="593">
        <f t="shared" si="60"/>
        <v>0</v>
      </c>
      <c r="BH75" s="593">
        <f t="shared" si="61"/>
        <v>0</v>
      </c>
      <c r="BI75" s="593">
        <f t="shared" si="61"/>
        <v>0</v>
      </c>
      <c r="BJ75" s="593">
        <f t="shared" si="62"/>
        <v>0</v>
      </c>
      <c r="BK75" s="593">
        <f t="shared" si="62"/>
        <v>0</v>
      </c>
      <c r="BL75" s="593">
        <f t="shared" si="63"/>
        <v>0</v>
      </c>
      <c r="BM75" s="593">
        <f t="shared" si="64"/>
        <v>0</v>
      </c>
      <c r="BN75" s="593">
        <f t="shared" si="64"/>
        <v>0</v>
      </c>
      <c r="BO75" s="593">
        <f t="shared" si="64"/>
        <v>0</v>
      </c>
      <c r="BP75" s="593">
        <f t="shared" si="65"/>
        <v>0</v>
      </c>
      <c r="BQ75" s="593">
        <f t="shared" si="66"/>
        <v>0</v>
      </c>
      <c r="BR75" s="593">
        <f t="shared" si="67"/>
        <v>0</v>
      </c>
      <c r="BS75" s="593">
        <f t="shared" si="68"/>
        <v>0</v>
      </c>
      <c r="BT75" s="593">
        <f t="shared" si="69"/>
        <v>0</v>
      </c>
      <c r="BU75" s="593">
        <f t="shared" si="70"/>
        <v>0</v>
      </c>
      <c r="BV75" s="593">
        <f t="shared" si="71"/>
        <v>0</v>
      </c>
      <c r="BW75" s="593">
        <f t="shared" si="72"/>
        <v>0</v>
      </c>
      <c r="BX75" s="593">
        <f t="shared" si="73"/>
        <v>0</v>
      </c>
      <c r="BY75" s="593">
        <f t="shared" si="74"/>
        <v>0</v>
      </c>
      <c r="BZ75" s="593">
        <f t="shared" si="75"/>
        <v>0</v>
      </c>
      <c r="CA75" s="593">
        <f t="shared" si="76"/>
        <v>0</v>
      </c>
      <c r="CB75" s="593">
        <f t="shared" si="77"/>
        <v>0</v>
      </c>
      <c r="CC75" s="593">
        <f t="shared" si="78"/>
        <v>0</v>
      </c>
      <c r="CD75" s="593">
        <f t="shared" si="79"/>
        <v>0</v>
      </c>
      <c r="CE75" s="593">
        <f t="shared" si="79"/>
        <v>0</v>
      </c>
      <c r="CF75" s="595">
        <f t="shared" si="80"/>
        <v>0</v>
      </c>
      <c r="CG75" s="555" t="str">
        <f t="shared" si="81"/>
        <v/>
      </c>
      <c r="CH75" s="530" t="str">
        <f t="shared" si="82"/>
        <v/>
      </c>
      <c r="CI75" s="530" t="str">
        <f t="shared" si="83"/>
        <v/>
      </c>
      <c r="CJ75" s="530" t="str">
        <f t="shared" si="84"/>
        <v/>
      </c>
      <c r="CK75" s="530" t="str">
        <f t="shared" si="85"/>
        <v/>
      </c>
      <c r="CL75" s="530" t="str">
        <f t="shared" si="86"/>
        <v/>
      </c>
      <c r="CM75" s="82" t="str">
        <f t="shared" si="87"/>
        <v/>
      </c>
      <c r="CN75" s="496" t="str">
        <f t="shared" si="51"/>
        <v/>
      </c>
      <c r="CO75" s="496" t="str">
        <f t="shared" si="88"/>
        <v>0</v>
      </c>
      <c r="CP75" s="491">
        <f t="shared" si="89"/>
        <v>0</v>
      </c>
      <c r="CS75" s="496">
        <f t="shared" si="90"/>
        <v>0</v>
      </c>
      <c r="CT75" s="496">
        <f t="shared" si="91"/>
        <v>0</v>
      </c>
      <c r="CU75" s="497" t="str">
        <f t="shared" si="92"/>
        <v>00</v>
      </c>
    </row>
    <row r="76" spans="1:99" ht="15" hidden="1" customHeight="1">
      <c r="A76" s="951">
        <v>73</v>
      </c>
      <c r="B76" s="953"/>
      <c r="C76" s="922"/>
      <c r="D76" s="923"/>
      <c r="E76" s="913"/>
      <c r="F76" s="914"/>
      <c r="G76" s="926"/>
      <c r="H76" s="921"/>
      <c r="I76" s="917"/>
      <c r="J76" s="916"/>
      <c r="K76" s="1012"/>
      <c r="L76" s="1012"/>
      <c r="M76" s="1013"/>
      <c r="N76" s="1028" t="str">
        <f t="shared" si="52"/>
        <v>00</v>
      </c>
      <c r="O76" s="406" t="str">
        <f t="shared" si="93"/>
        <v/>
      </c>
      <c r="P76" s="407" t="str">
        <f>IF(O76="","",VLOOKUP(O76,所属コード!$A$2:$E$11,2,FALSE))</f>
        <v/>
      </c>
      <c r="Q76" s="1033" t="str">
        <f>IF(O76="","",VLOOKUP(O76,所属コード!$A$2:$G$11,7,FALSE))</f>
        <v/>
      </c>
      <c r="R76" s="1035"/>
      <c r="S76" s="77"/>
      <c r="T76" s="77"/>
      <c r="U76" s="77"/>
      <c r="V76" s="15"/>
      <c r="X76" s="488"/>
      <c r="Y76" s="945" t="str">
        <f t="shared" si="53"/>
        <v/>
      </c>
      <c r="Z76" s="489" t="str">
        <f t="shared" si="54"/>
        <v/>
      </c>
      <c r="AA76" s="488"/>
      <c r="AB76" s="488"/>
      <c r="AC76" s="488"/>
      <c r="AD76" s="488"/>
      <c r="AE76" s="488"/>
      <c r="AF76" s="488"/>
      <c r="AG76" s="491"/>
      <c r="AH76" s="591"/>
      <c r="AI76" s="592"/>
      <c r="AJ76" s="592"/>
      <c r="AK76" s="592"/>
      <c r="AL76" s="592"/>
      <c r="AM76" s="592"/>
      <c r="AN76" s="592"/>
      <c r="AO76" s="592"/>
      <c r="AP76" s="592"/>
      <c r="AQ76" s="592"/>
      <c r="AR76" s="592"/>
      <c r="AS76" s="592"/>
      <c r="AT76" s="592"/>
      <c r="AU76" s="592"/>
      <c r="AV76" s="592"/>
      <c r="AW76" s="604"/>
      <c r="AX76" s="609">
        <f t="shared" si="55"/>
        <v>0</v>
      </c>
      <c r="AY76" s="602">
        <f t="shared" si="48"/>
        <v>0</v>
      </c>
      <c r="AZ76" s="593">
        <f t="shared" si="49"/>
        <v>0</v>
      </c>
      <c r="BA76" s="594">
        <f t="shared" si="50"/>
        <v>0</v>
      </c>
      <c r="BB76" s="593">
        <f t="shared" si="50"/>
        <v>0</v>
      </c>
      <c r="BC76" s="593">
        <f t="shared" si="56"/>
        <v>0</v>
      </c>
      <c r="BD76" s="593">
        <f t="shared" si="57"/>
        <v>0</v>
      </c>
      <c r="BE76" s="593">
        <f t="shared" si="58"/>
        <v>0</v>
      </c>
      <c r="BF76" s="593">
        <f t="shared" si="59"/>
        <v>0</v>
      </c>
      <c r="BG76" s="593">
        <f t="shared" si="60"/>
        <v>0</v>
      </c>
      <c r="BH76" s="593">
        <f t="shared" si="61"/>
        <v>0</v>
      </c>
      <c r="BI76" s="593">
        <f t="shared" si="61"/>
        <v>0</v>
      </c>
      <c r="BJ76" s="593">
        <f t="shared" si="62"/>
        <v>0</v>
      </c>
      <c r="BK76" s="593">
        <f t="shared" si="62"/>
        <v>0</v>
      </c>
      <c r="BL76" s="593">
        <f t="shared" si="63"/>
        <v>0</v>
      </c>
      <c r="BM76" s="593">
        <f t="shared" si="64"/>
        <v>0</v>
      </c>
      <c r="BN76" s="593">
        <f t="shared" si="64"/>
        <v>0</v>
      </c>
      <c r="BO76" s="593">
        <f t="shared" si="64"/>
        <v>0</v>
      </c>
      <c r="BP76" s="593">
        <f t="shared" si="65"/>
        <v>0</v>
      </c>
      <c r="BQ76" s="593">
        <f t="shared" si="66"/>
        <v>0</v>
      </c>
      <c r="BR76" s="593">
        <f t="shared" si="67"/>
        <v>0</v>
      </c>
      <c r="BS76" s="593">
        <f t="shared" si="68"/>
        <v>0</v>
      </c>
      <c r="BT76" s="593">
        <f t="shared" si="69"/>
        <v>0</v>
      </c>
      <c r="BU76" s="593">
        <f t="shared" si="70"/>
        <v>0</v>
      </c>
      <c r="BV76" s="593">
        <f t="shared" si="71"/>
        <v>0</v>
      </c>
      <c r="BW76" s="593">
        <f t="shared" si="72"/>
        <v>0</v>
      </c>
      <c r="BX76" s="593">
        <f t="shared" si="73"/>
        <v>0</v>
      </c>
      <c r="BY76" s="593">
        <f t="shared" si="74"/>
        <v>0</v>
      </c>
      <c r="BZ76" s="593">
        <f t="shared" si="75"/>
        <v>0</v>
      </c>
      <c r="CA76" s="593">
        <f t="shared" si="76"/>
        <v>0</v>
      </c>
      <c r="CB76" s="593">
        <f t="shared" si="77"/>
        <v>0</v>
      </c>
      <c r="CC76" s="593">
        <f t="shared" si="78"/>
        <v>0</v>
      </c>
      <c r="CD76" s="593">
        <f t="shared" si="79"/>
        <v>0</v>
      </c>
      <c r="CE76" s="593">
        <f t="shared" si="79"/>
        <v>0</v>
      </c>
      <c r="CF76" s="595">
        <f t="shared" si="80"/>
        <v>0</v>
      </c>
      <c r="CG76" s="555" t="str">
        <f t="shared" si="81"/>
        <v/>
      </c>
      <c r="CH76" s="530" t="str">
        <f t="shared" si="82"/>
        <v/>
      </c>
      <c r="CI76" s="530" t="str">
        <f t="shared" si="83"/>
        <v/>
      </c>
      <c r="CJ76" s="530" t="str">
        <f t="shared" si="84"/>
        <v/>
      </c>
      <c r="CK76" s="530" t="str">
        <f t="shared" si="85"/>
        <v/>
      </c>
      <c r="CL76" s="530" t="str">
        <f t="shared" si="86"/>
        <v/>
      </c>
      <c r="CM76" s="82" t="str">
        <f t="shared" si="87"/>
        <v/>
      </c>
      <c r="CN76" s="496" t="str">
        <f t="shared" si="51"/>
        <v/>
      </c>
      <c r="CO76" s="496" t="str">
        <f t="shared" si="88"/>
        <v>0</v>
      </c>
      <c r="CP76" s="491">
        <f t="shared" si="89"/>
        <v>0</v>
      </c>
      <c r="CS76" s="496">
        <f t="shared" si="90"/>
        <v>0</v>
      </c>
      <c r="CT76" s="496">
        <f t="shared" si="91"/>
        <v>0</v>
      </c>
      <c r="CU76" s="497" t="str">
        <f t="shared" si="92"/>
        <v>00</v>
      </c>
    </row>
    <row r="77" spans="1:99" ht="15" hidden="1" customHeight="1">
      <c r="A77" s="951">
        <v>74</v>
      </c>
      <c r="B77" s="953"/>
      <c r="C77" s="922"/>
      <c r="D77" s="923"/>
      <c r="E77" s="913"/>
      <c r="F77" s="914"/>
      <c r="G77" s="926"/>
      <c r="H77" s="921"/>
      <c r="I77" s="917"/>
      <c r="J77" s="916"/>
      <c r="K77" s="1012"/>
      <c r="L77" s="1012"/>
      <c r="M77" s="1013"/>
      <c r="N77" s="1028" t="str">
        <f t="shared" si="52"/>
        <v>00</v>
      </c>
      <c r="O77" s="406" t="str">
        <f t="shared" si="93"/>
        <v/>
      </c>
      <c r="P77" s="407" t="str">
        <f>IF(O77="","",VLOOKUP(O77,所属コード!$A$2:$E$11,2,FALSE))</f>
        <v/>
      </c>
      <c r="Q77" s="1033" t="str">
        <f>IF(O77="","",VLOOKUP(O77,所属コード!$A$2:$G$11,7,FALSE))</f>
        <v/>
      </c>
      <c r="R77" s="1035"/>
      <c r="S77" s="77"/>
      <c r="T77" s="77"/>
      <c r="U77" s="77"/>
      <c r="V77" s="15"/>
      <c r="X77" s="488"/>
      <c r="Y77" s="945" t="str">
        <f t="shared" si="53"/>
        <v/>
      </c>
      <c r="Z77" s="489" t="str">
        <f t="shared" si="54"/>
        <v/>
      </c>
      <c r="AA77" s="488"/>
      <c r="AB77" s="488"/>
      <c r="AC77" s="488"/>
      <c r="AD77" s="488"/>
      <c r="AE77" s="488"/>
      <c r="AF77" s="488"/>
      <c r="AG77" s="491"/>
      <c r="AH77" s="591"/>
      <c r="AI77" s="592"/>
      <c r="AJ77" s="592"/>
      <c r="AK77" s="592"/>
      <c r="AL77" s="592"/>
      <c r="AM77" s="592"/>
      <c r="AN77" s="592"/>
      <c r="AO77" s="592"/>
      <c r="AP77" s="592"/>
      <c r="AQ77" s="592"/>
      <c r="AR77" s="592"/>
      <c r="AS77" s="592"/>
      <c r="AT77" s="592"/>
      <c r="AU77" s="592"/>
      <c r="AV77" s="592"/>
      <c r="AW77" s="604"/>
      <c r="AX77" s="609">
        <f t="shared" si="55"/>
        <v>0</v>
      </c>
      <c r="AY77" s="602">
        <f t="shared" si="48"/>
        <v>0</v>
      </c>
      <c r="AZ77" s="593">
        <f t="shared" si="49"/>
        <v>0</v>
      </c>
      <c r="BA77" s="594">
        <f t="shared" si="50"/>
        <v>0</v>
      </c>
      <c r="BB77" s="593">
        <f t="shared" si="50"/>
        <v>0</v>
      </c>
      <c r="BC77" s="593">
        <f t="shared" si="56"/>
        <v>0</v>
      </c>
      <c r="BD77" s="593">
        <f t="shared" si="57"/>
        <v>0</v>
      </c>
      <c r="BE77" s="593">
        <f t="shared" si="58"/>
        <v>0</v>
      </c>
      <c r="BF77" s="593">
        <f t="shared" si="59"/>
        <v>0</v>
      </c>
      <c r="BG77" s="593">
        <f t="shared" si="60"/>
        <v>0</v>
      </c>
      <c r="BH77" s="593">
        <f t="shared" si="61"/>
        <v>0</v>
      </c>
      <c r="BI77" s="593">
        <f t="shared" si="61"/>
        <v>0</v>
      </c>
      <c r="BJ77" s="593">
        <f t="shared" si="62"/>
        <v>0</v>
      </c>
      <c r="BK77" s="593">
        <f t="shared" si="62"/>
        <v>0</v>
      </c>
      <c r="BL77" s="593">
        <f t="shared" si="63"/>
        <v>0</v>
      </c>
      <c r="BM77" s="593">
        <f t="shared" si="64"/>
        <v>0</v>
      </c>
      <c r="BN77" s="593">
        <f t="shared" si="64"/>
        <v>0</v>
      </c>
      <c r="BO77" s="593">
        <f t="shared" si="64"/>
        <v>0</v>
      </c>
      <c r="BP77" s="593">
        <f t="shared" si="65"/>
        <v>0</v>
      </c>
      <c r="BQ77" s="593">
        <f t="shared" si="66"/>
        <v>0</v>
      </c>
      <c r="BR77" s="593">
        <f t="shared" si="67"/>
        <v>0</v>
      </c>
      <c r="BS77" s="593">
        <f t="shared" si="68"/>
        <v>0</v>
      </c>
      <c r="BT77" s="593">
        <f t="shared" si="69"/>
        <v>0</v>
      </c>
      <c r="BU77" s="593">
        <f t="shared" si="70"/>
        <v>0</v>
      </c>
      <c r="BV77" s="593">
        <f t="shared" si="71"/>
        <v>0</v>
      </c>
      <c r="BW77" s="593">
        <f t="shared" si="72"/>
        <v>0</v>
      </c>
      <c r="BX77" s="593">
        <f t="shared" si="73"/>
        <v>0</v>
      </c>
      <c r="BY77" s="593">
        <f t="shared" si="74"/>
        <v>0</v>
      </c>
      <c r="BZ77" s="593">
        <f t="shared" si="75"/>
        <v>0</v>
      </c>
      <c r="CA77" s="593">
        <f t="shared" si="76"/>
        <v>0</v>
      </c>
      <c r="CB77" s="593">
        <f t="shared" si="77"/>
        <v>0</v>
      </c>
      <c r="CC77" s="593">
        <f t="shared" si="78"/>
        <v>0</v>
      </c>
      <c r="CD77" s="593">
        <f t="shared" si="79"/>
        <v>0</v>
      </c>
      <c r="CE77" s="593">
        <f t="shared" si="79"/>
        <v>0</v>
      </c>
      <c r="CF77" s="595">
        <f t="shared" si="80"/>
        <v>0</v>
      </c>
      <c r="CG77" s="555" t="str">
        <f t="shared" si="81"/>
        <v/>
      </c>
      <c r="CH77" s="530" t="str">
        <f t="shared" si="82"/>
        <v/>
      </c>
      <c r="CI77" s="530" t="str">
        <f t="shared" si="83"/>
        <v/>
      </c>
      <c r="CJ77" s="530" t="str">
        <f t="shared" si="84"/>
        <v/>
      </c>
      <c r="CK77" s="530" t="str">
        <f t="shared" si="85"/>
        <v/>
      </c>
      <c r="CL77" s="530" t="str">
        <f t="shared" si="86"/>
        <v/>
      </c>
      <c r="CM77" s="82" t="str">
        <f t="shared" si="87"/>
        <v/>
      </c>
      <c r="CN77" s="496" t="str">
        <f t="shared" si="51"/>
        <v/>
      </c>
      <c r="CO77" s="496" t="str">
        <f t="shared" si="88"/>
        <v>0</v>
      </c>
      <c r="CP77" s="491">
        <f t="shared" si="89"/>
        <v>0</v>
      </c>
      <c r="CS77" s="496">
        <f t="shared" si="90"/>
        <v>0</v>
      </c>
      <c r="CT77" s="496">
        <f t="shared" si="91"/>
        <v>0</v>
      </c>
      <c r="CU77" s="497" t="str">
        <f t="shared" si="92"/>
        <v>00</v>
      </c>
    </row>
    <row r="78" spans="1:99" ht="15" hidden="1" customHeight="1">
      <c r="A78" s="951">
        <v>75</v>
      </c>
      <c r="B78" s="953"/>
      <c r="C78" s="922"/>
      <c r="D78" s="923"/>
      <c r="E78" s="913"/>
      <c r="F78" s="914"/>
      <c r="G78" s="926"/>
      <c r="H78" s="915"/>
      <c r="I78" s="916"/>
      <c r="J78" s="917"/>
      <c r="K78" s="1012"/>
      <c r="L78" s="1012"/>
      <c r="M78" s="1013"/>
      <c r="N78" s="1028" t="str">
        <f t="shared" si="52"/>
        <v>00</v>
      </c>
      <c r="O78" s="406" t="str">
        <f t="shared" si="93"/>
        <v/>
      </c>
      <c r="P78" s="407" t="str">
        <f>IF(O78="","",VLOOKUP(O78,所属コード!$A$2:$E$11,2,FALSE))</f>
        <v/>
      </c>
      <c r="Q78" s="1033" t="str">
        <f>IF(O78="","",VLOOKUP(O78,所属コード!$A$2:$G$11,7,FALSE))</f>
        <v/>
      </c>
      <c r="R78" s="1035"/>
      <c r="S78" s="77"/>
      <c r="T78" s="77"/>
      <c r="U78" s="77"/>
      <c r="V78" s="15"/>
      <c r="X78" s="488"/>
      <c r="Y78" s="945" t="str">
        <f t="shared" si="53"/>
        <v/>
      </c>
      <c r="Z78" s="489" t="str">
        <f t="shared" si="54"/>
        <v/>
      </c>
      <c r="AA78" s="488"/>
      <c r="AB78" s="488"/>
      <c r="AC78" s="488"/>
      <c r="AD78" s="488"/>
      <c r="AE78" s="488"/>
      <c r="AF78" s="488"/>
      <c r="AG78" s="491"/>
      <c r="AH78" s="591"/>
      <c r="AI78" s="592"/>
      <c r="AJ78" s="592"/>
      <c r="AK78" s="592"/>
      <c r="AL78" s="592"/>
      <c r="AM78" s="592"/>
      <c r="AN78" s="592"/>
      <c r="AO78" s="592"/>
      <c r="AP78" s="592"/>
      <c r="AQ78" s="592"/>
      <c r="AR78" s="592"/>
      <c r="AS78" s="592"/>
      <c r="AT78" s="592"/>
      <c r="AU78" s="592"/>
      <c r="AV78" s="592"/>
      <c r="AW78" s="604"/>
      <c r="AX78" s="609">
        <f t="shared" si="55"/>
        <v>0</v>
      </c>
      <c r="AY78" s="602">
        <f t="shared" si="48"/>
        <v>0</v>
      </c>
      <c r="AZ78" s="593">
        <f t="shared" si="49"/>
        <v>0</v>
      </c>
      <c r="BA78" s="594">
        <f t="shared" si="50"/>
        <v>0</v>
      </c>
      <c r="BB78" s="593">
        <f t="shared" si="50"/>
        <v>0</v>
      </c>
      <c r="BC78" s="593">
        <f t="shared" si="56"/>
        <v>0</v>
      </c>
      <c r="BD78" s="593">
        <f t="shared" si="57"/>
        <v>0</v>
      </c>
      <c r="BE78" s="593">
        <f t="shared" si="58"/>
        <v>0</v>
      </c>
      <c r="BF78" s="593">
        <f t="shared" si="59"/>
        <v>0</v>
      </c>
      <c r="BG78" s="593">
        <f t="shared" si="60"/>
        <v>0</v>
      </c>
      <c r="BH78" s="593">
        <f t="shared" si="61"/>
        <v>0</v>
      </c>
      <c r="BI78" s="593">
        <f t="shared" si="61"/>
        <v>0</v>
      </c>
      <c r="BJ78" s="593">
        <f t="shared" si="62"/>
        <v>0</v>
      </c>
      <c r="BK78" s="593">
        <f t="shared" si="62"/>
        <v>0</v>
      </c>
      <c r="BL78" s="593">
        <f t="shared" si="63"/>
        <v>0</v>
      </c>
      <c r="BM78" s="593">
        <f t="shared" si="64"/>
        <v>0</v>
      </c>
      <c r="BN78" s="593">
        <f t="shared" si="64"/>
        <v>0</v>
      </c>
      <c r="BO78" s="593">
        <f t="shared" si="64"/>
        <v>0</v>
      </c>
      <c r="BP78" s="593">
        <f t="shared" si="65"/>
        <v>0</v>
      </c>
      <c r="BQ78" s="593">
        <f t="shared" si="66"/>
        <v>0</v>
      </c>
      <c r="BR78" s="593">
        <f t="shared" si="67"/>
        <v>0</v>
      </c>
      <c r="BS78" s="593">
        <f t="shared" si="68"/>
        <v>0</v>
      </c>
      <c r="BT78" s="593">
        <f t="shared" si="69"/>
        <v>0</v>
      </c>
      <c r="BU78" s="593">
        <f t="shared" si="70"/>
        <v>0</v>
      </c>
      <c r="BV78" s="593">
        <f t="shared" si="71"/>
        <v>0</v>
      </c>
      <c r="BW78" s="593">
        <f t="shared" si="72"/>
        <v>0</v>
      </c>
      <c r="BX78" s="593">
        <f t="shared" si="73"/>
        <v>0</v>
      </c>
      <c r="BY78" s="593">
        <f t="shared" si="74"/>
        <v>0</v>
      </c>
      <c r="BZ78" s="593">
        <f t="shared" si="75"/>
        <v>0</v>
      </c>
      <c r="CA78" s="593">
        <f t="shared" si="76"/>
        <v>0</v>
      </c>
      <c r="CB78" s="593">
        <f t="shared" si="77"/>
        <v>0</v>
      </c>
      <c r="CC78" s="593">
        <f t="shared" si="78"/>
        <v>0</v>
      </c>
      <c r="CD78" s="593">
        <f t="shared" si="79"/>
        <v>0</v>
      </c>
      <c r="CE78" s="593">
        <f t="shared" si="79"/>
        <v>0</v>
      </c>
      <c r="CF78" s="595">
        <f t="shared" si="80"/>
        <v>0</v>
      </c>
      <c r="CG78" s="555" t="str">
        <f t="shared" si="81"/>
        <v/>
      </c>
      <c r="CH78" s="530" t="str">
        <f t="shared" si="82"/>
        <v/>
      </c>
      <c r="CI78" s="530" t="str">
        <f t="shared" si="83"/>
        <v/>
      </c>
      <c r="CJ78" s="530" t="str">
        <f t="shared" si="84"/>
        <v/>
      </c>
      <c r="CK78" s="530" t="str">
        <f t="shared" si="85"/>
        <v/>
      </c>
      <c r="CL78" s="530" t="str">
        <f t="shared" si="86"/>
        <v/>
      </c>
      <c r="CM78" s="82" t="str">
        <f t="shared" si="87"/>
        <v/>
      </c>
      <c r="CN78" s="496" t="str">
        <f t="shared" si="51"/>
        <v/>
      </c>
      <c r="CO78" s="496" t="str">
        <f t="shared" si="88"/>
        <v>0</v>
      </c>
      <c r="CP78" s="491">
        <f t="shared" si="89"/>
        <v>0</v>
      </c>
      <c r="CS78" s="496">
        <f t="shared" si="90"/>
        <v>0</v>
      </c>
      <c r="CT78" s="496">
        <f t="shared" si="91"/>
        <v>0</v>
      </c>
      <c r="CU78" s="497" t="str">
        <f t="shared" si="92"/>
        <v>00</v>
      </c>
    </row>
    <row r="79" spans="1:99" ht="15" hidden="1" customHeight="1">
      <c r="A79" s="951">
        <v>76</v>
      </c>
      <c r="B79" s="953"/>
      <c r="C79" s="922"/>
      <c r="D79" s="923"/>
      <c r="E79" s="913"/>
      <c r="F79" s="914"/>
      <c r="G79" s="926"/>
      <c r="H79" s="915"/>
      <c r="I79" s="916"/>
      <c r="J79" s="917"/>
      <c r="K79" s="1012"/>
      <c r="L79" s="1012"/>
      <c r="M79" s="1013"/>
      <c r="N79" s="1028" t="str">
        <f t="shared" si="52"/>
        <v>00</v>
      </c>
      <c r="O79" s="406" t="str">
        <f t="shared" si="93"/>
        <v/>
      </c>
      <c r="P79" s="407" t="str">
        <f>IF(O79="","",VLOOKUP(O79,所属コード!$A$2:$E$11,2,FALSE))</f>
        <v/>
      </c>
      <c r="Q79" s="1033" t="str">
        <f>IF(O79="","",VLOOKUP(O79,所属コード!$A$2:$G$11,7,FALSE))</f>
        <v/>
      </c>
      <c r="R79" s="1035"/>
      <c r="S79" s="77"/>
      <c r="T79" s="77"/>
      <c r="U79" s="77"/>
      <c r="V79" s="15"/>
      <c r="X79" s="488"/>
      <c r="Y79" s="945" t="str">
        <f t="shared" si="53"/>
        <v/>
      </c>
      <c r="Z79" s="489" t="str">
        <f t="shared" si="54"/>
        <v/>
      </c>
      <c r="AA79" s="488"/>
      <c r="AB79" s="488"/>
      <c r="AC79" s="488"/>
      <c r="AD79" s="488"/>
      <c r="AE79" s="488"/>
      <c r="AF79" s="488"/>
      <c r="AG79" s="491"/>
      <c r="AH79" s="591"/>
      <c r="AI79" s="592"/>
      <c r="AJ79" s="592"/>
      <c r="AK79" s="592"/>
      <c r="AL79" s="592"/>
      <c r="AM79" s="592"/>
      <c r="AN79" s="592"/>
      <c r="AO79" s="592"/>
      <c r="AP79" s="592"/>
      <c r="AQ79" s="592"/>
      <c r="AR79" s="592"/>
      <c r="AS79" s="592"/>
      <c r="AT79" s="592"/>
      <c r="AU79" s="592"/>
      <c r="AV79" s="592"/>
      <c r="AW79" s="604"/>
      <c r="AX79" s="609">
        <f t="shared" si="55"/>
        <v>0</v>
      </c>
      <c r="AY79" s="602">
        <f t="shared" si="48"/>
        <v>0</v>
      </c>
      <c r="AZ79" s="593">
        <f t="shared" si="49"/>
        <v>0</v>
      </c>
      <c r="BA79" s="594">
        <f t="shared" si="50"/>
        <v>0</v>
      </c>
      <c r="BB79" s="593">
        <f t="shared" si="50"/>
        <v>0</v>
      </c>
      <c r="BC79" s="593">
        <f t="shared" si="56"/>
        <v>0</v>
      </c>
      <c r="BD79" s="593">
        <f t="shared" si="57"/>
        <v>0</v>
      </c>
      <c r="BE79" s="593">
        <f t="shared" si="58"/>
        <v>0</v>
      </c>
      <c r="BF79" s="593">
        <f t="shared" si="59"/>
        <v>0</v>
      </c>
      <c r="BG79" s="593">
        <f t="shared" si="60"/>
        <v>0</v>
      </c>
      <c r="BH79" s="593">
        <f t="shared" si="61"/>
        <v>0</v>
      </c>
      <c r="BI79" s="593">
        <f t="shared" si="61"/>
        <v>0</v>
      </c>
      <c r="BJ79" s="593">
        <f t="shared" si="62"/>
        <v>0</v>
      </c>
      <c r="BK79" s="593">
        <f t="shared" si="62"/>
        <v>0</v>
      </c>
      <c r="BL79" s="593">
        <f t="shared" si="63"/>
        <v>0</v>
      </c>
      <c r="BM79" s="593">
        <f t="shared" si="64"/>
        <v>0</v>
      </c>
      <c r="BN79" s="593">
        <f t="shared" si="64"/>
        <v>0</v>
      </c>
      <c r="BO79" s="593">
        <f t="shared" si="64"/>
        <v>0</v>
      </c>
      <c r="BP79" s="593">
        <f t="shared" si="65"/>
        <v>0</v>
      </c>
      <c r="BQ79" s="593">
        <f t="shared" si="66"/>
        <v>0</v>
      </c>
      <c r="BR79" s="593">
        <f t="shared" si="67"/>
        <v>0</v>
      </c>
      <c r="BS79" s="593">
        <f t="shared" si="68"/>
        <v>0</v>
      </c>
      <c r="BT79" s="593">
        <f t="shared" si="69"/>
        <v>0</v>
      </c>
      <c r="BU79" s="593">
        <f t="shared" si="70"/>
        <v>0</v>
      </c>
      <c r="BV79" s="593">
        <f t="shared" si="71"/>
        <v>0</v>
      </c>
      <c r="BW79" s="593">
        <f t="shared" si="72"/>
        <v>0</v>
      </c>
      <c r="BX79" s="593">
        <f t="shared" si="73"/>
        <v>0</v>
      </c>
      <c r="BY79" s="593">
        <f t="shared" si="74"/>
        <v>0</v>
      </c>
      <c r="BZ79" s="593">
        <f t="shared" si="75"/>
        <v>0</v>
      </c>
      <c r="CA79" s="593">
        <f t="shared" si="76"/>
        <v>0</v>
      </c>
      <c r="CB79" s="593">
        <f t="shared" si="77"/>
        <v>0</v>
      </c>
      <c r="CC79" s="593">
        <f t="shared" si="78"/>
        <v>0</v>
      </c>
      <c r="CD79" s="593">
        <f t="shared" si="79"/>
        <v>0</v>
      </c>
      <c r="CE79" s="593">
        <f t="shared" si="79"/>
        <v>0</v>
      </c>
      <c r="CF79" s="595">
        <f t="shared" si="80"/>
        <v>0</v>
      </c>
      <c r="CG79" s="555" t="str">
        <f t="shared" si="81"/>
        <v/>
      </c>
      <c r="CH79" s="530" t="str">
        <f t="shared" si="82"/>
        <v/>
      </c>
      <c r="CI79" s="530" t="str">
        <f t="shared" si="83"/>
        <v/>
      </c>
      <c r="CJ79" s="530" t="str">
        <f t="shared" si="84"/>
        <v/>
      </c>
      <c r="CK79" s="530" t="str">
        <f t="shared" si="85"/>
        <v/>
      </c>
      <c r="CL79" s="530" t="str">
        <f t="shared" si="86"/>
        <v/>
      </c>
      <c r="CM79" s="82" t="str">
        <f t="shared" si="87"/>
        <v/>
      </c>
      <c r="CN79" s="496" t="str">
        <f t="shared" si="51"/>
        <v/>
      </c>
      <c r="CO79" s="496" t="str">
        <f t="shared" si="88"/>
        <v>0</v>
      </c>
      <c r="CP79" s="491">
        <f t="shared" si="89"/>
        <v>0</v>
      </c>
      <c r="CS79" s="496">
        <f t="shared" si="90"/>
        <v>0</v>
      </c>
      <c r="CT79" s="496">
        <f t="shared" si="91"/>
        <v>0</v>
      </c>
      <c r="CU79" s="497" t="str">
        <f t="shared" si="92"/>
        <v>00</v>
      </c>
    </row>
    <row r="80" spans="1:99" ht="15" hidden="1" customHeight="1">
      <c r="A80" s="951">
        <v>77</v>
      </c>
      <c r="B80" s="953"/>
      <c r="C80" s="922"/>
      <c r="D80" s="923"/>
      <c r="E80" s="913"/>
      <c r="F80" s="914"/>
      <c r="G80" s="926"/>
      <c r="H80" s="915"/>
      <c r="I80" s="916"/>
      <c r="J80" s="917"/>
      <c r="K80" s="1012"/>
      <c r="L80" s="1012"/>
      <c r="M80" s="1013"/>
      <c r="N80" s="1028" t="str">
        <f t="shared" si="52"/>
        <v>00</v>
      </c>
      <c r="O80" s="406" t="str">
        <f t="shared" si="93"/>
        <v/>
      </c>
      <c r="P80" s="407" t="str">
        <f>IF(O80="","",VLOOKUP(O80,所属コード!$A$2:$E$11,2,FALSE))</f>
        <v/>
      </c>
      <c r="Q80" s="1033" t="str">
        <f>IF(O80="","",VLOOKUP(O80,所属コード!$A$2:$G$11,7,FALSE))</f>
        <v/>
      </c>
      <c r="R80" s="1035"/>
      <c r="S80" s="77"/>
      <c r="T80" s="77"/>
      <c r="U80" s="77"/>
      <c r="V80" s="15"/>
      <c r="X80" s="488"/>
      <c r="Y80" s="945" t="str">
        <f t="shared" si="53"/>
        <v/>
      </c>
      <c r="Z80" s="489" t="str">
        <f t="shared" si="54"/>
        <v/>
      </c>
      <c r="AA80" s="488"/>
      <c r="AB80" s="488"/>
      <c r="AC80" s="488"/>
      <c r="AD80" s="488"/>
      <c r="AE80" s="488"/>
      <c r="AF80" s="488"/>
      <c r="AG80" s="491"/>
      <c r="AH80" s="591"/>
      <c r="AI80" s="592"/>
      <c r="AJ80" s="592"/>
      <c r="AK80" s="592"/>
      <c r="AL80" s="592"/>
      <c r="AM80" s="592"/>
      <c r="AN80" s="592"/>
      <c r="AO80" s="592"/>
      <c r="AP80" s="592"/>
      <c r="AQ80" s="592"/>
      <c r="AR80" s="592"/>
      <c r="AS80" s="592"/>
      <c r="AT80" s="592"/>
      <c r="AU80" s="592"/>
      <c r="AV80" s="592"/>
      <c r="AW80" s="604"/>
      <c r="AX80" s="609">
        <f t="shared" si="55"/>
        <v>0</v>
      </c>
      <c r="AY80" s="602">
        <f t="shared" si="48"/>
        <v>0</v>
      </c>
      <c r="AZ80" s="593">
        <f t="shared" si="49"/>
        <v>0</v>
      </c>
      <c r="BA80" s="594">
        <f t="shared" si="50"/>
        <v>0</v>
      </c>
      <c r="BB80" s="593">
        <f t="shared" si="50"/>
        <v>0</v>
      </c>
      <c r="BC80" s="593">
        <f t="shared" si="56"/>
        <v>0</v>
      </c>
      <c r="BD80" s="593">
        <f t="shared" si="57"/>
        <v>0</v>
      </c>
      <c r="BE80" s="593">
        <f t="shared" si="58"/>
        <v>0</v>
      </c>
      <c r="BF80" s="593">
        <f t="shared" si="59"/>
        <v>0</v>
      </c>
      <c r="BG80" s="593">
        <f t="shared" si="60"/>
        <v>0</v>
      </c>
      <c r="BH80" s="593">
        <f t="shared" si="61"/>
        <v>0</v>
      </c>
      <c r="BI80" s="593">
        <f t="shared" si="61"/>
        <v>0</v>
      </c>
      <c r="BJ80" s="593">
        <f t="shared" si="62"/>
        <v>0</v>
      </c>
      <c r="BK80" s="593">
        <f t="shared" si="62"/>
        <v>0</v>
      </c>
      <c r="BL80" s="593">
        <f t="shared" si="63"/>
        <v>0</v>
      </c>
      <c r="BM80" s="593">
        <f t="shared" si="64"/>
        <v>0</v>
      </c>
      <c r="BN80" s="593">
        <f t="shared" si="64"/>
        <v>0</v>
      </c>
      <c r="BO80" s="593">
        <f t="shared" si="64"/>
        <v>0</v>
      </c>
      <c r="BP80" s="593">
        <f t="shared" si="65"/>
        <v>0</v>
      </c>
      <c r="BQ80" s="593">
        <f t="shared" si="66"/>
        <v>0</v>
      </c>
      <c r="BR80" s="593">
        <f t="shared" si="67"/>
        <v>0</v>
      </c>
      <c r="BS80" s="593">
        <f t="shared" si="68"/>
        <v>0</v>
      </c>
      <c r="BT80" s="593">
        <f t="shared" si="69"/>
        <v>0</v>
      </c>
      <c r="BU80" s="593">
        <f t="shared" si="70"/>
        <v>0</v>
      </c>
      <c r="BV80" s="593">
        <f t="shared" si="71"/>
        <v>0</v>
      </c>
      <c r="BW80" s="593">
        <f t="shared" si="72"/>
        <v>0</v>
      </c>
      <c r="BX80" s="593">
        <f t="shared" si="73"/>
        <v>0</v>
      </c>
      <c r="BY80" s="593">
        <f t="shared" si="74"/>
        <v>0</v>
      </c>
      <c r="BZ80" s="593">
        <f t="shared" si="75"/>
        <v>0</v>
      </c>
      <c r="CA80" s="593">
        <f t="shared" si="76"/>
        <v>0</v>
      </c>
      <c r="CB80" s="593">
        <f t="shared" si="77"/>
        <v>0</v>
      </c>
      <c r="CC80" s="593">
        <f t="shared" si="78"/>
        <v>0</v>
      </c>
      <c r="CD80" s="593">
        <f t="shared" si="79"/>
        <v>0</v>
      </c>
      <c r="CE80" s="593">
        <f t="shared" si="79"/>
        <v>0</v>
      </c>
      <c r="CF80" s="595">
        <f t="shared" si="80"/>
        <v>0</v>
      </c>
      <c r="CG80" s="555" t="str">
        <f t="shared" si="81"/>
        <v/>
      </c>
      <c r="CH80" s="530" t="str">
        <f t="shared" si="82"/>
        <v/>
      </c>
      <c r="CI80" s="530" t="str">
        <f t="shared" si="83"/>
        <v/>
      </c>
      <c r="CJ80" s="530" t="str">
        <f t="shared" si="84"/>
        <v/>
      </c>
      <c r="CK80" s="530" t="str">
        <f t="shared" si="85"/>
        <v/>
      </c>
      <c r="CL80" s="530" t="str">
        <f t="shared" si="86"/>
        <v/>
      </c>
      <c r="CM80" s="82" t="str">
        <f t="shared" si="87"/>
        <v/>
      </c>
      <c r="CN80" s="496" t="str">
        <f t="shared" si="51"/>
        <v/>
      </c>
      <c r="CO80" s="496" t="str">
        <f t="shared" si="88"/>
        <v>0</v>
      </c>
      <c r="CP80" s="491">
        <f t="shared" si="89"/>
        <v>0</v>
      </c>
      <c r="CS80" s="496">
        <f t="shared" si="90"/>
        <v>0</v>
      </c>
      <c r="CT80" s="496">
        <f t="shared" si="91"/>
        <v>0</v>
      </c>
      <c r="CU80" s="497" t="str">
        <f t="shared" si="92"/>
        <v>00</v>
      </c>
    </row>
    <row r="81" spans="1:99" ht="15" hidden="1" customHeight="1">
      <c r="A81" s="951">
        <v>78</v>
      </c>
      <c r="B81" s="953"/>
      <c r="C81" s="922"/>
      <c r="D81" s="923"/>
      <c r="E81" s="913"/>
      <c r="F81" s="914"/>
      <c r="G81" s="926"/>
      <c r="H81" s="915"/>
      <c r="I81" s="916"/>
      <c r="J81" s="917"/>
      <c r="K81" s="1012"/>
      <c r="L81" s="1012"/>
      <c r="M81" s="1013"/>
      <c r="N81" s="1028" t="str">
        <f t="shared" si="52"/>
        <v>00</v>
      </c>
      <c r="O81" s="406" t="str">
        <f t="shared" si="93"/>
        <v/>
      </c>
      <c r="P81" s="407" t="str">
        <f>IF(O81="","",VLOOKUP(O81,所属コード!$A$2:$E$11,2,FALSE))</f>
        <v/>
      </c>
      <c r="Q81" s="1033" t="str">
        <f>IF(O81="","",VLOOKUP(O81,所属コード!$A$2:$G$11,7,FALSE))</f>
        <v/>
      </c>
      <c r="R81" s="1035"/>
      <c r="S81" s="77"/>
      <c r="T81" s="77"/>
      <c r="U81" s="77"/>
      <c r="V81" s="15"/>
      <c r="X81" s="488"/>
      <c r="Y81" s="945" t="str">
        <f t="shared" si="53"/>
        <v/>
      </c>
      <c r="Z81" s="489" t="str">
        <f t="shared" si="54"/>
        <v/>
      </c>
      <c r="AA81" s="488"/>
      <c r="AB81" s="488"/>
      <c r="AC81" s="488"/>
      <c r="AD81" s="488"/>
      <c r="AE81" s="488"/>
      <c r="AF81" s="488"/>
      <c r="AG81" s="491"/>
      <c r="AH81" s="591"/>
      <c r="AI81" s="592"/>
      <c r="AJ81" s="592"/>
      <c r="AK81" s="592"/>
      <c r="AL81" s="592"/>
      <c r="AM81" s="592"/>
      <c r="AN81" s="592"/>
      <c r="AO81" s="592"/>
      <c r="AP81" s="592"/>
      <c r="AQ81" s="592"/>
      <c r="AR81" s="592"/>
      <c r="AS81" s="592"/>
      <c r="AT81" s="592"/>
      <c r="AU81" s="592"/>
      <c r="AV81" s="592"/>
      <c r="AW81" s="604"/>
      <c r="AX81" s="609">
        <f t="shared" si="55"/>
        <v>0</v>
      </c>
      <c r="AY81" s="602">
        <f t="shared" si="48"/>
        <v>0</v>
      </c>
      <c r="AZ81" s="593">
        <f t="shared" si="49"/>
        <v>0</v>
      </c>
      <c r="BA81" s="594">
        <f t="shared" si="50"/>
        <v>0</v>
      </c>
      <c r="BB81" s="593">
        <f t="shared" si="50"/>
        <v>0</v>
      </c>
      <c r="BC81" s="593">
        <f t="shared" si="56"/>
        <v>0</v>
      </c>
      <c r="BD81" s="593">
        <f t="shared" si="57"/>
        <v>0</v>
      </c>
      <c r="BE81" s="593">
        <f t="shared" si="58"/>
        <v>0</v>
      </c>
      <c r="BF81" s="593">
        <f t="shared" si="59"/>
        <v>0</v>
      </c>
      <c r="BG81" s="593">
        <f t="shared" si="60"/>
        <v>0</v>
      </c>
      <c r="BH81" s="593">
        <f t="shared" si="61"/>
        <v>0</v>
      </c>
      <c r="BI81" s="593">
        <f t="shared" si="61"/>
        <v>0</v>
      </c>
      <c r="BJ81" s="593">
        <f t="shared" si="62"/>
        <v>0</v>
      </c>
      <c r="BK81" s="593">
        <f t="shared" si="62"/>
        <v>0</v>
      </c>
      <c r="BL81" s="593">
        <f t="shared" si="63"/>
        <v>0</v>
      </c>
      <c r="BM81" s="593">
        <f t="shared" si="64"/>
        <v>0</v>
      </c>
      <c r="BN81" s="593">
        <f t="shared" si="64"/>
        <v>0</v>
      </c>
      <c r="BO81" s="593">
        <f t="shared" si="64"/>
        <v>0</v>
      </c>
      <c r="BP81" s="593">
        <f t="shared" si="65"/>
        <v>0</v>
      </c>
      <c r="BQ81" s="593">
        <f t="shared" si="66"/>
        <v>0</v>
      </c>
      <c r="BR81" s="593">
        <f t="shared" si="67"/>
        <v>0</v>
      </c>
      <c r="BS81" s="593">
        <f t="shared" si="68"/>
        <v>0</v>
      </c>
      <c r="BT81" s="593">
        <f t="shared" si="69"/>
        <v>0</v>
      </c>
      <c r="BU81" s="593">
        <f t="shared" si="70"/>
        <v>0</v>
      </c>
      <c r="BV81" s="593">
        <f t="shared" si="71"/>
        <v>0</v>
      </c>
      <c r="BW81" s="593">
        <f t="shared" si="72"/>
        <v>0</v>
      </c>
      <c r="BX81" s="593">
        <f t="shared" si="73"/>
        <v>0</v>
      </c>
      <c r="BY81" s="593">
        <f t="shared" si="74"/>
        <v>0</v>
      </c>
      <c r="BZ81" s="593">
        <f t="shared" si="75"/>
        <v>0</v>
      </c>
      <c r="CA81" s="593">
        <f t="shared" si="76"/>
        <v>0</v>
      </c>
      <c r="CB81" s="593">
        <f t="shared" si="77"/>
        <v>0</v>
      </c>
      <c r="CC81" s="593">
        <f t="shared" si="78"/>
        <v>0</v>
      </c>
      <c r="CD81" s="593">
        <f t="shared" si="79"/>
        <v>0</v>
      </c>
      <c r="CE81" s="593">
        <f t="shared" si="79"/>
        <v>0</v>
      </c>
      <c r="CF81" s="595">
        <f t="shared" si="80"/>
        <v>0</v>
      </c>
      <c r="CG81" s="555" t="str">
        <f t="shared" si="81"/>
        <v/>
      </c>
      <c r="CH81" s="530" t="str">
        <f t="shared" si="82"/>
        <v/>
      </c>
      <c r="CI81" s="530" t="str">
        <f t="shared" si="83"/>
        <v/>
      </c>
      <c r="CJ81" s="530" t="str">
        <f t="shared" si="84"/>
        <v/>
      </c>
      <c r="CK81" s="530" t="str">
        <f t="shared" si="85"/>
        <v/>
      </c>
      <c r="CL81" s="530" t="str">
        <f t="shared" si="86"/>
        <v/>
      </c>
      <c r="CM81" s="82" t="str">
        <f t="shared" si="87"/>
        <v/>
      </c>
      <c r="CN81" s="496" t="str">
        <f t="shared" si="51"/>
        <v/>
      </c>
      <c r="CO81" s="496" t="str">
        <f t="shared" si="88"/>
        <v>0</v>
      </c>
      <c r="CP81" s="491">
        <f t="shared" si="89"/>
        <v>0</v>
      </c>
      <c r="CS81" s="496">
        <f t="shared" si="90"/>
        <v>0</v>
      </c>
      <c r="CT81" s="496">
        <f t="shared" si="91"/>
        <v>0</v>
      </c>
      <c r="CU81" s="497" t="str">
        <f t="shared" si="92"/>
        <v>00</v>
      </c>
    </row>
    <row r="82" spans="1:99" ht="11.25" hidden="1" customHeight="1">
      <c r="A82" s="951">
        <v>79</v>
      </c>
      <c r="B82" s="953"/>
      <c r="C82" s="922"/>
      <c r="D82" s="923"/>
      <c r="E82" s="913"/>
      <c r="F82" s="914"/>
      <c r="G82" s="926"/>
      <c r="H82" s="915"/>
      <c r="I82" s="916"/>
      <c r="J82" s="917"/>
      <c r="K82" s="1012"/>
      <c r="L82" s="1012"/>
      <c r="M82" s="1013"/>
      <c r="N82" s="1028" t="str">
        <f t="shared" si="52"/>
        <v>00</v>
      </c>
      <c r="O82" s="406" t="str">
        <f t="shared" si="93"/>
        <v/>
      </c>
      <c r="P82" s="407" t="str">
        <f>IF(O82="","",VLOOKUP(O82,所属コード!$A$2:$E$11,2,FALSE))</f>
        <v/>
      </c>
      <c r="Q82" s="1033" t="str">
        <f>IF(O82="","",VLOOKUP(O82,所属コード!$A$2:$G$11,7,FALSE))</f>
        <v/>
      </c>
      <c r="R82" s="1035"/>
      <c r="S82" s="77"/>
      <c r="T82" s="77"/>
      <c r="U82" s="77"/>
      <c r="V82" s="15"/>
      <c r="X82" s="488"/>
      <c r="Y82" s="945" t="str">
        <f t="shared" si="53"/>
        <v/>
      </c>
      <c r="Z82" s="489" t="str">
        <f t="shared" si="54"/>
        <v/>
      </c>
      <c r="AA82" s="488"/>
      <c r="AB82" s="488"/>
      <c r="AC82" s="488"/>
      <c r="AD82" s="488"/>
      <c r="AE82" s="488"/>
      <c r="AF82" s="488"/>
      <c r="AG82" s="491"/>
      <c r="AH82" s="591"/>
      <c r="AI82" s="592"/>
      <c r="AJ82" s="592"/>
      <c r="AK82" s="592"/>
      <c r="AL82" s="592"/>
      <c r="AM82" s="592"/>
      <c r="AN82" s="592"/>
      <c r="AO82" s="592"/>
      <c r="AP82" s="592"/>
      <c r="AQ82" s="592"/>
      <c r="AR82" s="592"/>
      <c r="AS82" s="592"/>
      <c r="AT82" s="592"/>
      <c r="AU82" s="592"/>
      <c r="AV82" s="592"/>
      <c r="AW82" s="604"/>
      <c r="AX82" s="609">
        <f t="shared" si="55"/>
        <v>0</v>
      </c>
      <c r="AY82" s="602">
        <f t="shared" si="48"/>
        <v>0</v>
      </c>
      <c r="AZ82" s="593">
        <f t="shared" si="49"/>
        <v>0</v>
      </c>
      <c r="BA82" s="594">
        <f t="shared" si="50"/>
        <v>0</v>
      </c>
      <c r="BB82" s="593">
        <f t="shared" si="50"/>
        <v>0</v>
      </c>
      <c r="BC82" s="593">
        <f t="shared" si="56"/>
        <v>0</v>
      </c>
      <c r="BD82" s="593">
        <f t="shared" si="57"/>
        <v>0</v>
      </c>
      <c r="BE82" s="593">
        <f t="shared" si="58"/>
        <v>0</v>
      </c>
      <c r="BF82" s="593">
        <f t="shared" si="59"/>
        <v>0</v>
      </c>
      <c r="BG82" s="593">
        <f t="shared" si="60"/>
        <v>0</v>
      </c>
      <c r="BH82" s="593">
        <f t="shared" si="61"/>
        <v>0</v>
      </c>
      <c r="BI82" s="593">
        <f t="shared" si="61"/>
        <v>0</v>
      </c>
      <c r="BJ82" s="593">
        <f t="shared" si="62"/>
        <v>0</v>
      </c>
      <c r="BK82" s="593">
        <f t="shared" si="62"/>
        <v>0</v>
      </c>
      <c r="BL82" s="593">
        <f t="shared" si="63"/>
        <v>0</v>
      </c>
      <c r="BM82" s="593">
        <f t="shared" si="64"/>
        <v>0</v>
      </c>
      <c r="BN82" s="593">
        <f t="shared" si="64"/>
        <v>0</v>
      </c>
      <c r="BO82" s="593">
        <f t="shared" si="64"/>
        <v>0</v>
      </c>
      <c r="BP82" s="593">
        <f t="shared" si="65"/>
        <v>0</v>
      </c>
      <c r="BQ82" s="593">
        <f t="shared" si="66"/>
        <v>0</v>
      </c>
      <c r="BR82" s="593">
        <f t="shared" si="67"/>
        <v>0</v>
      </c>
      <c r="BS82" s="593">
        <f t="shared" si="68"/>
        <v>0</v>
      </c>
      <c r="BT82" s="593">
        <f t="shared" si="69"/>
        <v>0</v>
      </c>
      <c r="BU82" s="593">
        <f t="shared" si="70"/>
        <v>0</v>
      </c>
      <c r="BV82" s="593">
        <f t="shared" si="71"/>
        <v>0</v>
      </c>
      <c r="BW82" s="593">
        <f t="shared" si="72"/>
        <v>0</v>
      </c>
      <c r="BX82" s="593">
        <f t="shared" si="73"/>
        <v>0</v>
      </c>
      <c r="BY82" s="593">
        <f t="shared" si="74"/>
        <v>0</v>
      </c>
      <c r="BZ82" s="593">
        <f t="shared" si="75"/>
        <v>0</v>
      </c>
      <c r="CA82" s="593">
        <f t="shared" si="76"/>
        <v>0</v>
      </c>
      <c r="CB82" s="593">
        <f t="shared" si="77"/>
        <v>0</v>
      </c>
      <c r="CC82" s="593">
        <f t="shared" si="78"/>
        <v>0</v>
      </c>
      <c r="CD82" s="593">
        <f t="shared" si="79"/>
        <v>0</v>
      </c>
      <c r="CE82" s="593">
        <f t="shared" si="79"/>
        <v>0</v>
      </c>
      <c r="CF82" s="595">
        <f t="shared" si="80"/>
        <v>0</v>
      </c>
      <c r="CG82" s="555" t="str">
        <f t="shared" si="81"/>
        <v/>
      </c>
      <c r="CH82" s="530" t="str">
        <f t="shared" si="82"/>
        <v/>
      </c>
      <c r="CI82" s="530" t="str">
        <f t="shared" si="83"/>
        <v/>
      </c>
      <c r="CJ82" s="530" t="str">
        <f t="shared" si="84"/>
        <v/>
      </c>
      <c r="CK82" s="530" t="str">
        <f t="shared" si="85"/>
        <v/>
      </c>
      <c r="CL82" s="530" t="str">
        <f t="shared" si="86"/>
        <v/>
      </c>
      <c r="CM82" s="82" t="str">
        <f t="shared" si="87"/>
        <v/>
      </c>
      <c r="CN82" s="496" t="str">
        <f t="shared" si="51"/>
        <v/>
      </c>
      <c r="CO82" s="496" t="str">
        <f t="shared" si="88"/>
        <v>0</v>
      </c>
      <c r="CP82" s="491">
        <f t="shared" si="89"/>
        <v>0</v>
      </c>
      <c r="CS82" s="496">
        <f t="shared" si="90"/>
        <v>0</v>
      </c>
      <c r="CT82" s="496">
        <f t="shared" si="91"/>
        <v>0</v>
      </c>
      <c r="CU82" s="497" t="str">
        <f t="shared" si="92"/>
        <v>00</v>
      </c>
    </row>
    <row r="83" spans="1:99" ht="15" hidden="1" customHeight="1">
      <c r="A83" s="951">
        <v>80</v>
      </c>
      <c r="B83" s="953"/>
      <c r="C83" s="922"/>
      <c r="D83" s="923"/>
      <c r="E83" s="913"/>
      <c r="F83" s="914"/>
      <c r="G83" s="926"/>
      <c r="H83" s="921"/>
      <c r="I83" s="916"/>
      <c r="J83" s="917"/>
      <c r="K83" s="1012"/>
      <c r="L83" s="1012"/>
      <c r="M83" s="1013"/>
      <c r="N83" s="1028" t="str">
        <f t="shared" si="52"/>
        <v>00</v>
      </c>
      <c r="O83" s="406" t="str">
        <f t="shared" si="93"/>
        <v/>
      </c>
      <c r="P83" s="407" t="str">
        <f>IF(O83="","",VLOOKUP(O83,所属コード!$A$2:$E$11,2,FALSE))</f>
        <v/>
      </c>
      <c r="Q83" s="1033" t="str">
        <f>IF(O83="","",VLOOKUP(O83,所属コード!$A$2:$G$11,7,FALSE))</f>
        <v/>
      </c>
      <c r="R83" s="1035"/>
      <c r="S83" s="77"/>
      <c r="T83" s="77"/>
      <c r="U83" s="77"/>
      <c r="V83" s="15"/>
      <c r="X83" s="488"/>
      <c r="Y83" s="945" t="str">
        <f t="shared" si="53"/>
        <v/>
      </c>
      <c r="Z83" s="489" t="str">
        <f t="shared" si="54"/>
        <v/>
      </c>
      <c r="AA83" s="488"/>
      <c r="AB83" s="488"/>
      <c r="AC83" s="488"/>
      <c r="AD83" s="488"/>
      <c r="AE83" s="488"/>
      <c r="AF83" s="488"/>
      <c r="AG83" s="491"/>
      <c r="AH83" s="591"/>
      <c r="AI83" s="592"/>
      <c r="AJ83" s="592"/>
      <c r="AK83" s="592"/>
      <c r="AL83" s="592"/>
      <c r="AM83" s="592"/>
      <c r="AN83" s="592"/>
      <c r="AO83" s="592"/>
      <c r="AP83" s="592"/>
      <c r="AQ83" s="592"/>
      <c r="AR83" s="592"/>
      <c r="AS83" s="592"/>
      <c r="AT83" s="592"/>
      <c r="AU83" s="592"/>
      <c r="AV83" s="592"/>
      <c r="AW83" s="604"/>
      <c r="AX83" s="609">
        <f t="shared" si="55"/>
        <v>0</v>
      </c>
      <c r="AY83" s="602">
        <f t="shared" si="48"/>
        <v>0</v>
      </c>
      <c r="AZ83" s="593">
        <f t="shared" si="49"/>
        <v>0</v>
      </c>
      <c r="BA83" s="594">
        <f t="shared" si="50"/>
        <v>0</v>
      </c>
      <c r="BB83" s="593">
        <f t="shared" si="50"/>
        <v>0</v>
      </c>
      <c r="BC83" s="593">
        <f t="shared" si="56"/>
        <v>0</v>
      </c>
      <c r="BD83" s="593">
        <f t="shared" si="57"/>
        <v>0</v>
      </c>
      <c r="BE83" s="593">
        <f t="shared" si="58"/>
        <v>0</v>
      </c>
      <c r="BF83" s="593">
        <f t="shared" si="59"/>
        <v>0</v>
      </c>
      <c r="BG83" s="593">
        <f t="shared" si="60"/>
        <v>0</v>
      </c>
      <c r="BH83" s="593">
        <f t="shared" si="61"/>
        <v>0</v>
      </c>
      <c r="BI83" s="593">
        <f t="shared" si="61"/>
        <v>0</v>
      </c>
      <c r="BJ83" s="593">
        <f t="shared" si="62"/>
        <v>0</v>
      </c>
      <c r="BK83" s="593">
        <f t="shared" si="62"/>
        <v>0</v>
      </c>
      <c r="BL83" s="593">
        <f t="shared" si="63"/>
        <v>0</v>
      </c>
      <c r="BM83" s="593">
        <f t="shared" si="64"/>
        <v>0</v>
      </c>
      <c r="BN83" s="593">
        <f t="shared" si="64"/>
        <v>0</v>
      </c>
      <c r="BO83" s="593">
        <f t="shared" si="64"/>
        <v>0</v>
      </c>
      <c r="BP83" s="593">
        <f t="shared" si="65"/>
        <v>0</v>
      </c>
      <c r="BQ83" s="593">
        <f t="shared" si="66"/>
        <v>0</v>
      </c>
      <c r="BR83" s="593">
        <f t="shared" si="67"/>
        <v>0</v>
      </c>
      <c r="BS83" s="593">
        <f t="shared" si="68"/>
        <v>0</v>
      </c>
      <c r="BT83" s="593">
        <f t="shared" si="69"/>
        <v>0</v>
      </c>
      <c r="BU83" s="593">
        <f t="shared" si="70"/>
        <v>0</v>
      </c>
      <c r="BV83" s="593">
        <f t="shared" si="71"/>
        <v>0</v>
      </c>
      <c r="BW83" s="593">
        <f t="shared" si="72"/>
        <v>0</v>
      </c>
      <c r="BX83" s="593">
        <f t="shared" si="73"/>
        <v>0</v>
      </c>
      <c r="BY83" s="593">
        <f t="shared" si="74"/>
        <v>0</v>
      </c>
      <c r="BZ83" s="593">
        <f t="shared" si="75"/>
        <v>0</v>
      </c>
      <c r="CA83" s="593">
        <f t="shared" si="76"/>
        <v>0</v>
      </c>
      <c r="CB83" s="593">
        <f t="shared" si="77"/>
        <v>0</v>
      </c>
      <c r="CC83" s="593">
        <f t="shared" si="78"/>
        <v>0</v>
      </c>
      <c r="CD83" s="593">
        <f t="shared" si="79"/>
        <v>0</v>
      </c>
      <c r="CE83" s="593">
        <f t="shared" si="79"/>
        <v>0</v>
      </c>
      <c r="CF83" s="595">
        <f t="shared" si="80"/>
        <v>0</v>
      </c>
      <c r="CG83" s="555" t="str">
        <f t="shared" si="81"/>
        <v/>
      </c>
      <c r="CH83" s="530" t="str">
        <f t="shared" si="82"/>
        <v/>
      </c>
      <c r="CI83" s="530" t="str">
        <f t="shared" si="83"/>
        <v/>
      </c>
      <c r="CJ83" s="530" t="str">
        <f t="shared" si="84"/>
        <v/>
      </c>
      <c r="CK83" s="530" t="str">
        <f t="shared" si="85"/>
        <v/>
      </c>
      <c r="CL83" s="530" t="str">
        <f t="shared" si="86"/>
        <v/>
      </c>
      <c r="CM83" s="82" t="str">
        <f t="shared" si="87"/>
        <v/>
      </c>
      <c r="CN83" s="496" t="str">
        <f t="shared" si="51"/>
        <v/>
      </c>
      <c r="CO83" s="496" t="str">
        <f t="shared" si="88"/>
        <v>0</v>
      </c>
      <c r="CP83" s="491">
        <f t="shared" si="89"/>
        <v>0</v>
      </c>
      <c r="CS83" s="496">
        <f t="shared" si="90"/>
        <v>0</v>
      </c>
      <c r="CT83" s="496">
        <f t="shared" si="91"/>
        <v>0</v>
      </c>
      <c r="CU83" s="497" t="str">
        <f t="shared" si="92"/>
        <v>00</v>
      </c>
    </row>
    <row r="84" spans="1:99" ht="15" hidden="1" customHeight="1">
      <c r="A84" s="951">
        <v>81</v>
      </c>
      <c r="B84" s="953"/>
      <c r="C84" s="922"/>
      <c r="D84" s="923"/>
      <c r="E84" s="913"/>
      <c r="F84" s="914"/>
      <c r="G84" s="926"/>
      <c r="H84" s="921"/>
      <c r="I84" s="916"/>
      <c r="J84" s="917"/>
      <c r="K84" s="1012"/>
      <c r="L84" s="1012"/>
      <c r="M84" s="1013"/>
      <c r="N84" s="1028" t="str">
        <f t="shared" si="52"/>
        <v>00</v>
      </c>
      <c r="O84" s="406" t="str">
        <f t="shared" si="93"/>
        <v/>
      </c>
      <c r="P84" s="407" t="str">
        <f>IF(O84="","",VLOOKUP(O84,所属コード!$A$2:$E$11,2,FALSE))</f>
        <v/>
      </c>
      <c r="Q84" s="1033" t="str">
        <f>IF(O84="","",VLOOKUP(O84,所属コード!$A$2:$G$11,7,FALSE))</f>
        <v/>
      </c>
      <c r="R84" s="1035"/>
      <c r="S84" s="77"/>
      <c r="T84" s="77"/>
      <c r="U84" s="77"/>
      <c r="V84" s="15"/>
      <c r="X84" s="488"/>
      <c r="Y84" s="945" t="str">
        <f t="shared" si="53"/>
        <v/>
      </c>
      <c r="Z84" s="489" t="str">
        <f t="shared" si="54"/>
        <v/>
      </c>
      <c r="AA84" s="488"/>
      <c r="AB84" s="488"/>
      <c r="AC84" s="488"/>
      <c r="AD84" s="488"/>
      <c r="AE84" s="488"/>
      <c r="AF84" s="488"/>
      <c r="AG84" s="491"/>
      <c r="AH84" s="591"/>
      <c r="AI84" s="592"/>
      <c r="AJ84" s="592"/>
      <c r="AK84" s="592"/>
      <c r="AL84" s="592"/>
      <c r="AM84" s="592"/>
      <c r="AN84" s="592"/>
      <c r="AO84" s="592"/>
      <c r="AP84" s="592"/>
      <c r="AQ84" s="592"/>
      <c r="AR84" s="592"/>
      <c r="AS84" s="592"/>
      <c r="AT84" s="592"/>
      <c r="AU84" s="592"/>
      <c r="AV84" s="592"/>
      <c r="AW84" s="604"/>
      <c r="AX84" s="609">
        <f t="shared" si="55"/>
        <v>0</v>
      </c>
      <c r="AY84" s="602">
        <f t="shared" si="48"/>
        <v>0</v>
      </c>
      <c r="AZ84" s="593">
        <f t="shared" si="49"/>
        <v>0</v>
      </c>
      <c r="BA84" s="594">
        <f t="shared" si="50"/>
        <v>0</v>
      </c>
      <c r="BB84" s="593">
        <f t="shared" si="50"/>
        <v>0</v>
      </c>
      <c r="BC84" s="593">
        <f t="shared" si="56"/>
        <v>0</v>
      </c>
      <c r="BD84" s="593">
        <f t="shared" si="57"/>
        <v>0</v>
      </c>
      <c r="BE84" s="593">
        <f t="shared" si="58"/>
        <v>0</v>
      </c>
      <c r="BF84" s="593">
        <f t="shared" si="59"/>
        <v>0</v>
      </c>
      <c r="BG84" s="593">
        <f t="shared" si="60"/>
        <v>0</v>
      </c>
      <c r="BH84" s="593">
        <f t="shared" si="61"/>
        <v>0</v>
      </c>
      <c r="BI84" s="593">
        <f t="shared" si="61"/>
        <v>0</v>
      </c>
      <c r="BJ84" s="593">
        <f t="shared" si="62"/>
        <v>0</v>
      </c>
      <c r="BK84" s="593">
        <f t="shared" si="62"/>
        <v>0</v>
      </c>
      <c r="BL84" s="593">
        <f t="shared" si="63"/>
        <v>0</v>
      </c>
      <c r="BM84" s="593">
        <f t="shared" si="64"/>
        <v>0</v>
      </c>
      <c r="BN84" s="593">
        <f t="shared" si="64"/>
        <v>0</v>
      </c>
      <c r="BO84" s="593">
        <f t="shared" si="64"/>
        <v>0</v>
      </c>
      <c r="BP84" s="593">
        <f t="shared" si="65"/>
        <v>0</v>
      </c>
      <c r="BQ84" s="593">
        <f t="shared" si="66"/>
        <v>0</v>
      </c>
      <c r="BR84" s="593">
        <f t="shared" si="67"/>
        <v>0</v>
      </c>
      <c r="BS84" s="593">
        <f t="shared" si="68"/>
        <v>0</v>
      </c>
      <c r="BT84" s="593">
        <f t="shared" si="69"/>
        <v>0</v>
      </c>
      <c r="BU84" s="593">
        <f t="shared" si="70"/>
        <v>0</v>
      </c>
      <c r="BV84" s="593">
        <f t="shared" si="71"/>
        <v>0</v>
      </c>
      <c r="BW84" s="593">
        <f t="shared" si="72"/>
        <v>0</v>
      </c>
      <c r="BX84" s="593">
        <f t="shared" si="73"/>
        <v>0</v>
      </c>
      <c r="BY84" s="593">
        <f t="shared" si="74"/>
        <v>0</v>
      </c>
      <c r="BZ84" s="593">
        <f t="shared" si="75"/>
        <v>0</v>
      </c>
      <c r="CA84" s="593">
        <f t="shared" si="76"/>
        <v>0</v>
      </c>
      <c r="CB84" s="593">
        <f t="shared" si="77"/>
        <v>0</v>
      </c>
      <c r="CC84" s="593">
        <f t="shared" si="78"/>
        <v>0</v>
      </c>
      <c r="CD84" s="593">
        <f t="shared" si="79"/>
        <v>0</v>
      </c>
      <c r="CE84" s="593">
        <f t="shared" si="79"/>
        <v>0</v>
      </c>
      <c r="CF84" s="595">
        <f t="shared" si="80"/>
        <v>0</v>
      </c>
      <c r="CG84" s="555" t="str">
        <f t="shared" si="81"/>
        <v/>
      </c>
      <c r="CH84" s="530" t="str">
        <f t="shared" si="82"/>
        <v/>
      </c>
      <c r="CI84" s="530" t="str">
        <f t="shared" si="83"/>
        <v/>
      </c>
      <c r="CJ84" s="530" t="str">
        <f t="shared" si="84"/>
        <v/>
      </c>
      <c r="CK84" s="530" t="str">
        <f t="shared" si="85"/>
        <v/>
      </c>
      <c r="CL84" s="530" t="str">
        <f t="shared" si="86"/>
        <v/>
      </c>
      <c r="CM84" s="82" t="str">
        <f t="shared" si="87"/>
        <v/>
      </c>
      <c r="CN84" s="496" t="str">
        <f t="shared" si="51"/>
        <v/>
      </c>
      <c r="CO84" s="496" t="str">
        <f t="shared" si="88"/>
        <v>0</v>
      </c>
      <c r="CP84" s="491">
        <f t="shared" si="89"/>
        <v>0</v>
      </c>
      <c r="CS84" s="496">
        <f t="shared" si="90"/>
        <v>0</v>
      </c>
      <c r="CT84" s="496">
        <f t="shared" si="91"/>
        <v>0</v>
      </c>
      <c r="CU84" s="497" t="str">
        <f t="shared" si="92"/>
        <v>00</v>
      </c>
    </row>
    <row r="85" spans="1:99" ht="15" hidden="1" customHeight="1">
      <c r="A85" s="951">
        <v>82</v>
      </c>
      <c r="B85" s="953"/>
      <c r="C85" s="922"/>
      <c r="D85" s="923"/>
      <c r="E85" s="913"/>
      <c r="F85" s="914"/>
      <c r="G85" s="926"/>
      <c r="H85" s="921"/>
      <c r="I85" s="917"/>
      <c r="J85" s="916"/>
      <c r="K85" s="1012"/>
      <c r="L85" s="1012"/>
      <c r="M85" s="1013"/>
      <c r="N85" s="1028" t="str">
        <f t="shared" si="52"/>
        <v>00</v>
      </c>
      <c r="O85" s="406" t="str">
        <f t="shared" si="93"/>
        <v/>
      </c>
      <c r="P85" s="407" t="str">
        <f>IF(O85="","",VLOOKUP(O85,所属コード!$A$2:$E$11,2,FALSE))</f>
        <v/>
      </c>
      <c r="Q85" s="1033" t="str">
        <f>IF(O85="","",VLOOKUP(O85,所属コード!$A$2:$G$11,7,FALSE))</f>
        <v/>
      </c>
      <c r="R85" s="1035"/>
      <c r="S85" s="77"/>
      <c r="T85" s="77"/>
      <c r="U85" s="77"/>
      <c r="V85" s="15"/>
      <c r="X85" s="488"/>
      <c r="Y85" s="945" t="str">
        <f t="shared" si="53"/>
        <v/>
      </c>
      <c r="Z85" s="489" t="str">
        <f t="shared" si="54"/>
        <v/>
      </c>
      <c r="AA85" s="488"/>
      <c r="AB85" s="488"/>
      <c r="AC85" s="488"/>
      <c r="AD85" s="488"/>
      <c r="AE85" s="488"/>
      <c r="AF85" s="488"/>
      <c r="AG85" s="491"/>
      <c r="AH85" s="591"/>
      <c r="AI85" s="592"/>
      <c r="AJ85" s="592"/>
      <c r="AK85" s="592"/>
      <c r="AL85" s="592"/>
      <c r="AM85" s="592"/>
      <c r="AN85" s="592"/>
      <c r="AO85" s="592"/>
      <c r="AP85" s="592"/>
      <c r="AQ85" s="592"/>
      <c r="AR85" s="592"/>
      <c r="AS85" s="592"/>
      <c r="AT85" s="592"/>
      <c r="AU85" s="592"/>
      <c r="AV85" s="592"/>
      <c r="AW85" s="604"/>
      <c r="AX85" s="609">
        <f t="shared" si="55"/>
        <v>0</v>
      </c>
      <c r="AY85" s="602">
        <f t="shared" si="48"/>
        <v>0</v>
      </c>
      <c r="AZ85" s="593">
        <f t="shared" si="49"/>
        <v>0</v>
      </c>
      <c r="BA85" s="594">
        <f t="shared" si="50"/>
        <v>0</v>
      </c>
      <c r="BB85" s="593">
        <f t="shared" si="50"/>
        <v>0</v>
      </c>
      <c r="BC85" s="593">
        <f t="shared" si="56"/>
        <v>0</v>
      </c>
      <c r="BD85" s="593">
        <f t="shared" si="57"/>
        <v>0</v>
      </c>
      <c r="BE85" s="593">
        <f t="shared" si="58"/>
        <v>0</v>
      </c>
      <c r="BF85" s="593">
        <f t="shared" si="59"/>
        <v>0</v>
      </c>
      <c r="BG85" s="593">
        <f t="shared" si="60"/>
        <v>0</v>
      </c>
      <c r="BH85" s="593">
        <f t="shared" si="61"/>
        <v>0</v>
      </c>
      <c r="BI85" s="593">
        <f t="shared" si="61"/>
        <v>0</v>
      </c>
      <c r="BJ85" s="593">
        <f t="shared" si="62"/>
        <v>0</v>
      </c>
      <c r="BK85" s="593">
        <f t="shared" si="62"/>
        <v>0</v>
      </c>
      <c r="BL85" s="593">
        <f t="shared" si="63"/>
        <v>0</v>
      </c>
      <c r="BM85" s="593">
        <f t="shared" si="64"/>
        <v>0</v>
      </c>
      <c r="BN85" s="593">
        <f t="shared" si="64"/>
        <v>0</v>
      </c>
      <c r="BO85" s="593">
        <f t="shared" si="64"/>
        <v>0</v>
      </c>
      <c r="BP85" s="593">
        <f t="shared" si="65"/>
        <v>0</v>
      </c>
      <c r="BQ85" s="593">
        <f t="shared" si="66"/>
        <v>0</v>
      </c>
      <c r="BR85" s="593">
        <f t="shared" si="67"/>
        <v>0</v>
      </c>
      <c r="BS85" s="593">
        <f t="shared" si="68"/>
        <v>0</v>
      </c>
      <c r="BT85" s="593">
        <f t="shared" si="69"/>
        <v>0</v>
      </c>
      <c r="BU85" s="593">
        <f t="shared" si="70"/>
        <v>0</v>
      </c>
      <c r="BV85" s="593">
        <f t="shared" si="71"/>
        <v>0</v>
      </c>
      <c r="BW85" s="593">
        <f t="shared" si="72"/>
        <v>0</v>
      </c>
      <c r="BX85" s="593">
        <f t="shared" si="73"/>
        <v>0</v>
      </c>
      <c r="BY85" s="593">
        <f t="shared" si="74"/>
        <v>0</v>
      </c>
      <c r="BZ85" s="593">
        <f t="shared" si="75"/>
        <v>0</v>
      </c>
      <c r="CA85" s="593">
        <f t="shared" si="76"/>
        <v>0</v>
      </c>
      <c r="CB85" s="593">
        <f t="shared" si="77"/>
        <v>0</v>
      </c>
      <c r="CC85" s="593">
        <f t="shared" si="78"/>
        <v>0</v>
      </c>
      <c r="CD85" s="593">
        <f t="shared" si="79"/>
        <v>0</v>
      </c>
      <c r="CE85" s="593">
        <f t="shared" si="79"/>
        <v>0</v>
      </c>
      <c r="CF85" s="595">
        <f t="shared" si="80"/>
        <v>0</v>
      </c>
      <c r="CG85" s="555" t="str">
        <f t="shared" si="81"/>
        <v/>
      </c>
      <c r="CH85" s="530" t="str">
        <f t="shared" si="82"/>
        <v/>
      </c>
      <c r="CI85" s="530" t="str">
        <f t="shared" si="83"/>
        <v/>
      </c>
      <c r="CJ85" s="530" t="str">
        <f t="shared" si="84"/>
        <v/>
      </c>
      <c r="CK85" s="530" t="str">
        <f t="shared" si="85"/>
        <v/>
      </c>
      <c r="CL85" s="530" t="str">
        <f t="shared" si="86"/>
        <v/>
      </c>
      <c r="CM85" s="82" t="str">
        <f t="shared" si="87"/>
        <v/>
      </c>
      <c r="CN85" s="496" t="str">
        <f t="shared" si="51"/>
        <v/>
      </c>
      <c r="CO85" s="496" t="str">
        <f t="shared" si="88"/>
        <v>0</v>
      </c>
      <c r="CP85" s="491">
        <f t="shared" si="89"/>
        <v>0</v>
      </c>
      <c r="CS85" s="496">
        <f t="shared" si="90"/>
        <v>0</v>
      </c>
      <c r="CT85" s="496">
        <f t="shared" si="91"/>
        <v>0</v>
      </c>
      <c r="CU85" s="497" t="str">
        <f t="shared" si="92"/>
        <v>00</v>
      </c>
    </row>
    <row r="86" spans="1:99" ht="15" hidden="1" customHeight="1">
      <c r="A86" s="951">
        <v>83</v>
      </c>
      <c r="B86" s="953"/>
      <c r="C86" s="922"/>
      <c r="D86" s="923"/>
      <c r="E86" s="913"/>
      <c r="F86" s="914"/>
      <c r="G86" s="926"/>
      <c r="H86" s="921"/>
      <c r="I86" s="917"/>
      <c r="J86" s="916"/>
      <c r="K86" s="1012"/>
      <c r="L86" s="1012"/>
      <c r="M86" s="1013"/>
      <c r="N86" s="1028" t="str">
        <f t="shared" si="52"/>
        <v>00</v>
      </c>
      <c r="O86" s="406" t="str">
        <f t="shared" si="93"/>
        <v/>
      </c>
      <c r="P86" s="407" t="str">
        <f>IF(O86="","",VLOOKUP(O86,所属コード!$A$2:$E$11,2,FALSE))</f>
        <v/>
      </c>
      <c r="Q86" s="1033" t="str">
        <f>IF(O86="","",VLOOKUP(O86,所属コード!$A$2:$G$11,7,FALSE))</f>
        <v/>
      </c>
      <c r="R86" s="1035"/>
      <c r="S86" s="77"/>
      <c r="T86" s="77"/>
      <c r="U86" s="77"/>
      <c r="V86" s="15"/>
      <c r="X86" s="488"/>
      <c r="Y86" s="945" t="str">
        <f t="shared" si="53"/>
        <v/>
      </c>
      <c r="Z86" s="489" t="str">
        <f t="shared" si="54"/>
        <v/>
      </c>
      <c r="AA86" s="488"/>
      <c r="AB86" s="488"/>
      <c r="AC86" s="488"/>
      <c r="AD86" s="488"/>
      <c r="AE86" s="488"/>
      <c r="AF86" s="488"/>
      <c r="AG86" s="491"/>
      <c r="AH86" s="591"/>
      <c r="AI86" s="592"/>
      <c r="AJ86" s="592"/>
      <c r="AK86" s="592"/>
      <c r="AL86" s="592"/>
      <c r="AM86" s="592"/>
      <c r="AN86" s="592"/>
      <c r="AO86" s="592"/>
      <c r="AP86" s="592"/>
      <c r="AQ86" s="592"/>
      <c r="AR86" s="592"/>
      <c r="AS86" s="592"/>
      <c r="AT86" s="592"/>
      <c r="AU86" s="592"/>
      <c r="AV86" s="592"/>
      <c r="AW86" s="604"/>
      <c r="AX86" s="609">
        <f t="shared" si="55"/>
        <v>0</v>
      </c>
      <c r="AY86" s="602">
        <f t="shared" si="48"/>
        <v>0</v>
      </c>
      <c r="AZ86" s="593">
        <f t="shared" si="49"/>
        <v>0</v>
      </c>
      <c r="BA86" s="594">
        <f t="shared" si="50"/>
        <v>0</v>
      </c>
      <c r="BB86" s="593">
        <f t="shared" si="50"/>
        <v>0</v>
      </c>
      <c r="BC86" s="593">
        <f t="shared" si="56"/>
        <v>0</v>
      </c>
      <c r="BD86" s="593">
        <f t="shared" si="57"/>
        <v>0</v>
      </c>
      <c r="BE86" s="593">
        <f t="shared" si="58"/>
        <v>0</v>
      </c>
      <c r="BF86" s="593">
        <f t="shared" si="59"/>
        <v>0</v>
      </c>
      <c r="BG86" s="593">
        <f t="shared" si="60"/>
        <v>0</v>
      </c>
      <c r="BH86" s="593">
        <f t="shared" si="61"/>
        <v>0</v>
      </c>
      <c r="BI86" s="593">
        <f t="shared" si="61"/>
        <v>0</v>
      </c>
      <c r="BJ86" s="593">
        <f t="shared" si="62"/>
        <v>0</v>
      </c>
      <c r="BK86" s="593">
        <f t="shared" si="62"/>
        <v>0</v>
      </c>
      <c r="BL86" s="593">
        <f t="shared" si="63"/>
        <v>0</v>
      </c>
      <c r="BM86" s="593">
        <f t="shared" si="64"/>
        <v>0</v>
      </c>
      <c r="BN86" s="593">
        <f t="shared" si="64"/>
        <v>0</v>
      </c>
      <c r="BO86" s="593">
        <f t="shared" si="64"/>
        <v>0</v>
      </c>
      <c r="BP86" s="593">
        <f t="shared" si="65"/>
        <v>0</v>
      </c>
      <c r="BQ86" s="593">
        <f t="shared" si="66"/>
        <v>0</v>
      </c>
      <c r="BR86" s="593">
        <f t="shared" si="67"/>
        <v>0</v>
      </c>
      <c r="BS86" s="593">
        <f t="shared" si="68"/>
        <v>0</v>
      </c>
      <c r="BT86" s="593">
        <f t="shared" si="69"/>
        <v>0</v>
      </c>
      <c r="BU86" s="593">
        <f t="shared" si="70"/>
        <v>0</v>
      </c>
      <c r="BV86" s="593">
        <f t="shared" si="71"/>
        <v>0</v>
      </c>
      <c r="BW86" s="593">
        <f t="shared" si="72"/>
        <v>0</v>
      </c>
      <c r="BX86" s="593">
        <f t="shared" si="73"/>
        <v>0</v>
      </c>
      <c r="BY86" s="593">
        <f t="shared" si="74"/>
        <v>0</v>
      </c>
      <c r="BZ86" s="593">
        <f t="shared" si="75"/>
        <v>0</v>
      </c>
      <c r="CA86" s="593">
        <f t="shared" si="76"/>
        <v>0</v>
      </c>
      <c r="CB86" s="593">
        <f t="shared" si="77"/>
        <v>0</v>
      </c>
      <c r="CC86" s="593">
        <f t="shared" si="78"/>
        <v>0</v>
      </c>
      <c r="CD86" s="593">
        <f t="shared" si="79"/>
        <v>0</v>
      </c>
      <c r="CE86" s="593">
        <f t="shared" si="79"/>
        <v>0</v>
      </c>
      <c r="CF86" s="595">
        <f t="shared" si="80"/>
        <v>0</v>
      </c>
      <c r="CG86" s="555" t="str">
        <f t="shared" si="81"/>
        <v/>
      </c>
      <c r="CH86" s="530" t="str">
        <f t="shared" si="82"/>
        <v/>
      </c>
      <c r="CI86" s="530" t="str">
        <f t="shared" si="83"/>
        <v/>
      </c>
      <c r="CJ86" s="530" t="str">
        <f t="shared" si="84"/>
        <v/>
      </c>
      <c r="CK86" s="530" t="str">
        <f t="shared" si="85"/>
        <v/>
      </c>
      <c r="CL86" s="530" t="str">
        <f t="shared" si="86"/>
        <v/>
      </c>
      <c r="CM86" s="82" t="str">
        <f t="shared" si="87"/>
        <v/>
      </c>
      <c r="CN86" s="496" t="str">
        <f t="shared" si="51"/>
        <v/>
      </c>
      <c r="CO86" s="496" t="str">
        <f t="shared" si="88"/>
        <v>0</v>
      </c>
      <c r="CP86" s="491">
        <f t="shared" si="89"/>
        <v>0</v>
      </c>
      <c r="CS86" s="496">
        <f t="shared" si="90"/>
        <v>0</v>
      </c>
      <c r="CT86" s="496">
        <f t="shared" si="91"/>
        <v>0</v>
      </c>
      <c r="CU86" s="497" t="str">
        <f t="shared" si="92"/>
        <v>00</v>
      </c>
    </row>
    <row r="87" spans="1:99" ht="15" hidden="1" customHeight="1">
      <c r="A87" s="951">
        <v>84</v>
      </c>
      <c r="B87" s="953"/>
      <c r="C87" s="922"/>
      <c r="D87" s="923"/>
      <c r="E87" s="913"/>
      <c r="F87" s="914"/>
      <c r="G87" s="926"/>
      <c r="H87" s="921"/>
      <c r="I87" s="917"/>
      <c r="J87" s="916"/>
      <c r="K87" s="1012"/>
      <c r="L87" s="1012"/>
      <c r="M87" s="1013"/>
      <c r="N87" s="1028" t="str">
        <f t="shared" si="52"/>
        <v>00</v>
      </c>
      <c r="O87" s="406" t="str">
        <f t="shared" si="93"/>
        <v/>
      </c>
      <c r="P87" s="407" t="str">
        <f>IF(O87="","",VLOOKUP(O87,所属コード!$A$2:$E$11,2,FALSE))</f>
        <v/>
      </c>
      <c r="Q87" s="1033" t="str">
        <f>IF(O87="","",VLOOKUP(O87,所属コード!$A$2:$G$11,7,FALSE))</f>
        <v/>
      </c>
      <c r="R87" s="1035"/>
      <c r="S87" s="77"/>
      <c r="T87" s="77"/>
      <c r="U87" s="77"/>
      <c r="V87" s="15"/>
      <c r="X87" s="488"/>
      <c r="Y87" s="945" t="str">
        <f t="shared" si="53"/>
        <v/>
      </c>
      <c r="Z87" s="489" t="str">
        <f t="shared" si="54"/>
        <v/>
      </c>
      <c r="AA87" s="488"/>
      <c r="AB87" s="488"/>
      <c r="AC87" s="488"/>
      <c r="AD87" s="488"/>
      <c r="AE87" s="488"/>
      <c r="AF87" s="488"/>
      <c r="AG87" s="491"/>
      <c r="AH87" s="591"/>
      <c r="AI87" s="592"/>
      <c r="AJ87" s="592"/>
      <c r="AK87" s="592"/>
      <c r="AL87" s="592"/>
      <c r="AM87" s="592"/>
      <c r="AN87" s="592"/>
      <c r="AO87" s="592"/>
      <c r="AP87" s="592"/>
      <c r="AQ87" s="592"/>
      <c r="AR87" s="592"/>
      <c r="AS87" s="592"/>
      <c r="AT87" s="592"/>
      <c r="AU87" s="592"/>
      <c r="AV87" s="592"/>
      <c r="AW87" s="604"/>
      <c r="AX87" s="609">
        <f t="shared" si="55"/>
        <v>0</v>
      </c>
      <c r="AY87" s="602">
        <f t="shared" si="48"/>
        <v>0</v>
      </c>
      <c r="AZ87" s="593">
        <f t="shared" si="49"/>
        <v>0</v>
      </c>
      <c r="BA87" s="594">
        <f t="shared" si="50"/>
        <v>0</v>
      </c>
      <c r="BB87" s="593">
        <f t="shared" si="50"/>
        <v>0</v>
      </c>
      <c r="BC87" s="593">
        <f t="shared" si="56"/>
        <v>0</v>
      </c>
      <c r="BD87" s="593">
        <f t="shared" si="57"/>
        <v>0</v>
      </c>
      <c r="BE87" s="593">
        <f t="shared" si="58"/>
        <v>0</v>
      </c>
      <c r="BF87" s="593">
        <f t="shared" si="59"/>
        <v>0</v>
      </c>
      <c r="BG87" s="593">
        <f t="shared" si="60"/>
        <v>0</v>
      </c>
      <c r="BH87" s="593">
        <f t="shared" si="61"/>
        <v>0</v>
      </c>
      <c r="BI87" s="593">
        <f t="shared" si="61"/>
        <v>0</v>
      </c>
      <c r="BJ87" s="593">
        <f t="shared" si="62"/>
        <v>0</v>
      </c>
      <c r="BK87" s="593">
        <f t="shared" si="62"/>
        <v>0</v>
      </c>
      <c r="BL87" s="593">
        <f t="shared" si="63"/>
        <v>0</v>
      </c>
      <c r="BM87" s="593">
        <f t="shared" si="64"/>
        <v>0</v>
      </c>
      <c r="BN87" s="593">
        <f t="shared" si="64"/>
        <v>0</v>
      </c>
      <c r="BO87" s="593">
        <f t="shared" si="64"/>
        <v>0</v>
      </c>
      <c r="BP87" s="593">
        <f t="shared" si="65"/>
        <v>0</v>
      </c>
      <c r="BQ87" s="593">
        <f t="shared" si="66"/>
        <v>0</v>
      </c>
      <c r="BR87" s="593">
        <f t="shared" si="67"/>
        <v>0</v>
      </c>
      <c r="BS87" s="593">
        <f t="shared" si="68"/>
        <v>0</v>
      </c>
      <c r="BT87" s="593">
        <f t="shared" si="69"/>
        <v>0</v>
      </c>
      <c r="BU87" s="593">
        <f t="shared" si="70"/>
        <v>0</v>
      </c>
      <c r="BV87" s="593">
        <f t="shared" si="71"/>
        <v>0</v>
      </c>
      <c r="BW87" s="593">
        <f t="shared" si="72"/>
        <v>0</v>
      </c>
      <c r="BX87" s="593">
        <f t="shared" si="73"/>
        <v>0</v>
      </c>
      <c r="BY87" s="593">
        <f t="shared" si="74"/>
        <v>0</v>
      </c>
      <c r="BZ87" s="593">
        <f t="shared" si="75"/>
        <v>0</v>
      </c>
      <c r="CA87" s="593">
        <f t="shared" si="76"/>
        <v>0</v>
      </c>
      <c r="CB87" s="593">
        <f t="shared" si="77"/>
        <v>0</v>
      </c>
      <c r="CC87" s="593">
        <f t="shared" si="78"/>
        <v>0</v>
      </c>
      <c r="CD87" s="593">
        <f t="shared" si="79"/>
        <v>0</v>
      </c>
      <c r="CE87" s="593">
        <f t="shared" si="79"/>
        <v>0</v>
      </c>
      <c r="CF87" s="595">
        <f t="shared" si="80"/>
        <v>0</v>
      </c>
      <c r="CG87" s="555" t="str">
        <f t="shared" si="81"/>
        <v/>
      </c>
      <c r="CH87" s="530" t="str">
        <f t="shared" si="82"/>
        <v/>
      </c>
      <c r="CI87" s="530" t="str">
        <f t="shared" si="83"/>
        <v/>
      </c>
      <c r="CJ87" s="530" t="str">
        <f t="shared" si="84"/>
        <v/>
      </c>
      <c r="CK87" s="530" t="str">
        <f t="shared" si="85"/>
        <v/>
      </c>
      <c r="CL87" s="530" t="str">
        <f t="shared" si="86"/>
        <v/>
      </c>
      <c r="CM87" s="82" t="str">
        <f t="shared" si="87"/>
        <v/>
      </c>
      <c r="CN87" s="496" t="str">
        <f t="shared" si="51"/>
        <v/>
      </c>
      <c r="CO87" s="496" t="str">
        <f t="shared" si="88"/>
        <v>0</v>
      </c>
      <c r="CP87" s="491">
        <f t="shared" si="89"/>
        <v>0</v>
      </c>
      <c r="CS87" s="496">
        <f t="shared" si="90"/>
        <v>0</v>
      </c>
      <c r="CT87" s="496">
        <f t="shared" si="91"/>
        <v>0</v>
      </c>
      <c r="CU87" s="497" t="str">
        <f t="shared" si="92"/>
        <v>00</v>
      </c>
    </row>
    <row r="88" spans="1:99" ht="15" hidden="1" customHeight="1">
      <c r="A88" s="951">
        <v>85</v>
      </c>
      <c r="B88" s="953"/>
      <c r="C88" s="922"/>
      <c r="D88" s="923"/>
      <c r="E88" s="913"/>
      <c r="F88" s="914"/>
      <c r="G88" s="926"/>
      <c r="H88" s="921"/>
      <c r="I88" s="917"/>
      <c r="J88" s="916"/>
      <c r="K88" s="1012"/>
      <c r="L88" s="1012"/>
      <c r="M88" s="1013"/>
      <c r="N88" s="1028" t="str">
        <f t="shared" si="52"/>
        <v>00</v>
      </c>
      <c r="O88" s="406" t="str">
        <f t="shared" si="93"/>
        <v/>
      </c>
      <c r="P88" s="407" t="str">
        <f>IF(O88="","",VLOOKUP(O88,所属コード!$A$2:$E$11,2,FALSE))</f>
        <v/>
      </c>
      <c r="Q88" s="1033" t="str">
        <f>IF(O88="","",VLOOKUP(O88,所属コード!$A$2:$G$11,7,FALSE))</f>
        <v/>
      </c>
      <c r="R88" s="1035"/>
      <c r="S88" s="77"/>
      <c r="T88" s="77"/>
      <c r="U88" s="77"/>
      <c r="V88" s="15"/>
      <c r="X88" s="488"/>
      <c r="Y88" s="945" t="str">
        <f t="shared" si="53"/>
        <v/>
      </c>
      <c r="Z88" s="489" t="str">
        <f t="shared" si="54"/>
        <v/>
      </c>
      <c r="AA88" s="488"/>
      <c r="AB88" s="488"/>
      <c r="AC88" s="488"/>
      <c r="AD88" s="488"/>
      <c r="AE88" s="488"/>
      <c r="AF88" s="488"/>
      <c r="AG88" s="491"/>
      <c r="AH88" s="591"/>
      <c r="AI88" s="592"/>
      <c r="AJ88" s="592"/>
      <c r="AK88" s="592"/>
      <c r="AL88" s="592"/>
      <c r="AM88" s="592"/>
      <c r="AN88" s="592"/>
      <c r="AO88" s="592"/>
      <c r="AP88" s="592"/>
      <c r="AQ88" s="592"/>
      <c r="AR88" s="592"/>
      <c r="AS88" s="592"/>
      <c r="AT88" s="592"/>
      <c r="AU88" s="592"/>
      <c r="AV88" s="592"/>
      <c r="AW88" s="604"/>
      <c r="AX88" s="609">
        <f t="shared" si="55"/>
        <v>0</v>
      </c>
      <c r="AY88" s="602">
        <f t="shared" si="48"/>
        <v>0</v>
      </c>
      <c r="AZ88" s="593">
        <f t="shared" si="49"/>
        <v>0</v>
      </c>
      <c r="BA88" s="594">
        <f t="shared" si="50"/>
        <v>0</v>
      </c>
      <c r="BB88" s="593">
        <f t="shared" si="50"/>
        <v>0</v>
      </c>
      <c r="BC88" s="593">
        <f t="shared" si="56"/>
        <v>0</v>
      </c>
      <c r="BD88" s="593">
        <f t="shared" si="57"/>
        <v>0</v>
      </c>
      <c r="BE88" s="593">
        <f t="shared" si="58"/>
        <v>0</v>
      </c>
      <c r="BF88" s="593">
        <f t="shared" si="59"/>
        <v>0</v>
      </c>
      <c r="BG88" s="593">
        <f t="shared" si="60"/>
        <v>0</v>
      </c>
      <c r="BH88" s="593">
        <f t="shared" si="61"/>
        <v>0</v>
      </c>
      <c r="BI88" s="593">
        <f t="shared" si="61"/>
        <v>0</v>
      </c>
      <c r="BJ88" s="593">
        <f t="shared" si="62"/>
        <v>0</v>
      </c>
      <c r="BK88" s="593">
        <f t="shared" si="62"/>
        <v>0</v>
      </c>
      <c r="BL88" s="593">
        <f t="shared" si="63"/>
        <v>0</v>
      </c>
      <c r="BM88" s="593">
        <f t="shared" si="64"/>
        <v>0</v>
      </c>
      <c r="BN88" s="593">
        <f t="shared" si="64"/>
        <v>0</v>
      </c>
      <c r="BO88" s="593">
        <f t="shared" si="64"/>
        <v>0</v>
      </c>
      <c r="BP88" s="593">
        <f t="shared" si="65"/>
        <v>0</v>
      </c>
      <c r="BQ88" s="593">
        <f t="shared" si="66"/>
        <v>0</v>
      </c>
      <c r="BR88" s="593">
        <f t="shared" si="67"/>
        <v>0</v>
      </c>
      <c r="BS88" s="593">
        <f t="shared" si="68"/>
        <v>0</v>
      </c>
      <c r="BT88" s="593">
        <f t="shared" si="69"/>
        <v>0</v>
      </c>
      <c r="BU88" s="593">
        <f t="shared" si="70"/>
        <v>0</v>
      </c>
      <c r="BV88" s="593">
        <f t="shared" si="71"/>
        <v>0</v>
      </c>
      <c r="BW88" s="593">
        <f t="shared" si="72"/>
        <v>0</v>
      </c>
      <c r="BX88" s="593">
        <f t="shared" si="73"/>
        <v>0</v>
      </c>
      <c r="BY88" s="593">
        <f t="shared" si="74"/>
        <v>0</v>
      </c>
      <c r="BZ88" s="593">
        <f t="shared" si="75"/>
        <v>0</v>
      </c>
      <c r="CA88" s="593">
        <f t="shared" si="76"/>
        <v>0</v>
      </c>
      <c r="CB88" s="593">
        <f t="shared" si="77"/>
        <v>0</v>
      </c>
      <c r="CC88" s="593">
        <f t="shared" si="78"/>
        <v>0</v>
      </c>
      <c r="CD88" s="593">
        <f t="shared" si="79"/>
        <v>0</v>
      </c>
      <c r="CE88" s="593">
        <f t="shared" si="79"/>
        <v>0</v>
      </c>
      <c r="CF88" s="595">
        <f t="shared" si="80"/>
        <v>0</v>
      </c>
      <c r="CG88" s="555" t="str">
        <f t="shared" si="81"/>
        <v/>
      </c>
      <c r="CH88" s="530" t="str">
        <f t="shared" si="82"/>
        <v/>
      </c>
      <c r="CI88" s="530" t="str">
        <f t="shared" si="83"/>
        <v/>
      </c>
      <c r="CJ88" s="530" t="str">
        <f t="shared" si="84"/>
        <v/>
      </c>
      <c r="CK88" s="530" t="str">
        <f t="shared" si="85"/>
        <v/>
      </c>
      <c r="CL88" s="530" t="str">
        <f t="shared" si="86"/>
        <v/>
      </c>
      <c r="CM88" s="82" t="str">
        <f t="shared" si="87"/>
        <v/>
      </c>
      <c r="CN88" s="496" t="str">
        <f t="shared" si="51"/>
        <v/>
      </c>
      <c r="CO88" s="496" t="str">
        <f t="shared" si="88"/>
        <v>0</v>
      </c>
      <c r="CP88" s="491">
        <f t="shared" si="89"/>
        <v>0</v>
      </c>
      <c r="CS88" s="496">
        <f t="shared" si="90"/>
        <v>0</v>
      </c>
      <c r="CT88" s="496">
        <f t="shared" si="91"/>
        <v>0</v>
      </c>
      <c r="CU88" s="497" t="str">
        <f t="shared" si="92"/>
        <v>00</v>
      </c>
    </row>
    <row r="89" spans="1:99" ht="15" hidden="1" customHeight="1">
      <c r="A89" s="951">
        <v>86</v>
      </c>
      <c r="B89" s="953"/>
      <c r="C89" s="922"/>
      <c r="D89" s="923"/>
      <c r="E89" s="913"/>
      <c r="F89" s="914"/>
      <c r="G89" s="926"/>
      <c r="H89" s="921"/>
      <c r="I89" s="917"/>
      <c r="J89" s="916"/>
      <c r="K89" s="1012"/>
      <c r="L89" s="1012"/>
      <c r="M89" s="1013"/>
      <c r="N89" s="1028" t="str">
        <f t="shared" si="52"/>
        <v>00</v>
      </c>
      <c r="O89" s="406" t="str">
        <f t="shared" si="93"/>
        <v/>
      </c>
      <c r="P89" s="407" t="str">
        <f>IF(O89="","",VLOOKUP(O89,所属コード!$A$2:$E$11,2,FALSE))</f>
        <v/>
      </c>
      <c r="Q89" s="1033" t="str">
        <f>IF(O89="","",VLOOKUP(O89,所属コード!$A$2:$G$11,7,FALSE))</f>
        <v/>
      </c>
      <c r="R89" s="1035"/>
      <c r="S89" s="77"/>
      <c r="T89" s="77"/>
      <c r="U89" s="77"/>
      <c r="V89" s="15"/>
      <c r="X89" s="488"/>
      <c r="Y89" s="945" t="str">
        <f t="shared" si="53"/>
        <v/>
      </c>
      <c r="Z89" s="489" t="str">
        <f t="shared" si="54"/>
        <v/>
      </c>
      <c r="AA89" s="488"/>
      <c r="AB89" s="488"/>
      <c r="AC89" s="488"/>
      <c r="AD89" s="488"/>
      <c r="AE89" s="488"/>
      <c r="AF89" s="488"/>
      <c r="AG89" s="491"/>
      <c r="AH89" s="591"/>
      <c r="AI89" s="592"/>
      <c r="AJ89" s="592"/>
      <c r="AK89" s="592"/>
      <c r="AL89" s="592"/>
      <c r="AM89" s="592"/>
      <c r="AN89" s="592"/>
      <c r="AO89" s="592"/>
      <c r="AP89" s="592"/>
      <c r="AQ89" s="592"/>
      <c r="AR89" s="592"/>
      <c r="AS89" s="592"/>
      <c r="AT89" s="592"/>
      <c r="AU89" s="592"/>
      <c r="AV89" s="592"/>
      <c r="AW89" s="604"/>
      <c r="AX89" s="609">
        <f t="shared" si="55"/>
        <v>0</v>
      </c>
      <c r="AY89" s="602">
        <f t="shared" si="48"/>
        <v>0</v>
      </c>
      <c r="AZ89" s="593">
        <f t="shared" si="49"/>
        <v>0</v>
      </c>
      <c r="BA89" s="594">
        <f t="shared" si="50"/>
        <v>0</v>
      </c>
      <c r="BB89" s="593">
        <f t="shared" si="50"/>
        <v>0</v>
      </c>
      <c r="BC89" s="593">
        <f t="shared" si="56"/>
        <v>0</v>
      </c>
      <c r="BD89" s="593">
        <f t="shared" si="57"/>
        <v>0</v>
      </c>
      <c r="BE89" s="593">
        <f t="shared" si="58"/>
        <v>0</v>
      </c>
      <c r="BF89" s="593">
        <f t="shared" si="59"/>
        <v>0</v>
      </c>
      <c r="BG89" s="593">
        <f t="shared" si="60"/>
        <v>0</v>
      </c>
      <c r="BH89" s="593">
        <f t="shared" si="61"/>
        <v>0</v>
      </c>
      <c r="BI89" s="593">
        <f t="shared" si="61"/>
        <v>0</v>
      </c>
      <c r="BJ89" s="593">
        <f t="shared" si="62"/>
        <v>0</v>
      </c>
      <c r="BK89" s="593">
        <f t="shared" si="62"/>
        <v>0</v>
      </c>
      <c r="BL89" s="593">
        <f t="shared" si="63"/>
        <v>0</v>
      </c>
      <c r="BM89" s="593">
        <f t="shared" si="64"/>
        <v>0</v>
      </c>
      <c r="BN89" s="593">
        <f t="shared" si="64"/>
        <v>0</v>
      </c>
      <c r="BO89" s="593">
        <f t="shared" si="64"/>
        <v>0</v>
      </c>
      <c r="BP89" s="593">
        <f t="shared" si="65"/>
        <v>0</v>
      </c>
      <c r="BQ89" s="593">
        <f t="shared" si="66"/>
        <v>0</v>
      </c>
      <c r="BR89" s="593">
        <f t="shared" si="67"/>
        <v>0</v>
      </c>
      <c r="BS89" s="593">
        <f t="shared" si="68"/>
        <v>0</v>
      </c>
      <c r="BT89" s="593">
        <f t="shared" si="69"/>
        <v>0</v>
      </c>
      <c r="BU89" s="593">
        <f t="shared" si="70"/>
        <v>0</v>
      </c>
      <c r="BV89" s="593">
        <f t="shared" si="71"/>
        <v>0</v>
      </c>
      <c r="BW89" s="593">
        <f t="shared" si="72"/>
        <v>0</v>
      </c>
      <c r="BX89" s="593">
        <f t="shared" si="73"/>
        <v>0</v>
      </c>
      <c r="BY89" s="593">
        <f t="shared" si="74"/>
        <v>0</v>
      </c>
      <c r="BZ89" s="593">
        <f t="shared" si="75"/>
        <v>0</v>
      </c>
      <c r="CA89" s="593">
        <f t="shared" si="76"/>
        <v>0</v>
      </c>
      <c r="CB89" s="593">
        <f t="shared" si="77"/>
        <v>0</v>
      </c>
      <c r="CC89" s="593">
        <f t="shared" si="78"/>
        <v>0</v>
      </c>
      <c r="CD89" s="593">
        <f t="shared" si="79"/>
        <v>0</v>
      </c>
      <c r="CE89" s="593">
        <f t="shared" si="79"/>
        <v>0</v>
      </c>
      <c r="CF89" s="595">
        <f t="shared" si="80"/>
        <v>0</v>
      </c>
      <c r="CG89" s="555" t="str">
        <f t="shared" si="81"/>
        <v/>
      </c>
      <c r="CH89" s="530" t="str">
        <f t="shared" si="82"/>
        <v/>
      </c>
      <c r="CI89" s="530" t="str">
        <f t="shared" si="83"/>
        <v/>
      </c>
      <c r="CJ89" s="530" t="str">
        <f t="shared" si="84"/>
        <v/>
      </c>
      <c r="CK89" s="530" t="str">
        <f t="shared" si="85"/>
        <v/>
      </c>
      <c r="CL89" s="530" t="str">
        <f t="shared" si="86"/>
        <v/>
      </c>
      <c r="CM89" s="82" t="str">
        <f t="shared" si="87"/>
        <v/>
      </c>
      <c r="CN89" s="496" t="str">
        <f t="shared" si="51"/>
        <v/>
      </c>
      <c r="CO89" s="496" t="str">
        <f t="shared" si="88"/>
        <v>0</v>
      </c>
      <c r="CP89" s="491">
        <f t="shared" si="89"/>
        <v>0</v>
      </c>
      <c r="CS89" s="496">
        <f t="shared" si="90"/>
        <v>0</v>
      </c>
      <c r="CT89" s="496">
        <f t="shared" si="91"/>
        <v>0</v>
      </c>
      <c r="CU89" s="497" t="str">
        <f t="shared" si="92"/>
        <v>00</v>
      </c>
    </row>
    <row r="90" spans="1:99" ht="15" hidden="1" customHeight="1">
      <c r="A90" s="951">
        <v>87</v>
      </c>
      <c r="B90" s="953"/>
      <c r="C90" s="922"/>
      <c r="D90" s="923"/>
      <c r="E90" s="913"/>
      <c r="F90" s="914"/>
      <c r="G90" s="926"/>
      <c r="H90" s="921"/>
      <c r="I90" s="917"/>
      <c r="J90" s="916"/>
      <c r="K90" s="1012"/>
      <c r="L90" s="1012"/>
      <c r="M90" s="1013"/>
      <c r="N90" s="1028" t="str">
        <f t="shared" si="52"/>
        <v>00</v>
      </c>
      <c r="O90" s="406" t="str">
        <f t="shared" si="93"/>
        <v/>
      </c>
      <c r="P90" s="407" t="str">
        <f>IF(O90="","",VLOOKUP(O90,所属コード!$A$2:$E$11,2,FALSE))</f>
        <v/>
      </c>
      <c r="Q90" s="1033" t="str">
        <f>IF(O90="","",VLOOKUP(O90,所属コード!$A$2:$G$11,7,FALSE))</f>
        <v/>
      </c>
      <c r="R90" s="1035"/>
      <c r="S90" s="77"/>
      <c r="T90" s="77"/>
      <c r="U90" s="77"/>
      <c r="V90" s="15"/>
      <c r="X90" s="488"/>
      <c r="Y90" s="945" t="str">
        <f t="shared" si="53"/>
        <v/>
      </c>
      <c r="Z90" s="489" t="str">
        <f t="shared" si="54"/>
        <v/>
      </c>
      <c r="AA90" s="488"/>
      <c r="AB90" s="488"/>
      <c r="AC90" s="488"/>
      <c r="AD90" s="488"/>
      <c r="AE90" s="488"/>
      <c r="AF90" s="488"/>
      <c r="AG90" s="491"/>
      <c r="AH90" s="591"/>
      <c r="AI90" s="592"/>
      <c r="AJ90" s="592"/>
      <c r="AK90" s="592"/>
      <c r="AL90" s="592"/>
      <c r="AM90" s="592"/>
      <c r="AN90" s="592"/>
      <c r="AO90" s="592"/>
      <c r="AP90" s="592"/>
      <c r="AQ90" s="592"/>
      <c r="AR90" s="592"/>
      <c r="AS90" s="592"/>
      <c r="AT90" s="592"/>
      <c r="AU90" s="592"/>
      <c r="AV90" s="592"/>
      <c r="AW90" s="604"/>
      <c r="AX90" s="609">
        <f t="shared" si="55"/>
        <v>0</v>
      </c>
      <c r="AY90" s="602">
        <f t="shared" si="48"/>
        <v>0</v>
      </c>
      <c r="AZ90" s="593">
        <f t="shared" si="49"/>
        <v>0</v>
      </c>
      <c r="BA90" s="594">
        <f t="shared" si="50"/>
        <v>0</v>
      </c>
      <c r="BB90" s="593">
        <f t="shared" si="50"/>
        <v>0</v>
      </c>
      <c r="BC90" s="593">
        <f t="shared" si="56"/>
        <v>0</v>
      </c>
      <c r="BD90" s="593">
        <f t="shared" si="57"/>
        <v>0</v>
      </c>
      <c r="BE90" s="593">
        <f t="shared" si="58"/>
        <v>0</v>
      </c>
      <c r="BF90" s="593">
        <f t="shared" si="59"/>
        <v>0</v>
      </c>
      <c r="BG90" s="593">
        <f t="shared" si="60"/>
        <v>0</v>
      </c>
      <c r="BH90" s="593">
        <f t="shared" si="61"/>
        <v>0</v>
      </c>
      <c r="BI90" s="593">
        <f t="shared" si="61"/>
        <v>0</v>
      </c>
      <c r="BJ90" s="593">
        <f t="shared" si="62"/>
        <v>0</v>
      </c>
      <c r="BK90" s="593">
        <f t="shared" si="62"/>
        <v>0</v>
      </c>
      <c r="BL90" s="593">
        <f t="shared" si="63"/>
        <v>0</v>
      </c>
      <c r="BM90" s="593">
        <f t="shared" si="64"/>
        <v>0</v>
      </c>
      <c r="BN90" s="593">
        <f t="shared" si="64"/>
        <v>0</v>
      </c>
      <c r="BO90" s="593">
        <f t="shared" si="64"/>
        <v>0</v>
      </c>
      <c r="BP90" s="593">
        <f t="shared" si="65"/>
        <v>0</v>
      </c>
      <c r="BQ90" s="593">
        <f t="shared" si="66"/>
        <v>0</v>
      </c>
      <c r="BR90" s="593">
        <f t="shared" si="67"/>
        <v>0</v>
      </c>
      <c r="BS90" s="593">
        <f t="shared" si="68"/>
        <v>0</v>
      </c>
      <c r="BT90" s="593">
        <f t="shared" si="69"/>
        <v>0</v>
      </c>
      <c r="BU90" s="593">
        <f t="shared" si="70"/>
        <v>0</v>
      </c>
      <c r="BV90" s="593">
        <f t="shared" si="71"/>
        <v>0</v>
      </c>
      <c r="BW90" s="593">
        <f t="shared" si="72"/>
        <v>0</v>
      </c>
      <c r="BX90" s="593">
        <f t="shared" si="73"/>
        <v>0</v>
      </c>
      <c r="BY90" s="593">
        <f t="shared" si="74"/>
        <v>0</v>
      </c>
      <c r="BZ90" s="593">
        <f t="shared" si="75"/>
        <v>0</v>
      </c>
      <c r="CA90" s="593">
        <f t="shared" si="76"/>
        <v>0</v>
      </c>
      <c r="CB90" s="593">
        <f t="shared" si="77"/>
        <v>0</v>
      </c>
      <c r="CC90" s="593">
        <f t="shared" si="78"/>
        <v>0</v>
      </c>
      <c r="CD90" s="593">
        <f t="shared" si="79"/>
        <v>0</v>
      </c>
      <c r="CE90" s="593">
        <f t="shared" si="79"/>
        <v>0</v>
      </c>
      <c r="CF90" s="595">
        <f t="shared" si="80"/>
        <v>0</v>
      </c>
      <c r="CG90" s="555" t="str">
        <f t="shared" si="81"/>
        <v/>
      </c>
      <c r="CH90" s="530" t="str">
        <f t="shared" si="82"/>
        <v/>
      </c>
      <c r="CI90" s="530" t="str">
        <f t="shared" si="83"/>
        <v/>
      </c>
      <c r="CJ90" s="530" t="str">
        <f t="shared" si="84"/>
        <v/>
      </c>
      <c r="CK90" s="530" t="str">
        <f t="shared" si="85"/>
        <v/>
      </c>
      <c r="CL90" s="530" t="str">
        <f t="shared" si="86"/>
        <v/>
      </c>
      <c r="CM90" s="82" t="str">
        <f t="shared" si="87"/>
        <v/>
      </c>
      <c r="CN90" s="496" t="str">
        <f t="shared" si="51"/>
        <v/>
      </c>
      <c r="CO90" s="496" t="str">
        <f t="shared" si="88"/>
        <v>0</v>
      </c>
      <c r="CP90" s="491">
        <f t="shared" si="89"/>
        <v>0</v>
      </c>
      <c r="CS90" s="496">
        <f t="shared" si="90"/>
        <v>0</v>
      </c>
      <c r="CT90" s="496">
        <f t="shared" si="91"/>
        <v>0</v>
      </c>
      <c r="CU90" s="497" t="str">
        <f t="shared" si="92"/>
        <v>00</v>
      </c>
    </row>
    <row r="91" spans="1:99" ht="15" hidden="1" customHeight="1">
      <c r="A91" s="951">
        <v>88</v>
      </c>
      <c r="B91" s="953"/>
      <c r="C91" s="922"/>
      <c r="D91" s="923"/>
      <c r="E91" s="913"/>
      <c r="F91" s="914"/>
      <c r="G91" s="926"/>
      <c r="H91" s="921"/>
      <c r="I91" s="917"/>
      <c r="J91" s="916"/>
      <c r="K91" s="1012"/>
      <c r="L91" s="1012"/>
      <c r="M91" s="1013"/>
      <c r="N91" s="1028" t="str">
        <f t="shared" si="52"/>
        <v>00</v>
      </c>
      <c r="O91" s="406" t="str">
        <f t="shared" si="93"/>
        <v/>
      </c>
      <c r="P91" s="407" t="str">
        <f>IF(O91="","",VLOOKUP(O91,所属コード!$A$2:$E$11,2,FALSE))</f>
        <v/>
      </c>
      <c r="Q91" s="1033" t="str">
        <f>IF(O91="","",VLOOKUP(O91,所属コード!$A$2:$G$11,7,FALSE))</f>
        <v/>
      </c>
      <c r="R91" s="1035"/>
      <c r="S91" s="77"/>
      <c r="T91" s="77"/>
      <c r="U91" s="77"/>
      <c r="V91" s="15"/>
      <c r="X91" s="488"/>
      <c r="Y91" s="945" t="str">
        <f t="shared" si="53"/>
        <v/>
      </c>
      <c r="Z91" s="489" t="str">
        <f t="shared" si="54"/>
        <v/>
      </c>
      <c r="AA91" s="488"/>
      <c r="AB91" s="488"/>
      <c r="AC91" s="488"/>
      <c r="AD91" s="488"/>
      <c r="AE91" s="488"/>
      <c r="AF91" s="488"/>
      <c r="AG91" s="491"/>
      <c r="AH91" s="591"/>
      <c r="AI91" s="592"/>
      <c r="AJ91" s="592"/>
      <c r="AK91" s="592"/>
      <c r="AL91" s="592"/>
      <c r="AM91" s="592"/>
      <c r="AN91" s="592"/>
      <c r="AO91" s="592"/>
      <c r="AP91" s="592"/>
      <c r="AQ91" s="592"/>
      <c r="AR91" s="592"/>
      <c r="AS91" s="592"/>
      <c r="AT91" s="592"/>
      <c r="AU91" s="592"/>
      <c r="AV91" s="592"/>
      <c r="AW91" s="604"/>
      <c r="AX91" s="609">
        <f t="shared" si="55"/>
        <v>0</v>
      </c>
      <c r="AY91" s="602">
        <f t="shared" si="48"/>
        <v>0</v>
      </c>
      <c r="AZ91" s="593">
        <f t="shared" si="49"/>
        <v>0</v>
      </c>
      <c r="BA91" s="594">
        <f t="shared" si="50"/>
        <v>0</v>
      </c>
      <c r="BB91" s="593">
        <f t="shared" si="50"/>
        <v>0</v>
      </c>
      <c r="BC91" s="593">
        <f t="shared" si="56"/>
        <v>0</v>
      </c>
      <c r="BD91" s="593">
        <f t="shared" si="57"/>
        <v>0</v>
      </c>
      <c r="BE91" s="593">
        <f t="shared" si="58"/>
        <v>0</v>
      </c>
      <c r="BF91" s="593">
        <f t="shared" si="59"/>
        <v>0</v>
      </c>
      <c r="BG91" s="593">
        <f t="shared" si="60"/>
        <v>0</v>
      </c>
      <c r="BH91" s="593">
        <f t="shared" si="61"/>
        <v>0</v>
      </c>
      <c r="BI91" s="593">
        <f t="shared" si="61"/>
        <v>0</v>
      </c>
      <c r="BJ91" s="593">
        <f t="shared" si="62"/>
        <v>0</v>
      </c>
      <c r="BK91" s="593">
        <f t="shared" si="62"/>
        <v>0</v>
      </c>
      <c r="BL91" s="593">
        <f t="shared" si="63"/>
        <v>0</v>
      </c>
      <c r="BM91" s="593">
        <f t="shared" si="64"/>
        <v>0</v>
      </c>
      <c r="BN91" s="593">
        <f t="shared" si="64"/>
        <v>0</v>
      </c>
      <c r="BO91" s="593">
        <f t="shared" si="64"/>
        <v>0</v>
      </c>
      <c r="BP91" s="593">
        <f t="shared" si="65"/>
        <v>0</v>
      </c>
      <c r="BQ91" s="593">
        <f t="shared" si="66"/>
        <v>0</v>
      </c>
      <c r="BR91" s="593">
        <f t="shared" si="67"/>
        <v>0</v>
      </c>
      <c r="BS91" s="593">
        <f t="shared" si="68"/>
        <v>0</v>
      </c>
      <c r="BT91" s="593">
        <f t="shared" si="69"/>
        <v>0</v>
      </c>
      <c r="BU91" s="593">
        <f t="shared" si="70"/>
        <v>0</v>
      </c>
      <c r="BV91" s="593">
        <f t="shared" si="71"/>
        <v>0</v>
      </c>
      <c r="BW91" s="593">
        <f t="shared" si="72"/>
        <v>0</v>
      </c>
      <c r="BX91" s="593">
        <f t="shared" si="73"/>
        <v>0</v>
      </c>
      <c r="BY91" s="593">
        <f t="shared" si="74"/>
        <v>0</v>
      </c>
      <c r="BZ91" s="593">
        <f t="shared" si="75"/>
        <v>0</v>
      </c>
      <c r="CA91" s="593">
        <f t="shared" si="76"/>
        <v>0</v>
      </c>
      <c r="CB91" s="593">
        <f t="shared" si="77"/>
        <v>0</v>
      </c>
      <c r="CC91" s="593">
        <f t="shared" si="78"/>
        <v>0</v>
      </c>
      <c r="CD91" s="593">
        <f t="shared" si="79"/>
        <v>0</v>
      </c>
      <c r="CE91" s="593">
        <f t="shared" si="79"/>
        <v>0</v>
      </c>
      <c r="CF91" s="595">
        <f t="shared" si="80"/>
        <v>0</v>
      </c>
      <c r="CG91" s="555" t="str">
        <f t="shared" si="81"/>
        <v/>
      </c>
      <c r="CH91" s="530" t="str">
        <f t="shared" si="82"/>
        <v/>
      </c>
      <c r="CI91" s="530" t="str">
        <f t="shared" si="83"/>
        <v/>
      </c>
      <c r="CJ91" s="530" t="str">
        <f t="shared" si="84"/>
        <v/>
      </c>
      <c r="CK91" s="530" t="str">
        <f t="shared" si="85"/>
        <v/>
      </c>
      <c r="CL91" s="530" t="str">
        <f t="shared" si="86"/>
        <v/>
      </c>
      <c r="CM91" s="82" t="str">
        <f t="shared" si="87"/>
        <v/>
      </c>
      <c r="CN91" s="496" t="str">
        <f t="shared" si="51"/>
        <v/>
      </c>
      <c r="CO91" s="496" t="str">
        <f t="shared" si="88"/>
        <v>0</v>
      </c>
      <c r="CP91" s="491">
        <f t="shared" si="89"/>
        <v>0</v>
      </c>
      <c r="CS91" s="496">
        <f t="shared" si="90"/>
        <v>0</v>
      </c>
      <c r="CT91" s="496">
        <f t="shared" si="91"/>
        <v>0</v>
      </c>
      <c r="CU91" s="497" t="str">
        <f t="shared" si="92"/>
        <v>00</v>
      </c>
    </row>
    <row r="92" spans="1:99" ht="15" hidden="1" customHeight="1">
      <c r="A92" s="951">
        <v>89</v>
      </c>
      <c r="B92" s="953"/>
      <c r="C92" s="922"/>
      <c r="D92" s="923"/>
      <c r="E92" s="913"/>
      <c r="F92" s="914"/>
      <c r="G92" s="926"/>
      <c r="H92" s="921"/>
      <c r="I92" s="917"/>
      <c r="J92" s="916"/>
      <c r="K92" s="1012"/>
      <c r="L92" s="1012"/>
      <c r="M92" s="1013"/>
      <c r="N92" s="1028" t="str">
        <f t="shared" si="52"/>
        <v>00</v>
      </c>
      <c r="O92" s="406" t="str">
        <f t="shared" si="93"/>
        <v/>
      </c>
      <c r="P92" s="407" t="str">
        <f>IF(O92="","",VLOOKUP(O92,所属コード!$A$2:$E$11,2,FALSE))</f>
        <v/>
      </c>
      <c r="Q92" s="1033" t="str">
        <f>IF(O92="","",VLOOKUP(O92,所属コード!$A$2:$G$11,7,FALSE))</f>
        <v/>
      </c>
      <c r="R92" s="1035"/>
      <c r="S92" s="77"/>
      <c r="T92" s="77"/>
      <c r="U92" s="77"/>
      <c r="V92" s="15"/>
      <c r="X92" s="488"/>
      <c r="Y92" s="945" t="str">
        <f t="shared" si="53"/>
        <v/>
      </c>
      <c r="Z92" s="489" t="str">
        <f t="shared" si="54"/>
        <v/>
      </c>
      <c r="AA92" s="488"/>
      <c r="AB92" s="488"/>
      <c r="AC92" s="488"/>
      <c r="AD92" s="488"/>
      <c r="AE92" s="488"/>
      <c r="AF92" s="488"/>
      <c r="AG92" s="491"/>
      <c r="AH92" s="591"/>
      <c r="AI92" s="592"/>
      <c r="AJ92" s="592"/>
      <c r="AK92" s="592"/>
      <c r="AL92" s="592"/>
      <c r="AM92" s="592"/>
      <c r="AN92" s="592"/>
      <c r="AO92" s="592"/>
      <c r="AP92" s="592"/>
      <c r="AQ92" s="592"/>
      <c r="AR92" s="592"/>
      <c r="AS92" s="592"/>
      <c r="AT92" s="592"/>
      <c r="AU92" s="592"/>
      <c r="AV92" s="592"/>
      <c r="AW92" s="604"/>
      <c r="AX92" s="609">
        <f t="shared" si="55"/>
        <v>0</v>
      </c>
      <c r="AY92" s="602">
        <f t="shared" si="48"/>
        <v>0</v>
      </c>
      <c r="AZ92" s="593">
        <f t="shared" si="49"/>
        <v>0</v>
      </c>
      <c r="BA92" s="594">
        <f t="shared" si="50"/>
        <v>0</v>
      </c>
      <c r="BB92" s="593">
        <f t="shared" si="50"/>
        <v>0</v>
      </c>
      <c r="BC92" s="593">
        <f t="shared" si="56"/>
        <v>0</v>
      </c>
      <c r="BD92" s="593">
        <f t="shared" si="57"/>
        <v>0</v>
      </c>
      <c r="BE92" s="593">
        <f t="shared" si="58"/>
        <v>0</v>
      </c>
      <c r="BF92" s="593">
        <f t="shared" si="59"/>
        <v>0</v>
      </c>
      <c r="BG92" s="593">
        <f t="shared" si="60"/>
        <v>0</v>
      </c>
      <c r="BH92" s="593">
        <f t="shared" si="61"/>
        <v>0</v>
      </c>
      <c r="BI92" s="593">
        <f t="shared" si="61"/>
        <v>0</v>
      </c>
      <c r="BJ92" s="593">
        <f t="shared" si="62"/>
        <v>0</v>
      </c>
      <c r="BK92" s="593">
        <f t="shared" si="62"/>
        <v>0</v>
      </c>
      <c r="BL92" s="593">
        <f t="shared" si="63"/>
        <v>0</v>
      </c>
      <c r="BM92" s="593">
        <f t="shared" si="64"/>
        <v>0</v>
      </c>
      <c r="BN92" s="593">
        <f t="shared" si="64"/>
        <v>0</v>
      </c>
      <c r="BO92" s="593">
        <f t="shared" si="64"/>
        <v>0</v>
      </c>
      <c r="BP92" s="593">
        <f t="shared" si="65"/>
        <v>0</v>
      </c>
      <c r="BQ92" s="593">
        <f t="shared" si="66"/>
        <v>0</v>
      </c>
      <c r="BR92" s="593">
        <f t="shared" si="67"/>
        <v>0</v>
      </c>
      <c r="BS92" s="593">
        <f t="shared" si="68"/>
        <v>0</v>
      </c>
      <c r="BT92" s="593">
        <f t="shared" si="69"/>
        <v>0</v>
      </c>
      <c r="BU92" s="593">
        <f t="shared" si="70"/>
        <v>0</v>
      </c>
      <c r="BV92" s="593">
        <f t="shared" si="71"/>
        <v>0</v>
      </c>
      <c r="BW92" s="593">
        <f t="shared" si="72"/>
        <v>0</v>
      </c>
      <c r="BX92" s="593">
        <f t="shared" si="73"/>
        <v>0</v>
      </c>
      <c r="BY92" s="593">
        <f t="shared" si="74"/>
        <v>0</v>
      </c>
      <c r="BZ92" s="593">
        <f t="shared" si="75"/>
        <v>0</v>
      </c>
      <c r="CA92" s="593">
        <f t="shared" si="76"/>
        <v>0</v>
      </c>
      <c r="CB92" s="593">
        <f t="shared" si="77"/>
        <v>0</v>
      </c>
      <c r="CC92" s="593">
        <f t="shared" si="78"/>
        <v>0</v>
      </c>
      <c r="CD92" s="593">
        <f t="shared" si="79"/>
        <v>0</v>
      </c>
      <c r="CE92" s="593">
        <f t="shared" si="79"/>
        <v>0</v>
      </c>
      <c r="CF92" s="595">
        <f t="shared" si="80"/>
        <v>0</v>
      </c>
      <c r="CG92" s="555" t="str">
        <f t="shared" si="81"/>
        <v/>
      </c>
      <c r="CH92" s="530" t="str">
        <f t="shared" si="82"/>
        <v/>
      </c>
      <c r="CI92" s="530" t="str">
        <f t="shared" si="83"/>
        <v/>
      </c>
      <c r="CJ92" s="530" t="str">
        <f t="shared" si="84"/>
        <v/>
      </c>
      <c r="CK92" s="530" t="str">
        <f t="shared" si="85"/>
        <v/>
      </c>
      <c r="CL92" s="530" t="str">
        <f t="shared" si="86"/>
        <v/>
      </c>
      <c r="CM92" s="82" t="str">
        <f t="shared" si="87"/>
        <v/>
      </c>
      <c r="CN92" s="496" t="str">
        <f t="shared" si="51"/>
        <v/>
      </c>
      <c r="CO92" s="496" t="str">
        <f t="shared" si="88"/>
        <v>0</v>
      </c>
      <c r="CP92" s="491">
        <f t="shared" si="89"/>
        <v>0</v>
      </c>
      <c r="CS92" s="496">
        <f t="shared" si="90"/>
        <v>0</v>
      </c>
      <c r="CT92" s="496">
        <f t="shared" si="91"/>
        <v>0</v>
      </c>
      <c r="CU92" s="497" t="str">
        <f t="shared" si="92"/>
        <v>00</v>
      </c>
    </row>
    <row r="93" spans="1:99" ht="15" hidden="1" customHeight="1">
      <c r="A93" s="951">
        <v>90</v>
      </c>
      <c r="B93" s="953"/>
      <c r="C93" s="922"/>
      <c r="D93" s="923"/>
      <c r="E93" s="913"/>
      <c r="F93" s="914"/>
      <c r="G93" s="926"/>
      <c r="H93" s="915"/>
      <c r="I93" s="916"/>
      <c r="J93" s="917"/>
      <c r="K93" s="1012"/>
      <c r="L93" s="1012"/>
      <c r="M93" s="1013"/>
      <c r="N93" s="1028" t="str">
        <f t="shared" si="52"/>
        <v>00</v>
      </c>
      <c r="O93" s="406" t="str">
        <f t="shared" si="93"/>
        <v/>
      </c>
      <c r="P93" s="407" t="str">
        <f>IF(O93="","",VLOOKUP(O93,所属コード!$A$2:$E$11,2,FALSE))</f>
        <v/>
      </c>
      <c r="Q93" s="1033" t="str">
        <f>IF(O93="","",VLOOKUP(O93,所属コード!$A$2:$G$11,7,FALSE))</f>
        <v/>
      </c>
      <c r="R93" s="1035"/>
      <c r="S93" s="77"/>
      <c r="T93" s="77"/>
      <c r="U93" s="77"/>
      <c r="V93" s="15"/>
      <c r="X93" s="488"/>
      <c r="Y93" s="945" t="str">
        <f t="shared" si="53"/>
        <v/>
      </c>
      <c r="Z93" s="489" t="str">
        <f t="shared" si="54"/>
        <v/>
      </c>
      <c r="AA93" s="488"/>
      <c r="AB93" s="488"/>
      <c r="AC93" s="488"/>
      <c r="AD93" s="488"/>
      <c r="AE93" s="488"/>
      <c r="AF93" s="488"/>
      <c r="AG93" s="491"/>
      <c r="AH93" s="591"/>
      <c r="AI93" s="592"/>
      <c r="AJ93" s="592"/>
      <c r="AK93" s="592"/>
      <c r="AL93" s="592"/>
      <c r="AM93" s="592"/>
      <c r="AN93" s="592"/>
      <c r="AO93" s="592"/>
      <c r="AP93" s="592"/>
      <c r="AQ93" s="592"/>
      <c r="AR93" s="592"/>
      <c r="AS93" s="592"/>
      <c r="AT93" s="592"/>
      <c r="AU93" s="592"/>
      <c r="AV93" s="592"/>
      <c r="AW93" s="604"/>
      <c r="AX93" s="609">
        <f t="shared" si="55"/>
        <v>0</v>
      </c>
      <c r="AY93" s="602">
        <f t="shared" si="48"/>
        <v>0</v>
      </c>
      <c r="AZ93" s="593">
        <f t="shared" si="49"/>
        <v>0</v>
      </c>
      <c r="BA93" s="594">
        <f t="shared" si="50"/>
        <v>0</v>
      </c>
      <c r="BB93" s="593">
        <f t="shared" si="50"/>
        <v>0</v>
      </c>
      <c r="BC93" s="593">
        <f t="shared" si="56"/>
        <v>0</v>
      </c>
      <c r="BD93" s="593">
        <f t="shared" si="57"/>
        <v>0</v>
      </c>
      <c r="BE93" s="593">
        <f t="shared" si="58"/>
        <v>0</v>
      </c>
      <c r="BF93" s="593">
        <f t="shared" si="59"/>
        <v>0</v>
      </c>
      <c r="BG93" s="593">
        <f t="shared" si="60"/>
        <v>0</v>
      </c>
      <c r="BH93" s="593">
        <f t="shared" si="61"/>
        <v>0</v>
      </c>
      <c r="BI93" s="593">
        <f t="shared" si="61"/>
        <v>0</v>
      </c>
      <c r="BJ93" s="593">
        <f t="shared" si="62"/>
        <v>0</v>
      </c>
      <c r="BK93" s="593">
        <f t="shared" si="62"/>
        <v>0</v>
      </c>
      <c r="BL93" s="593">
        <f t="shared" si="63"/>
        <v>0</v>
      </c>
      <c r="BM93" s="593">
        <f t="shared" si="64"/>
        <v>0</v>
      </c>
      <c r="BN93" s="593">
        <f t="shared" si="64"/>
        <v>0</v>
      </c>
      <c r="BO93" s="593">
        <f t="shared" si="64"/>
        <v>0</v>
      </c>
      <c r="BP93" s="593">
        <f t="shared" si="65"/>
        <v>0</v>
      </c>
      <c r="BQ93" s="593">
        <f t="shared" si="66"/>
        <v>0</v>
      </c>
      <c r="BR93" s="593">
        <f t="shared" si="67"/>
        <v>0</v>
      </c>
      <c r="BS93" s="593">
        <f t="shared" si="68"/>
        <v>0</v>
      </c>
      <c r="BT93" s="593">
        <f t="shared" si="69"/>
        <v>0</v>
      </c>
      <c r="BU93" s="593">
        <f t="shared" si="70"/>
        <v>0</v>
      </c>
      <c r="BV93" s="593">
        <f t="shared" si="71"/>
        <v>0</v>
      </c>
      <c r="BW93" s="593">
        <f t="shared" si="72"/>
        <v>0</v>
      </c>
      <c r="BX93" s="593">
        <f t="shared" si="73"/>
        <v>0</v>
      </c>
      <c r="BY93" s="593">
        <f t="shared" si="74"/>
        <v>0</v>
      </c>
      <c r="BZ93" s="593">
        <f t="shared" si="75"/>
        <v>0</v>
      </c>
      <c r="CA93" s="593">
        <f t="shared" si="76"/>
        <v>0</v>
      </c>
      <c r="CB93" s="593">
        <f t="shared" si="77"/>
        <v>0</v>
      </c>
      <c r="CC93" s="593">
        <f t="shared" si="78"/>
        <v>0</v>
      </c>
      <c r="CD93" s="593">
        <f t="shared" si="79"/>
        <v>0</v>
      </c>
      <c r="CE93" s="593">
        <f t="shared" si="79"/>
        <v>0</v>
      </c>
      <c r="CF93" s="595">
        <f t="shared" si="80"/>
        <v>0</v>
      </c>
      <c r="CG93" s="555" t="str">
        <f t="shared" si="81"/>
        <v/>
      </c>
      <c r="CH93" s="530" t="str">
        <f t="shared" si="82"/>
        <v/>
      </c>
      <c r="CI93" s="530" t="str">
        <f t="shared" si="83"/>
        <v/>
      </c>
      <c r="CJ93" s="530" t="str">
        <f t="shared" si="84"/>
        <v/>
      </c>
      <c r="CK93" s="530" t="str">
        <f t="shared" si="85"/>
        <v/>
      </c>
      <c r="CL93" s="530" t="str">
        <f t="shared" si="86"/>
        <v/>
      </c>
      <c r="CM93" s="82" t="str">
        <f t="shared" si="87"/>
        <v/>
      </c>
      <c r="CN93" s="496" t="str">
        <f t="shared" si="51"/>
        <v/>
      </c>
      <c r="CO93" s="496" t="str">
        <f t="shared" si="88"/>
        <v>0</v>
      </c>
      <c r="CP93" s="491">
        <f t="shared" si="89"/>
        <v>0</v>
      </c>
      <c r="CS93" s="496">
        <f t="shared" si="90"/>
        <v>0</v>
      </c>
      <c r="CT93" s="496">
        <f t="shared" si="91"/>
        <v>0</v>
      </c>
      <c r="CU93" s="497" t="str">
        <f t="shared" si="92"/>
        <v>00</v>
      </c>
    </row>
    <row r="94" spans="1:99" ht="15" hidden="1" customHeight="1">
      <c r="A94" s="951">
        <v>91</v>
      </c>
      <c r="B94" s="953"/>
      <c r="C94" s="922"/>
      <c r="D94" s="923"/>
      <c r="E94" s="913"/>
      <c r="F94" s="914"/>
      <c r="G94" s="926"/>
      <c r="H94" s="915"/>
      <c r="I94" s="916"/>
      <c r="J94" s="917"/>
      <c r="K94" s="1012"/>
      <c r="L94" s="1012"/>
      <c r="M94" s="1013"/>
      <c r="N94" s="1028" t="str">
        <f t="shared" si="52"/>
        <v>00</v>
      </c>
      <c r="O94" s="406" t="str">
        <f t="shared" si="93"/>
        <v/>
      </c>
      <c r="P94" s="407" t="str">
        <f>IF(O94="","",VLOOKUP(O94,所属コード!$A$2:$E$11,2,FALSE))</f>
        <v/>
      </c>
      <c r="Q94" s="1033" t="str">
        <f>IF(O94="","",VLOOKUP(O94,所属コード!$A$2:$G$11,7,FALSE))</f>
        <v/>
      </c>
      <c r="R94" s="1035"/>
      <c r="S94" s="77"/>
      <c r="T94" s="77"/>
      <c r="U94" s="77"/>
      <c r="V94" s="15"/>
      <c r="X94" s="488"/>
      <c r="Y94" s="945" t="str">
        <f t="shared" si="53"/>
        <v/>
      </c>
      <c r="Z94" s="489" t="str">
        <f t="shared" si="54"/>
        <v/>
      </c>
      <c r="AA94" s="488"/>
      <c r="AB94" s="488"/>
      <c r="AC94" s="488"/>
      <c r="AD94" s="488"/>
      <c r="AE94" s="488"/>
      <c r="AF94" s="488"/>
      <c r="AG94" s="491"/>
      <c r="AH94" s="591"/>
      <c r="AI94" s="592"/>
      <c r="AJ94" s="592"/>
      <c r="AK94" s="592"/>
      <c r="AL94" s="592"/>
      <c r="AM94" s="592"/>
      <c r="AN94" s="592"/>
      <c r="AO94" s="592"/>
      <c r="AP94" s="592"/>
      <c r="AQ94" s="592"/>
      <c r="AR94" s="592"/>
      <c r="AS94" s="592"/>
      <c r="AT94" s="592"/>
      <c r="AU94" s="592"/>
      <c r="AV94" s="592"/>
      <c r="AW94" s="604"/>
      <c r="AX94" s="609">
        <f t="shared" si="55"/>
        <v>0</v>
      </c>
      <c r="AY94" s="602">
        <f t="shared" si="48"/>
        <v>0</v>
      </c>
      <c r="AZ94" s="593">
        <f t="shared" si="49"/>
        <v>0</v>
      </c>
      <c r="BA94" s="594">
        <f t="shared" si="50"/>
        <v>0</v>
      </c>
      <c r="BB94" s="593">
        <f t="shared" si="50"/>
        <v>0</v>
      </c>
      <c r="BC94" s="593">
        <f t="shared" si="56"/>
        <v>0</v>
      </c>
      <c r="BD94" s="593">
        <f t="shared" si="57"/>
        <v>0</v>
      </c>
      <c r="BE94" s="593">
        <f t="shared" si="58"/>
        <v>0</v>
      </c>
      <c r="BF94" s="593">
        <f t="shared" si="59"/>
        <v>0</v>
      </c>
      <c r="BG94" s="593">
        <f t="shared" si="60"/>
        <v>0</v>
      </c>
      <c r="BH94" s="593">
        <f t="shared" si="61"/>
        <v>0</v>
      </c>
      <c r="BI94" s="593">
        <f t="shared" si="61"/>
        <v>0</v>
      </c>
      <c r="BJ94" s="593">
        <f t="shared" si="62"/>
        <v>0</v>
      </c>
      <c r="BK94" s="593">
        <f t="shared" si="62"/>
        <v>0</v>
      </c>
      <c r="BL94" s="593">
        <f t="shared" si="63"/>
        <v>0</v>
      </c>
      <c r="BM94" s="593">
        <f t="shared" si="64"/>
        <v>0</v>
      </c>
      <c r="BN94" s="593">
        <f t="shared" si="64"/>
        <v>0</v>
      </c>
      <c r="BO94" s="593">
        <f t="shared" si="64"/>
        <v>0</v>
      </c>
      <c r="BP94" s="593">
        <f t="shared" si="65"/>
        <v>0</v>
      </c>
      <c r="BQ94" s="593">
        <f t="shared" si="66"/>
        <v>0</v>
      </c>
      <c r="BR94" s="593">
        <f t="shared" si="67"/>
        <v>0</v>
      </c>
      <c r="BS94" s="593">
        <f t="shared" si="68"/>
        <v>0</v>
      </c>
      <c r="BT94" s="593">
        <f t="shared" si="69"/>
        <v>0</v>
      </c>
      <c r="BU94" s="593">
        <f t="shared" si="70"/>
        <v>0</v>
      </c>
      <c r="BV94" s="593">
        <f t="shared" si="71"/>
        <v>0</v>
      </c>
      <c r="BW94" s="593">
        <f t="shared" si="72"/>
        <v>0</v>
      </c>
      <c r="BX94" s="593">
        <f t="shared" si="73"/>
        <v>0</v>
      </c>
      <c r="BY94" s="593">
        <f t="shared" si="74"/>
        <v>0</v>
      </c>
      <c r="BZ94" s="593">
        <f t="shared" si="75"/>
        <v>0</v>
      </c>
      <c r="CA94" s="593">
        <f t="shared" si="76"/>
        <v>0</v>
      </c>
      <c r="CB94" s="593">
        <f t="shared" si="77"/>
        <v>0</v>
      </c>
      <c r="CC94" s="593">
        <f t="shared" si="78"/>
        <v>0</v>
      </c>
      <c r="CD94" s="593">
        <f t="shared" si="79"/>
        <v>0</v>
      </c>
      <c r="CE94" s="593">
        <f t="shared" si="79"/>
        <v>0</v>
      </c>
      <c r="CF94" s="595">
        <f t="shared" si="80"/>
        <v>0</v>
      </c>
      <c r="CG94" s="555" t="str">
        <f t="shared" si="81"/>
        <v/>
      </c>
      <c r="CH94" s="530" t="str">
        <f t="shared" si="82"/>
        <v/>
      </c>
      <c r="CI94" s="530" t="str">
        <f t="shared" si="83"/>
        <v/>
      </c>
      <c r="CJ94" s="530" t="str">
        <f t="shared" si="84"/>
        <v/>
      </c>
      <c r="CK94" s="530" t="str">
        <f t="shared" si="85"/>
        <v/>
      </c>
      <c r="CL94" s="530" t="str">
        <f t="shared" si="86"/>
        <v/>
      </c>
      <c r="CM94" s="82" t="str">
        <f t="shared" si="87"/>
        <v/>
      </c>
      <c r="CN94" s="496" t="str">
        <f t="shared" si="51"/>
        <v/>
      </c>
      <c r="CO94" s="496" t="str">
        <f t="shared" si="88"/>
        <v>0</v>
      </c>
      <c r="CP94" s="491">
        <f t="shared" si="89"/>
        <v>0</v>
      </c>
      <c r="CS94" s="496">
        <f t="shared" si="90"/>
        <v>0</v>
      </c>
      <c r="CT94" s="496">
        <f t="shared" si="91"/>
        <v>0</v>
      </c>
      <c r="CU94" s="497" t="str">
        <f t="shared" si="92"/>
        <v>00</v>
      </c>
    </row>
    <row r="95" spans="1:99" ht="15" hidden="1" customHeight="1">
      <c r="A95" s="951">
        <v>92</v>
      </c>
      <c r="B95" s="953"/>
      <c r="C95" s="922"/>
      <c r="D95" s="923"/>
      <c r="E95" s="913"/>
      <c r="F95" s="914"/>
      <c r="G95" s="926"/>
      <c r="H95" s="915"/>
      <c r="I95" s="916"/>
      <c r="J95" s="917"/>
      <c r="K95" s="1012"/>
      <c r="L95" s="1012"/>
      <c r="M95" s="1013"/>
      <c r="N95" s="1028" t="str">
        <f t="shared" si="52"/>
        <v>00</v>
      </c>
      <c r="O95" s="406" t="str">
        <f t="shared" si="93"/>
        <v/>
      </c>
      <c r="P95" s="407" t="str">
        <f>IF(O95="","",VLOOKUP(O95,所属コード!$A$2:$E$11,2,FALSE))</f>
        <v/>
      </c>
      <c r="Q95" s="1033" t="str">
        <f>IF(O95="","",VLOOKUP(O95,所属コード!$A$2:$G$11,7,FALSE))</f>
        <v/>
      </c>
      <c r="R95" s="1035"/>
      <c r="S95" s="77"/>
      <c r="T95" s="77"/>
      <c r="U95" s="77"/>
      <c r="V95" s="15"/>
      <c r="X95" s="488"/>
      <c r="Y95" s="945" t="str">
        <f t="shared" si="53"/>
        <v/>
      </c>
      <c r="Z95" s="489" t="str">
        <f t="shared" si="54"/>
        <v/>
      </c>
      <c r="AA95" s="488"/>
      <c r="AB95" s="488"/>
      <c r="AC95" s="488"/>
      <c r="AD95" s="488"/>
      <c r="AE95" s="488"/>
      <c r="AF95" s="488"/>
      <c r="AG95" s="491"/>
      <c r="AH95" s="591"/>
      <c r="AI95" s="592"/>
      <c r="AJ95" s="592"/>
      <c r="AK95" s="592"/>
      <c r="AL95" s="592"/>
      <c r="AM95" s="592"/>
      <c r="AN95" s="592"/>
      <c r="AO95" s="592"/>
      <c r="AP95" s="592"/>
      <c r="AQ95" s="592"/>
      <c r="AR95" s="592"/>
      <c r="AS95" s="592"/>
      <c r="AT95" s="592"/>
      <c r="AU95" s="592"/>
      <c r="AV95" s="592"/>
      <c r="AW95" s="604"/>
      <c r="AX95" s="609">
        <f t="shared" si="55"/>
        <v>0</v>
      </c>
      <c r="AY95" s="602">
        <f t="shared" si="48"/>
        <v>0</v>
      </c>
      <c r="AZ95" s="593">
        <f t="shared" si="49"/>
        <v>0</v>
      </c>
      <c r="BA95" s="594">
        <f t="shared" si="50"/>
        <v>0</v>
      </c>
      <c r="BB95" s="593">
        <f t="shared" si="50"/>
        <v>0</v>
      </c>
      <c r="BC95" s="593">
        <f t="shared" si="56"/>
        <v>0</v>
      </c>
      <c r="BD95" s="593">
        <f t="shared" si="57"/>
        <v>0</v>
      </c>
      <c r="BE95" s="593">
        <f t="shared" si="58"/>
        <v>0</v>
      </c>
      <c r="BF95" s="593">
        <f t="shared" si="59"/>
        <v>0</v>
      </c>
      <c r="BG95" s="593">
        <f t="shared" si="60"/>
        <v>0</v>
      </c>
      <c r="BH95" s="593">
        <f t="shared" si="61"/>
        <v>0</v>
      </c>
      <c r="BI95" s="593">
        <f t="shared" si="61"/>
        <v>0</v>
      </c>
      <c r="BJ95" s="593">
        <f t="shared" si="62"/>
        <v>0</v>
      </c>
      <c r="BK95" s="593">
        <f t="shared" si="62"/>
        <v>0</v>
      </c>
      <c r="BL95" s="593">
        <f t="shared" si="63"/>
        <v>0</v>
      </c>
      <c r="BM95" s="593">
        <f t="shared" si="64"/>
        <v>0</v>
      </c>
      <c r="BN95" s="593">
        <f t="shared" si="64"/>
        <v>0</v>
      </c>
      <c r="BO95" s="593">
        <f t="shared" si="64"/>
        <v>0</v>
      </c>
      <c r="BP95" s="593">
        <f t="shared" si="65"/>
        <v>0</v>
      </c>
      <c r="BQ95" s="593">
        <f t="shared" si="66"/>
        <v>0</v>
      </c>
      <c r="BR95" s="593">
        <f t="shared" si="67"/>
        <v>0</v>
      </c>
      <c r="BS95" s="593">
        <f t="shared" si="68"/>
        <v>0</v>
      </c>
      <c r="BT95" s="593">
        <f t="shared" si="69"/>
        <v>0</v>
      </c>
      <c r="BU95" s="593">
        <f t="shared" si="70"/>
        <v>0</v>
      </c>
      <c r="BV95" s="593">
        <f t="shared" si="71"/>
        <v>0</v>
      </c>
      <c r="BW95" s="593">
        <f t="shared" si="72"/>
        <v>0</v>
      </c>
      <c r="BX95" s="593">
        <f t="shared" si="73"/>
        <v>0</v>
      </c>
      <c r="BY95" s="593">
        <f t="shared" si="74"/>
        <v>0</v>
      </c>
      <c r="BZ95" s="593">
        <f t="shared" si="75"/>
        <v>0</v>
      </c>
      <c r="CA95" s="593">
        <f t="shared" si="76"/>
        <v>0</v>
      </c>
      <c r="CB95" s="593">
        <f t="shared" si="77"/>
        <v>0</v>
      </c>
      <c r="CC95" s="593">
        <f t="shared" si="78"/>
        <v>0</v>
      </c>
      <c r="CD95" s="593">
        <f t="shared" si="79"/>
        <v>0</v>
      </c>
      <c r="CE95" s="593">
        <f t="shared" si="79"/>
        <v>0</v>
      </c>
      <c r="CF95" s="595">
        <f t="shared" si="80"/>
        <v>0</v>
      </c>
      <c r="CG95" s="555" t="str">
        <f t="shared" si="81"/>
        <v/>
      </c>
      <c r="CH95" s="530" t="str">
        <f t="shared" si="82"/>
        <v/>
      </c>
      <c r="CI95" s="530" t="str">
        <f t="shared" si="83"/>
        <v/>
      </c>
      <c r="CJ95" s="530" t="str">
        <f t="shared" si="84"/>
        <v/>
      </c>
      <c r="CK95" s="530" t="str">
        <f t="shared" si="85"/>
        <v/>
      </c>
      <c r="CL95" s="530" t="str">
        <f t="shared" si="86"/>
        <v/>
      </c>
      <c r="CM95" s="82" t="str">
        <f t="shared" si="87"/>
        <v/>
      </c>
      <c r="CN95" s="496" t="str">
        <f t="shared" si="51"/>
        <v/>
      </c>
      <c r="CO95" s="496" t="str">
        <f t="shared" si="88"/>
        <v>0</v>
      </c>
      <c r="CP95" s="491">
        <f t="shared" si="89"/>
        <v>0</v>
      </c>
      <c r="CS95" s="496">
        <f t="shared" si="90"/>
        <v>0</v>
      </c>
      <c r="CT95" s="496">
        <f t="shared" si="91"/>
        <v>0</v>
      </c>
      <c r="CU95" s="497" t="str">
        <f t="shared" si="92"/>
        <v>00</v>
      </c>
    </row>
    <row r="96" spans="1:99" ht="15" hidden="1" customHeight="1">
      <c r="A96" s="951">
        <v>93</v>
      </c>
      <c r="B96" s="953"/>
      <c r="C96" s="922"/>
      <c r="D96" s="923"/>
      <c r="E96" s="913"/>
      <c r="F96" s="914"/>
      <c r="G96" s="926"/>
      <c r="H96" s="915"/>
      <c r="I96" s="916"/>
      <c r="J96" s="917"/>
      <c r="K96" s="1012"/>
      <c r="L96" s="1012"/>
      <c r="M96" s="1013"/>
      <c r="N96" s="1028" t="str">
        <f t="shared" si="52"/>
        <v>00</v>
      </c>
      <c r="O96" s="406" t="str">
        <f t="shared" si="93"/>
        <v/>
      </c>
      <c r="P96" s="407" t="str">
        <f>IF(O96="","",VLOOKUP(O96,所属コード!$A$2:$E$11,2,FALSE))</f>
        <v/>
      </c>
      <c r="Q96" s="1033" t="str">
        <f>IF(O96="","",VLOOKUP(O96,所属コード!$A$2:$G$11,7,FALSE))</f>
        <v/>
      </c>
      <c r="R96" s="1035"/>
      <c r="S96" s="77"/>
      <c r="T96" s="77"/>
      <c r="U96" s="77"/>
      <c r="V96" s="15"/>
      <c r="X96" s="488"/>
      <c r="Y96" s="945" t="str">
        <f t="shared" si="53"/>
        <v/>
      </c>
      <c r="Z96" s="489" t="str">
        <f t="shared" si="54"/>
        <v/>
      </c>
      <c r="AA96" s="488"/>
      <c r="AB96" s="488"/>
      <c r="AC96" s="488"/>
      <c r="AD96" s="488"/>
      <c r="AE96" s="488"/>
      <c r="AF96" s="488"/>
      <c r="AG96" s="491"/>
      <c r="AH96" s="591"/>
      <c r="AI96" s="592"/>
      <c r="AJ96" s="592"/>
      <c r="AK96" s="592"/>
      <c r="AL96" s="592"/>
      <c r="AM96" s="592"/>
      <c r="AN96" s="592"/>
      <c r="AO96" s="592"/>
      <c r="AP96" s="592"/>
      <c r="AQ96" s="592"/>
      <c r="AR96" s="592"/>
      <c r="AS96" s="592"/>
      <c r="AT96" s="592"/>
      <c r="AU96" s="592"/>
      <c r="AV96" s="592"/>
      <c r="AW96" s="604"/>
      <c r="AX96" s="609">
        <f t="shared" si="55"/>
        <v>0</v>
      </c>
      <c r="AY96" s="602">
        <f t="shared" si="48"/>
        <v>0</v>
      </c>
      <c r="AZ96" s="593">
        <f t="shared" si="49"/>
        <v>0</v>
      </c>
      <c r="BA96" s="594">
        <f t="shared" si="50"/>
        <v>0</v>
      </c>
      <c r="BB96" s="593">
        <f t="shared" si="50"/>
        <v>0</v>
      </c>
      <c r="BC96" s="593">
        <f t="shared" si="56"/>
        <v>0</v>
      </c>
      <c r="BD96" s="593">
        <f t="shared" si="57"/>
        <v>0</v>
      </c>
      <c r="BE96" s="593">
        <f t="shared" si="58"/>
        <v>0</v>
      </c>
      <c r="BF96" s="593">
        <f t="shared" si="59"/>
        <v>0</v>
      </c>
      <c r="BG96" s="593">
        <f t="shared" si="60"/>
        <v>0</v>
      </c>
      <c r="BH96" s="593">
        <f t="shared" si="61"/>
        <v>0</v>
      </c>
      <c r="BI96" s="593">
        <f t="shared" si="61"/>
        <v>0</v>
      </c>
      <c r="BJ96" s="593">
        <f t="shared" si="62"/>
        <v>0</v>
      </c>
      <c r="BK96" s="593">
        <f t="shared" si="62"/>
        <v>0</v>
      </c>
      <c r="BL96" s="593">
        <f t="shared" si="63"/>
        <v>0</v>
      </c>
      <c r="BM96" s="593">
        <f t="shared" si="64"/>
        <v>0</v>
      </c>
      <c r="BN96" s="593">
        <f t="shared" si="64"/>
        <v>0</v>
      </c>
      <c r="BO96" s="593">
        <f t="shared" si="64"/>
        <v>0</v>
      </c>
      <c r="BP96" s="593">
        <f t="shared" si="65"/>
        <v>0</v>
      </c>
      <c r="BQ96" s="593">
        <f t="shared" si="66"/>
        <v>0</v>
      </c>
      <c r="BR96" s="593">
        <f t="shared" si="67"/>
        <v>0</v>
      </c>
      <c r="BS96" s="593">
        <f t="shared" si="68"/>
        <v>0</v>
      </c>
      <c r="BT96" s="593">
        <f t="shared" si="69"/>
        <v>0</v>
      </c>
      <c r="BU96" s="593">
        <f t="shared" si="70"/>
        <v>0</v>
      </c>
      <c r="BV96" s="593">
        <f t="shared" si="71"/>
        <v>0</v>
      </c>
      <c r="BW96" s="593">
        <f t="shared" si="72"/>
        <v>0</v>
      </c>
      <c r="BX96" s="593">
        <f t="shared" si="73"/>
        <v>0</v>
      </c>
      <c r="BY96" s="593">
        <f t="shared" si="74"/>
        <v>0</v>
      </c>
      <c r="BZ96" s="593">
        <f t="shared" si="75"/>
        <v>0</v>
      </c>
      <c r="CA96" s="593">
        <f t="shared" si="76"/>
        <v>0</v>
      </c>
      <c r="CB96" s="593">
        <f t="shared" si="77"/>
        <v>0</v>
      </c>
      <c r="CC96" s="593">
        <f t="shared" si="78"/>
        <v>0</v>
      </c>
      <c r="CD96" s="593">
        <f t="shared" si="79"/>
        <v>0</v>
      </c>
      <c r="CE96" s="593">
        <f t="shared" si="79"/>
        <v>0</v>
      </c>
      <c r="CF96" s="595">
        <f t="shared" si="80"/>
        <v>0</v>
      </c>
      <c r="CG96" s="555" t="str">
        <f t="shared" si="81"/>
        <v/>
      </c>
      <c r="CH96" s="530" t="str">
        <f t="shared" si="82"/>
        <v/>
      </c>
      <c r="CI96" s="530" t="str">
        <f t="shared" si="83"/>
        <v/>
      </c>
      <c r="CJ96" s="530" t="str">
        <f t="shared" si="84"/>
        <v/>
      </c>
      <c r="CK96" s="530" t="str">
        <f t="shared" si="85"/>
        <v/>
      </c>
      <c r="CL96" s="530" t="str">
        <f t="shared" si="86"/>
        <v/>
      </c>
      <c r="CM96" s="82" t="str">
        <f t="shared" si="87"/>
        <v/>
      </c>
      <c r="CN96" s="496" t="str">
        <f t="shared" si="51"/>
        <v/>
      </c>
      <c r="CO96" s="496" t="str">
        <f t="shared" si="88"/>
        <v>0</v>
      </c>
      <c r="CP96" s="491">
        <f t="shared" si="89"/>
        <v>0</v>
      </c>
      <c r="CS96" s="496">
        <f t="shared" si="90"/>
        <v>0</v>
      </c>
      <c r="CT96" s="496">
        <f t="shared" si="91"/>
        <v>0</v>
      </c>
      <c r="CU96" s="497" t="str">
        <f t="shared" si="92"/>
        <v>00</v>
      </c>
    </row>
    <row r="97" spans="1:99" ht="15" hidden="1" customHeight="1">
      <c r="A97" s="951">
        <v>94</v>
      </c>
      <c r="B97" s="953"/>
      <c r="C97" s="922"/>
      <c r="D97" s="923"/>
      <c r="E97" s="913"/>
      <c r="F97" s="914"/>
      <c r="G97" s="926"/>
      <c r="H97" s="915"/>
      <c r="I97" s="916"/>
      <c r="J97" s="917"/>
      <c r="K97" s="1012"/>
      <c r="L97" s="1012"/>
      <c r="M97" s="1013"/>
      <c r="N97" s="1028" t="str">
        <f t="shared" si="52"/>
        <v>00</v>
      </c>
      <c r="O97" s="406" t="str">
        <f t="shared" si="93"/>
        <v/>
      </c>
      <c r="P97" s="407" t="str">
        <f>IF(O97="","",VLOOKUP(O97,所属コード!$A$2:$E$11,2,FALSE))</f>
        <v/>
      </c>
      <c r="Q97" s="1033" t="str">
        <f>IF(O97="","",VLOOKUP(O97,所属コード!$A$2:$G$11,7,FALSE))</f>
        <v/>
      </c>
      <c r="R97" s="1035"/>
      <c r="S97" s="77"/>
      <c r="T97" s="77"/>
      <c r="U97" s="77"/>
      <c r="V97" s="15"/>
      <c r="X97" s="488"/>
      <c r="Y97" s="945" t="str">
        <f t="shared" si="53"/>
        <v/>
      </c>
      <c r="Z97" s="489" t="str">
        <f t="shared" si="54"/>
        <v/>
      </c>
      <c r="AA97" s="488"/>
      <c r="AB97" s="488"/>
      <c r="AC97" s="488"/>
      <c r="AD97" s="488"/>
      <c r="AE97" s="488"/>
      <c r="AF97" s="488"/>
      <c r="AG97" s="491"/>
      <c r="AH97" s="591"/>
      <c r="AI97" s="592"/>
      <c r="AJ97" s="592"/>
      <c r="AK97" s="592"/>
      <c r="AL97" s="592"/>
      <c r="AM97" s="592"/>
      <c r="AN97" s="592"/>
      <c r="AO97" s="592"/>
      <c r="AP97" s="592"/>
      <c r="AQ97" s="592"/>
      <c r="AR97" s="592"/>
      <c r="AS97" s="592"/>
      <c r="AT97" s="592"/>
      <c r="AU97" s="592"/>
      <c r="AV97" s="592"/>
      <c r="AW97" s="604"/>
      <c r="AX97" s="609">
        <f t="shared" si="55"/>
        <v>0</v>
      </c>
      <c r="AY97" s="602">
        <f t="shared" si="48"/>
        <v>0</v>
      </c>
      <c r="AZ97" s="593">
        <f t="shared" si="49"/>
        <v>0</v>
      </c>
      <c r="BA97" s="594">
        <f t="shared" si="50"/>
        <v>0</v>
      </c>
      <c r="BB97" s="593">
        <f t="shared" si="50"/>
        <v>0</v>
      </c>
      <c r="BC97" s="593">
        <f t="shared" si="56"/>
        <v>0</v>
      </c>
      <c r="BD97" s="593">
        <f t="shared" si="57"/>
        <v>0</v>
      </c>
      <c r="BE97" s="593">
        <f t="shared" si="58"/>
        <v>0</v>
      </c>
      <c r="BF97" s="593">
        <f t="shared" si="59"/>
        <v>0</v>
      </c>
      <c r="BG97" s="593">
        <f t="shared" si="60"/>
        <v>0</v>
      </c>
      <c r="BH97" s="593">
        <f t="shared" si="61"/>
        <v>0</v>
      </c>
      <c r="BI97" s="593">
        <f t="shared" si="61"/>
        <v>0</v>
      </c>
      <c r="BJ97" s="593">
        <f t="shared" si="62"/>
        <v>0</v>
      </c>
      <c r="BK97" s="593">
        <f t="shared" si="62"/>
        <v>0</v>
      </c>
      <c r="BL97" s="593">
        <f t="shared" si="63"/>
        <v>0</v>
      </c>
      <c r="BM97" s="593">
        <f t="shared" si="64"/>
        <v>0</v>
      </c>
      <c r="BN97" s="593">
        <f t="shared" si="64"/>
        <v>0</v>
      </c>
      <c r="BO97" s="593">
        <f t="shared" si="64"/>
        <v>0</v>
      </c>
      <c r="BP97" s="593">
        <f t="shared" si="65"/>
        <v>0</v>
      </c>
      <c r="BQ97" s="593">
        <f t="shared" si="66"/>
        <v>0</v>
      </c>
      <c r="BR97" s="593">
        <f t="shared" si="67"/>
        <v>0</v>
      </c>
      <c r="BS97" s="593">
        <f t="shared" si="68"/>
        <v>0</v>
      </c>
      <c r="BT97" s="593">
        <f t="shared" si="69"/>
        <v>0</v>
      </c>
      <c r="BU97" s="593">
        <f t="shared" si="70"/>
        <v>0</v>
      </c>
      <c r="BV97" s="593">
        <f t="shared" si="71"/>
        <v>0</v>
      </c>
      <c r="BW97" s="593">
        <f t="shared" si="72"/>
        <v>0</v>
      </c>
      <c r="BX97" s="593">
        <f t="shared" si="73"/>
        <v>0</v>
      </c>
      <c r="BY97" s="593">
        <f t="shared" si="74"/>
        <v>0</v>
      </c>
      <c r="BZ97" s="593">
        <f t="shared" si="75"/>
        <v>0</v>
      </c>
      <c r="CA97" s="593">
        <f t="shared" si="76"/>
        <v>0</v>
      </c>
      <c r="CB97" s="593">
        <f t="shared" si="77"/>
        <v>0</v>
      </c>
      <c r="CC97" s="593">
        <f t="shared" si="78"/>
        <v>0</v>
      </c>
      <c r="CD97" s="593">
        <f t="shared" si="79"/>
        <v>0</v>
      </c>
      <c r="CE97" s="593">
        <f t="shared" si="79"/>
        <v>0</v>
      </c>
      <c r="CF97" s="595">
        <f t="shared" si="80"/>
        <v>0</v>
      </c>
      <c r="CG97" s="555" t="str">
        <f t="shared" si="81"/>
        <v/>
      </c>
      <c r="CH97" s="530" t="str">
        <f t="shared" si="82"/>
        <v/>
      </c>
      <c r="CI97" s="530" t="str">
        <f t="shared" si="83"/>
        <v/>
      </c>
      <c r="CJ97" s="530" t="str">
        <f t="shared" si="84"/>
        <v/>
      </c>
      <c r="CK97" s="530" t="str">
        <f t="shared" si="85"/>
        <v/>
      </c>
      <c r="CL97" s="530" t="str">
        <f t="shared" si="86"/>
        <v/>
      </c>
      <c r="CM97" s="82" t="str">
        <f t="shared" si="87"/>
        <v/>
      </c>
      <c r="CN97" s="496" t="str">
        <f t="shared" si="51"/>
        <v/>
      </c>
      <c r="CO97" s="496" t="str">
        <f t="shared" si="88"/>
        <v>0</v>
      </c>
      <c r="CP97" s="491">
        <f t="shared" si="89"/>
        <v>0</v>
      </c>
      <c r="CS97" s="496">
        <f t="shared" si="90"/>
        <v>0</v>
      </c>
      <c r="CT97" s="496">
        <f t="shared" si="91"/>
        <v>0</v>
      </c>
      <c r="CU97" s="497" t="str">
        <f t="shared" si="92"/>
        <v>00</v>
      </c>
    </row>
    <row r="98" spans="1:99" ht="15" hidden="1" customHeight="1">
      <c r="A98" s="951">
        <v>95</v>
      </c>
      <c r="B98" s="953"/>
      <c r="C98" s="922"/>
      <c r="D98" s="923"/>
      <c r="E98" s="913"/>
      <c r="F98" s="914"/>
      <c r="G98" s="926"/>
      <c r="H98" s="921"/>
      <c r="I98" s="916"/>
      <c r="J98" s="917"/>
      <c r="K98" s="1012"/>
      <c r="L98" s="1012"/>
      <c r="M98" s="1013"/>
      <c r="N98" s="1028" t="str">
        <f t="shared" si="52"/>
        <v>00</v>
      </c>
      <c r="O98" s="406" t="str">
        <f t="shared" si="93"/>
        <v/>
      </c>
      <c r="P98" s="407" t="str">
        <f>IF(O98="","",VLOOKUP(O98,所属コード!$A$2:$E$11,2,FALSE))</f>
        <v/>
      </c>
      <c r="Q98" s="1033" t="str">
        <f>IF(O98="","",VLOOKUP(O98,所属コード!$A$2:$G$11,7,FALSE))</f>
        <v/>
      </c>
      <c r="R98" s="1035"/>
      <c r="S98" s="77"/>
      <c r="T98" s="77"/>
      <c r="U98" s="77"/>
      <c r="V98" s="15"/>
      <c r="X98" s="488"/>
      <c r="Y98" s="945" t="str">
        <f t="shared" si="53"/>
        <v/>
      </c>
      <c r="Z98" s="489" t="str">
        <f t="shared" si="54"/>
        <v/>
      </c>
      <c r="AA98" s="488"/>
      <c r="AB98" s="488"/>
      <c r="AC98" s="488"/>
      <c r="AD98" s="488"/>
      <c r="AE98" s="488"/>
      <c r="AF98" s="488"/>
      <c r="AG98" s="491"/>
      <c r="AH98" s="591"/>
      <c r="AI98" s="592"/>
      <c r="AJ98" s="592"/>
      <c r="AK98" s="592"/>
      <c r="AL98" s="592"/>
      <c r="AM98" s="592"/>
      <c r="AN98" s="592"/>
      <c r="AO98" s="592"/>
      <c r="AP98" s="592"/>
      <c r="AQ98" s="592"/>
      <c r="AR98" s="592"/>
      <c r="AS98" s="592"/>
      <c r="AT98" s="592"/>
      <c r="AU98" s="592"/>
      <c r="AV98" s="592"/>
      <c r="AW98" s="604"/>
      <c r="AX98" s="609">
        <f t="shared" si="55"/>
        <v>0</v>
      </c>
      <c r="AY98" s="602">
        <f t="shared" si="48"/>
        <v>0</v>
      </c>
      <c r="AZ98" s="593">
        <f t="shared" si="49"/>
        <v>0</v>
      </c>
      <c r="BA98" s="594">
        <f t="shared" si="50"/>
        <v>0</v>
      </c>
      <c r="BB98" s="593">
        <f t="shared" si="50"/>
        <v>0</v>
      </c>
      <c r="BC98" s="593">
        <f t="shared" si="56"/>
        <v>0</v>
      </c>
      <c r="BD98" s="593">
        <f t="shared" si="57"/>
        <v>0</v>
      </c>
      <c r="BE98" s="593">
        <f t="shared" si="58"/>
        <v>0</v>
      </c>
      <c r="BF98" s="593">
        <f t="shared" si="59"/>
        <v>0</v>
      </c>
      <c r="BG98" s="593">
        <f t="shared" si="60"/>
        <v>0</v>
      </c>
      <c r="BH98" s="593">
        <f t="shared" si="61"/>
        <v>0</v>
      </c>
      <c r="BI98" s="593">
        <f t="shared" si="61"/>
        <v>0</v>
      </c>
      <c r="BJ98" s="593">
        <f t="shared" si="62"/>
        <v>0</v>
      </c>
      <c r="BK98" s="593">
        <f t="shared" si="62"/>
        <v>0</v>
      </c>
      <c r="BL98" s="593">
        <f t="shared" si="63"/>
        <v>0</v>
      </c>
      <c r="BM98" s="593">
        <f t="shared" si="64"/>
        <v>0</v>
      </c>
      <c r="BN98" s="593">
        <f t="shared" si="64"/>
        <v>0</v>
      </c>
      <c r="BO98" s="593">
        <f t="shared" si="64"/>
        <v>0</v>
      </c>
      <c r="BP98" s="593">
        <f t="shared" si="65"/>
        <v>0</v>
      </c>
      <c r="BQ98" s="593">
        <f t="shared" si="66"/>
        <v>0</v>
      </c>
      <c r="BR98" s="593">
        <f t="shared" si="67"/>
        <v>0</v>
      </c>
      <c r="BS98" s="593">
        <f t="shared" si="68"/>
        <v>0</v>
      </c>
      <c r="BT98" s="593">
        <f t="shared" si="69"/>
        <v>0</v>
      </c>
      <c r="BU98" s="593">
        <f t="shared" si="70"/>
        <v>0</v>
      </c>
      <c r="BV98" s="593">
        <f t="shared" si="71"/>
        <v>0</v>
      </c>
      <c r="BW98" s="593">
        <f t="shared" si="72"/>
        <v>0</v>
      </c>
      <c r="BX98" s="593">
        <f t="shared" si="73"/>
        <v>0</v>
      </c>
      <c r="BY98" s="593">
        <f t="shared" si="74"/>
        <v>0</v>
      </c>
      <c r="BZ98" s="593">
        <f t="shared" si="75"/>
        <v>0</v>
      </c>
      <c r="CA98" s="593">
        <f t="shared" si="76"/>
        <v>0</v>
      </c>
      <c r="CB98" s="593">
        <f t="shared" si="77"/>
        <v>0</v>
      </c>
      <c r="CC98" s="593">
        <f t="shared" si="78"/>
        <v>0</v>
      </c>
      <c r="CD98" s="593">
        <f t="shared" si="79"/>
        <v>0</v>
      </c>
      <c r="CE98" s="593">
        <f t="shared" si="79"/>
        <v>0</v>
      </c>
      <c r="CF98" s="595">
        <f t="shared" si="80"/>
        <v>0</v>
      </c>
      <c r="CG98" s="555" t="str">
        <f t="shared" si="81"/>
        <v/>
      </c>
      <c r="CH98" s="530" t="str">
        <f t="shared" si="82"/>
        <v/>
      </c>
      <c r="CI98" s="530" t="str">
        <f t="shared" si="83"/>
        <v/>
      </c>
      <c r="CJ98" s="530" t="str">
        <f t="shared" si="84"/>
        <v/>
      </c>
      <c r="CK98" s="530" t="str">
        <f t="shared" si="85"/>
        <v/>
      </c>
      <c r="CL98" s="530" t="str">
        <f t="shared" si="86"/>
        <v/>
      </c>
      <c r="CM98" s="82" t="str">
        <f t="shared" si="87"/>
        <v/>
      </c>
      <c r="CN98" s="496" t="str">
        <f t="shared" si="51"/>
        <v/>
      </c>
      <c r="CO98" s="496" t="str">
        <f t="shared" si="88"/>
        <v>0</v>
      </c>
      <c r="CP98" s="491">
        <f t="shared" si="89"/>
        <v>0</v>
      </c>
      <c r="CS98" s="496">
        <f t="shared" si="90"/>
        <v>0</v>
      </c>
      <c r="CT98" s="496">
        <f t="shared" si="91"/>
        <v>0</v>
      </c>
      <c r="CU98" s="497" t="str">
        <f t="shared" si="92"/>
        <v>00</v>
      </c>
    </row>
    <row r="99" spans="1:99" ht="15" hidden="1" customHeight="1">
      <c r="A99" s="951">
        <v>96</v>
      </c>
      <c r="B99" s="953"/>
      <c r="C99" s="922"/>
      <c r="D99" s="923"/>
      <c r="E99" s="913"/>
      <c r="F99" s="914"/>
      <c r="G99" s="926"/>
      <c r="H99" s="921"/>
      <c r="I99" s="916"/>
      <c r="J99" s="917"/>
      <c r="K99" s="1012"/>
      <c r="L99" s="1012"/>
      <c r="M99" s="1013"/>
      <c r="N99" s="1028" t="str">
        <f t="shared" si="52"/>
        <v>00</v>
      </c>
      <c r="O99" s="406" t="str">
        <f t="shared" si="93"/>
        <v/>
      </c>
      <c r="P99" s="407" t="str">
        <f>IF(O99="","",VLOOKUP(O99,所属コード!$A$2:$E$11,2,FALSE))</f>
        <v/>
      </c>
      <c r="Q99" s="1033" t="str">
        <f>IF(O99="","",VLOOKUP(O99,所属コード!$A$2:$G$11,7,FALSE))</f>
        <v/>
      </c>
      <c r="R99" s="1035"/>
      <c r="S99" s="77"/>
      <c r="T99" s="77"/>
      <c r="U99" s="77"/>
      <c r="V99" s="15"/>
      <c r="X99" s="488"/>
      <c r="Y99" s="945" t="str">
        <f t="shared" si="53"/>
        <v/>
      </c>
      <c r="Z99" s="489" t="str">
        <f t="shared" si="54"/>
        <v/>
      </c>
      <c r="AA99" s="488"/>
      <c r="AB99" s="488"/>
      <c r="AC99" s="488"/>
      <c r="AD99" s="488"/>
      <c r="AE99" s="488"/>
      <c r="AF99" s="488"/>
      <c r="AG99" s="491"/>
      <c r="AH99" s="591"/>
      <c r="AI99" s="592"/>
      <c r="AJ99" s="592"/>
      <c r="AK99" s="592"/>
      <c r="AL99" s="592"/>
      <c r="AM99" s="592"/>
      <c r="AN99" s="592"/>
      <c r="AO99" s="592"/>
      <c r="AP99" s="592"/>
      <c r="AQ99" s="592"/>
      <c r="AR99" s="592"/>
      <c r="AS99" s="592"/>
      <c r="AT99" s="592"/>
      <c r="AU99" s="592"/>
      <c r="AV99" s="592"/>
      <c r="AW99" s="604"/>
      <c r="AX99" s="609">
        <f t="shared" si="55"/>
        <v>0</v>
      </c>
      <c r="AY99" s="602">
        <f t="shared" si="48"/>
        <v>0</v>
      </c>
      <c r="AZ99" s="593">
        <f t="shared" si="49"/>
        <v>0</v>
      </c>
      <c r="BA99" s="594">
        <f t="shared" si="50"/>
        <v>0</v>
      </c>
      <c r="BB99" s="593">
        <f t="shared" si="50"/>
        <v>0</v>
      </c>
      <c r="BC99" s="593">
        <f t="shared" si="56"/>
        <v>0</v>
      </c>
      <c r="BD99" s="593">
        <f t="shared" si="57"/>
        <v>0</v>
      </c>
      <c r="BE99" s="593">
        <f t="shared" si="58"/>
        <v>0</v>
      </c>
      <c r="BF99" s="593">
        <f t="shared" si="59"/>
        <v>0</v>
      </c>
      <c r="BG99" s="593">
        <f t="shared" si="60"/>
        <v>0</v>
      </c>
      <c r="BH99" s="593">
        <f t="shared" si="61"/>
        <v>0</v>
      </c>
      <c r="BI99" s="593">
        <f t="shared" si="61"/>
        <v>0</v>
      </c>
      <c r="BJ99" s="593">
        <f t="shared" si="62"/>
        <v>0</v>
      </c>
      <c r="BK99" s="593">
        <f t="shared" si="62"/>
        <v>0</v>
      </c>
      <c r="BL99" s="593">
        <f t="shared" si="63"/>
        <v>0</v>
      </c>
      <c r="BM99" s="593">
        <f t="shared" si="64"/>
        <v>0</v>
      </c>
      <c r="BN99" s="593">
        <f t="shared" si="64"/>
        <v>0</v>
      </c>
      <c r="BO99" s="593">
        <f t="shared" si="64"/>
        <v>0</v>
      </c>
      <c r="BP99" s="593">
        <f t="shared" si="65"/>
        <v>0</v>
      </c>
      <c r="BQ99" s="593">
        <f t="shared" si="66"/>
        <v>0</v>
      </c>
      <c r="BR99" s="593">
        <f t="shared" si="67"/>
        <v>0</v>
      </c>
      <c r="BS99" s="593">
        <f t="shared" si="68"/>
        <v>0</v>
      </c>
      <c r="BT99" s="593">
        <f t="shared" si="69"/>
        <v>0</v>
      </c>
      <c r="BU99" s="593">
        <f t="shared" si="70"/>
        <v>0</v>
      </c>
      <c r="BV99" s="593">
        <f t="shared" si="71"/>
        <v>0</v>
      </c>
      <c r="BW99" s="593">
        <f t="shared" si="72"/>
        <v>0</v>
      </c>
      <c r="BX99" s="593">
        <f t="shared" si="73"/>
        <v>0</v>
      </c>
      <c r="BY99" s="593">
        <f t="shared" si="74"/>
        <v>0</v>
      </c>
      <c r="BZ99" s="593">
        <f t="shared" si="75"/>
        <v>0</v>
      </c>
      <c r="CA99" s="593">
        <f t="shared" si="76"/>
        <v>0</v>
      </c>
      <c r="CB99" s="593">
        <f t="shared" si="77"/>
        <v>0</v>
      </c>
      <c r="CC99" s="593">
        <f t="shared" si="78"/>
        <v>0</v>
      </c>
      <c r="CD99" s="593">
        <f t="shared" si="79"/>
        <v>0</v>
      </c>
      <c r="CE99" s="593">
        <f t="shared" si="79"/>
        <v>0</v>
      </c>
      <c r="CF99" s="595">
        <f t="shared" si="80"/>
        <v>0</v>
      </c>
      <c r="CG99" s="555" t="str">
        <f t="shared" si="81"/>
        <v/>
      </c>
      <c r="CH99" s="530" t="str">
        <f t="shared" si="82"/>
        <v/>
      </c>
      <c r="CI99" s="530" t="str">
        <f t="shared" si="83"/>
        <v/>
      </c>
      <c r="CJ99" s="530" t="str">
        <f t="shared" si="84"/>
        <v/>
      </c>
      <c r="CK99" s="530" t="str">
        <f t="shared" si="85"/>
        <v/>
      </c>
      <c r="CL99" s="530" t="str">
        <f t="shared" si="86"/>
        <v/>
      </c>
      <c r="CM99" s="82" t="str">
        <f t="shared" si="87"/>
        <v/>
      </c>
      <c r="CN99" s="496" t="str">
        <f t="shared" si="51"/>
        <v/>
      </c>
      <c r="CO99" s="496" t="str">
        <f t="shared" si="88"/>
        <v>0</v>
      </c>
      <c r="CP99" s="491">
        <f t="shared" si="89"/>
        <v>0</v>
      </c>
      <c r="CS99" s="496">
        <f t="shared" si="90"/>
        <v>0</v>
      </c>
      <c r="CT99" s="496">
        <f t="shared" si="91"/>
        <v>0</v>
      </c>
      <c r="CU99" s="497" t="str">
        <f t="shared" si="92"/>
        <v>00</v>
      </c>
    </row>
    <row r="100" spans="1:99" ht="15" hidden="1" customHeight="1">
      <c r="A100" s="951">
        <v>97</v>
      </c>
      <c r="B100" s="953"/>
      <c r="C100" s="922"/>
      <c r="D100" s="923"/>
      <c r="E100" s="913"/>
      <c r="F100" s="914"/>
      <c r="G100" s="926"/>
      <c r="H100" s="921"/>
      <c r="I100" s="917"/>
      <c r="J100" s="916"/>
      <c r="K100" s="1012"/>
      <c r="L100" s="1012"/>
      <c r="M100" s="1013"/>
      <c r="N100" s="1028" t="str">
        <f t="shared" si="52"/>
        <v>00</v>
      </c>
      <c r="O100" s="406" t="str">
        <f t="shared" si="93"/>
        <v/>
      </c>
      <c r="P100" s="407" t="str">
        <f>IF(O100="","",VLOOKUP(O100,所属コード!$A$2:$E$11,2,FALSE))</f>
        <v/>
      </c>
      <c r="Q100" s="1033" t="str">
        <f>IF(O100="","",VLOOKUP(O100,所属コード!$A$2:$G$11,7,FALSE))</f>
        <v/>
      </c>
      <c r="R100" s="1035"/>
      <c r="S100" s="77"/>
      <c r="T100" s="77"/>
      <c r="U100" s="77"/>
      <c r="V100" s="15"/>
      <c r="X100" s="488"/>
      <c r="Y100" s="945" t="str">
        <f t="shared" si="53"/>
        <v/>
      </c>
      <c r="Z100" s="489" t="str">
        <f t="shared" si="54"/>
        <v/>
      </c>
      <c r="AA100" s="488"/>
      <c r="AB100" s="488"/>
      <c r="AC100" s="488"/>
      <c r="AD100" s="488"/>
      <c r="AE100" s="488"/>
      <c r="AF100" s="488"/>
      <c r="AG100" s="491"/>
      <c r="AH100" s="591"/>
      <c r="AI100" s="592"/>
      <c r="AJ100" s="592"/>
      <c r="AK100" s="592"/>
      <c r="AL100" s="592"/>
      <c r="AM100" s="592"/>
      <c r="AN100" s="592"/>
      <c r="AO100" s="592"/>
      <c r="AP100" s="592"/>
      <c r="AQ100" s="592"/>
      <c r="AR100" s="592"/>
      <c r="AS100" s="592"/>
      <c r="AT100" s="592"/>
      <c r="AU100" s="592"/>
      <c r="AV100" s="592"/>
      <c r="AW100" s="604"/>
      <c r="AX100" s="609">
        <f t="shared" si="55"/>
        <v>0</v>
      </c>
      <c r="AY100" s="602">
        <f t="shared" si="48"/>
        <v>0</v>
      </c>
      <c r="AZ100" s="593">
        <f t="shared" si="49"/>
        <v>0</v>
      </c>
      <c r="BA100" s="594">
        <f t="shared" ref="BA100:BB113" si="94">AO100</f>
        <v>0</v>
      </c>
      <c r="BB100" s="593">
        <f t="shared" si="94"/>
        <v>0</v>
      </c>
      <c r="BC100" s="593">
        <f t="shared" si="56"/>
        <v>0</v>
      </c>
      <c r="BD100" s="593">
        <f t="shared" si="57"/>
        <v>0</v>
      </c>
      <c r="BE100" s="593">
        <f t="shared" si="58"/>
        <v>0</v>
      </c>
      <c r="BF100" s="593">
        <f t="shared" si="59"/>
        <v>0</v>
      </c>
      <c r="BG100" s="593">
        <f t="shared" si="60"/>
        <v>0</v>
      </c>
      <c r="BH100" s="593">
        <f t="shared" si="61"/>
        <v>0</v>
      </c>
      <c r="BI100" s="593">
        <f t="shared" si="61"/>
        <v>0</v>
      </c>
      <c r="BJ100" s="593">
        <f t="shared" si="62"/>
        <v>0</v>
      </c>
      <c r="BK100" s="593">
        <f t="shared" si="62"/>
        <v>0</v>
      </c>
      <c r="BL100" s="593">
        <f t="shared" si="63"/>
        <v>0</v>
      </c>
      <c r="BM100" s="593">
        <f t="shared" si="64"/>
        <v>0</v>
      </c>
      <c r="BN100" s="593">
        <f t="shared" si="64"/>
        <v>0</v>
      </c>
      <c r="BO100" s="593">
        <f t="shared" si="64"/>
        <v>0</v>
      </c>
      <c r="BP100" s="593">
        <f t="shared" si="65"/>
        <v>0</v>
      </c>
      <c r="BQ100" s="593">
        <f t="shared" si="66"/>
        <v>0</v>
      </c>
      <c r="BR100" s="593">
        <f t="shared" si="67"/>
        <v>0</v>
      </c>
      <c r="BS100" s="593">
        <f t="shared" si="68"/>
        <v>0</v>
      </c>
      <c r="BT100" s="593">
        <f t="shared" si="69"/>
        <v>0</v>
      </c>
      <c r="BU100" s="593">
        <f t="shared" si="70"/>
        <v>0</v>
      </c>
      <c r="BV100" s="593">
        <f t="shared" si="71"/>
        <v>0</v>
      </c>
      <c r="BW100" s="593">
        <f t="shared" si="72"/>
        <v>0</v>
      </c>
      <c r="BX100" s="593">
        <f t="shared" si="73"/>
        <v>0</v>
      </c>
      <c r="BY100" s="593">
        <f t="shared" si="74"/>
        <v>0</v>
      </c>
      <c r="BZ100" s="593">
        <f t="shared" si="75"/>
        <v>0</v>
      </c>
      <c r="CA100" s="593">
        <f t="shared" si="76"/>
        <v>0</v>
      </c>
      <c r="CB100" s="593">
        <f t="shared" si="77"/>
        <v>0</v>
      </c>
      <c r="CC100" s="593">
        <f t="shared" si="78"/>
        <v>0</v>
      </c>
      <c r="CD100" s="593">
        <f t="shared" si="79"/>
        <v>0</v>
      </c>
      <c r="CE100" s="593">
        <f t="shared" si="79"/>
        <v>0</v>
      </c>
      <c r="CF100" s="595">
        <f t="shared" si="80"/>
        <v>0</v>
      </c>
      <c r="CG100" s="555" t="str">
        <f t="shared" si="81"/>
        <v/>
      </c>
      <c r="CH100" s="530" t="str">
        <f t="shared" si="82"/>
        <v/>
      </c>
      <c r="CI100" s="530" t="str">
        <f t="shared" si="83"/>
        <v/>
      </c>
      <c r="CJ100" s="530" t="str">
        <f t="shared" si="84"/>
        <v/>
      </c>
      <c r="CK100" s="530" t="str">
        <f t="shared" si="85"/>
        <v/>
      </c>
      <c r="CL100" s="530" t="str">
        <f t="shared" si="86"/>
        <v/>
      </c>
      <c r="CM100" s="82" t="str">
        <f t="shared" si="87"/>
        <v/>
      </c>
      <c r="CN100" s="496" t="str">
        <f t="shared" si="51"/>
        <v/>
      </c>
      <c r="CO100" s="496" t="str">
        <f t="shared" si="88"/>
        <v>0</v>
      </c>
      <c r="CP100" s="491">
        <f t="shared" si="89"/>
        <v>0</v>
      </c>
      <c r="CS100" s="496">
        <f t="shared" si="90"/>
        <v>0</v>
      </c>
      <c r="CT100" s="496">
        <f t="shared" si="91"/>
        <v>0</v>
      </c>
      <c r="CU100" s="497" t="str">
        <f t="shared" si="92"/>
        <v>00</v>
      </c>
    </row>
    <row r="101" spans="1:99" ht="15" hidden="1" customHeight="1">
      <c r="A101" s="951">
        <v>98</v>
      </c>
      <c r="B101" s="953"/>
      <c r="C101" s="922"/>
      <c r="D101" s="923"/>
      <c r="E101" s="913"/>
      <c r="F101" s="914"/>
      <c r="G101" s="926"/>
      <c r="H101" s="921"/>
      <c r="I101" s="917"/>
      <c r="J101" s="916"/>
      <c r="K101" s="1012"/>
      <c r="L101" s="1012"/>
      <c r="M101" s="1013"/>
      <c r="N101" s="1028" t="str">
        <f t="shared" si="52"/>
        <v>00</v>
      </c>
      <c r="O101" s="406" t="str">
        <f t="shared" si="93"/>
        <v/>
      </c>
      <c r="P101" s="407" t="str">
        <f>IF(O101="","",VLOOKUP(O101,所属コード!$A$2:$E$11,2,FALSE))</f>
        <v/>
      </c>
      <c r="Q101" s="1033" t="str">
        <f>IF(O101="","",VLOOKUP(O101,所属コード!$A$2:$G$11,7,FALSE))</f>
        <v/>
      </c>
      <c r="R101" s="1035"/>
      <c r="S101" s="77"/>
      <c r="T101" s="77"/>
      <c r="U101" s="77"/>
      <c r="V101" s="15"/>
      <c r="X101" s="488"/>
      <c r="Y101" s="945" t="str">
        <f t="shared" si="53"/>
        <v/>
      </c>
      <c r="Z101" s="489" t="str">
        <f t="shared" si="54"/>
        <v/>
      </c>
      <c r="AA101" s="488"/>
      <c r="AB101" s="488"/>
      <c r="AC101" s="488"/>
      <c r="AD101" s="488"/>
      <c r="AE101" s="488"/>
      <c r="AF101" s="488"/>
      <c r="AG101" s="491"/>
      <c r="AH101" s="591"/>
      <c r="AI101" s="592"/>
      <c r="AJ101" s="592"/>
      <c r="AK101" s="592"/>
      <c r="AL101" s="592"/>
      <c r="AM101" s="592"/>
      <c r="AN101" s="592"/>
      <c r="AO101" s="592"/>
      <c r="AP101" s="592"/>
      <c r="AQ101" s="592"/>
      <c r="AR101" s="592"/>
      <c r="AS101" s="592"/>
      <c r="AT101" s="592"/>
      <c r="AU101" s="592"/>
      <c r="AV101" s="592"/>
      <c r="AW101" s="604"/>
      <c r="AX101" s="609">
        <f t="shared" si="55"/>
        <v>0</v>
      </c>
      <c r="AY101" s="602">
        <f t="shared" si="48"/>
        <v>0</v>
      </c>
      <c r="AZ101" s="593">
        <f t="shared" si="49"/>
        <v>0</v>
      </c>
      <c r="BA101" s="594">
        <f t="shared" si="94"/>
        <v>0</v>
      </c>
      <c r="BB101" s="593">
        <f t="shared" si="94"/>
        <v>0</v>
      </c>
      <c r="BC101" s="593">
        <f t="shared" si="56"/>
        <v>0</v>
      </c>
      <c r="BD101" s="593">
        <f t="shared" si="57"/>
        <v>0</v>
      </c>
      <c r="BE101" s="593">
        <f t="shared" si="58"/>
        <v>0</v>
      </c>
      <c r="BF101" s="593">
        <f t="shared" si="59"/>
        <v>0</v>
      </c>
      <c r="BG101" s="593">
        <f t="shared" si="60"/>
        <v>0</v>
      </c>
      <c r="BH101" s="593">
        <f t="shared" si="61"/>
        <v>0</v>
      </c>
      <c r="BI101" s="593">
        <f t="shared" si="61"/>
        <v>0</v>
      </c>
      <c r="BJ101" s="593">
        <f t="shared" si="62"/>
        <v>0</v>
      </c>
      <c r="BK101" s="593">
        <f t="shared" si="62"/>
        <v>0</v>
      </c>
      <c r="BL101" s="593">
        <f t="shared" si="63"/>
        <v>0</v>
      </c>
      <c r="BM101" s="593">
        <f t="shared" si="64"/>
        <v>0</v>
      </c>
      <c r="BN101" s="593">
        <f t="shared" si="64"/>
        <v>0</v>
      </c>
      <c r="BO101" s="593">
        <f t="shared" si="64"/>
        <v>0</v>
      </c>
      <c r="BP101" s="593">
        <f t="shared" si="65"/>
        <v>0</v>
      </c>
      <c r="BQ101" s="593">
        <f t="shared" si="66"/>
        <v>0</v>
      </c>
      <c r="BR101" s="593">
        <f t="shared" si="67"/>
        <v>0</v>
      </c>
      <c r="BS101" s="593">
        <f t="shared" si="68"/>
        <v>0</v>
      </c>
      <c r="BT101" s="593">
        <f t="shared" si="69"/>
        <v>0</v>
      </c>
      <c r="BU101" s="593">
        <f t="shared" si="70"/>
        <v>0</v>
      </c>
      <c r="BV101" s="593">
        <f t="shared" si="71"/>
        <v>0</v>
      </c>
      <c r="BW101" s="593">
        <f t="shared" si="72"/>
        <v>0</v>
      </c>
      <c r="BX101" s="593">
        <f t="shared" si="73"/>
        <v>0</v>
      </c>
      <c r="BY101" s="593">
        <f t="shared" si="74"/>
        <v>0</v>
      </c>
      <c r="BZ101" s="593">
        <f t="shared" si="75"/>
        <v>0</v>
      </c>
      <c r="CA101" s="593">
        <f t="shared" si="76"/>
        <v>0</v>
      </c>
      <c r="CB101" s="593">
        <f t="shared" si="77"/>
        <v>0</v>
      </c>
      <c r="CC101" s="593">
        <f t="shared" si="78"/>
        <v>0</v>
      </c>
      <c r="CD101" s="593">
        <f t="shared" si="79"/>
        <v>0</v>
      </c>
      <c r="CE101" s="593">
        <f t="shared" si="79"/>
        <v>0</v>
      </c>
      <c r="CF101" s="595">
        <f t="shared" si="80"/>
        <v>0</v>
      </c>
      <c r="CG101" s="555" t="str">
        <f t="shared" si="81"/>
        <v/>
      </c>
      <c r="CH101" s="530" t="str">
        <f t="shared" si="82"/>
        <v/>
      </c>
      <c r="CI101" s="530" t="str">
        <f t="shared" si="83"/>
        <v/>
      </c>
      <c r="CJ101" s="530" t="str">
        <f t="shared" si="84"/>
        <v/>
      </c>
      <c r="CK101" s="530" t="str">
        <f t="shared" si="85"/>
        <v/>
      </c>
      <c r="CL101" s="530" t="str">
        <f t="shared" si="86"/>
        <v/>
      </c>
      <c r="CM101" s="82" t="str">
        <f t="shared" si="87"/>
        <v/>
      </c>
      <c r="CN101" s="496" t="str">
        <f t="shared" si="51"/>
        <v/>
      </c>
      <c r="CO101" s="496" t="str">
        <f t="shared" si="88"/>
        <v>0</v>
      </c>
      <c r="CP101" s="491">
        <f t="shared" si="89"/>
        <v>0</v>
      </c>
      <c r="CS101" s="496">
        <f t="shared" si="90"/>
        <v>0</v>
      </c>
      <c r="CT101" s="496">
        <f t="shared" si="91"/>
        <v>0</v>
      </c>
      <c r="CU101" s="497" t="str">
        <f t="shared" si="92"/>
        <v>00</v>
      </c>
    </row>
    <row r="102" spans="1:99" ht="12.75" hidden="1" customHeight="1">
      <c r="A102" s="951">
        <v>99</v>
      </c>
      <c r="B102" s="953"/>
      <c r="C102" s="922"/>
      <c r="D102" s="923"/>
      <c r="E102" s="913"/>
      <c r="F102" s="914"/>
      <c r="G102" s="926"/>
      <c r="H102" s="921"/>
      <c r="I102" s="917"/>
      <c r="J102" s="916"/>
      <c r="K102" s="1012"/>
      <c r="L102" s="1012"/>
      <c r="M102" s="1013"/>
      <c r="N102" s="1028" t="str">
        <f t="shared" si="52"/>
        <v>00</v>
      </c>
      <c r="O102" s="406" t="str">
        <f t="shared" si="93"/>
        <v/>
      </c>
      <c r="P102" s="407" t="str">
        <f>IF(O102="","",VLOOKUP(O102,所属コード!$A$2:$E$11,2,FALSE))</f>
        <v/>
      </c>
      <c r="Q102" s="1033" t="str">
        <f>IF(O102="","",VLOOKUP(O102,所属コード!$A$2:$G$11,7,FALSE))</f>
        <v/>
      </c>
      <c r="R102" s="1035"/>
      <c r="S102" s="77"/>
      <c r="T102" s="77"/>
      <c r="U102" s="77"/>
      <c r="V102" s="15"/>
      <c r="X102" s="488"/>
      <c r="Y102" s="945" t="str">
        <f t="shared" si="53"/>
        <v/>
      </c>
      <c r="Z102" s="489" t="str">
        <f t="shared" si="54"/>
        <v/>
      </c>
      <c r="AA102" s="488"/>
      <c r="AB102" s="488"/>
      <c r="AC102" s="488"/>
      <c r="AD102" s="488"/>
      <c r="AE102" s="488"/>
      <c r="AF102" s="488"/>
      <c r="AG102" s="491"/>
      <c r="AH102" s="591"/>
      <c r="AI102" s="592"/>
      <c r="AJ102" s="592"/>
      <c r="AK102" s="592"/>
      <c r="AL102" s="592"/>
      <c r="AM102" s="592"/>
      <c r="AN102" s="592"/>
      <c r="AO102" s="592"/>
      <c r="AP102" s="592"/>
      <c r="AQ102" s="592"/>
      <c r="AR102" s="592"/>
      <c r="AS102" s="592"/>
      <c r="AT102" s="592"/>
      <c r="AU102" s="592"/>
      <c r="AV102" s="592"/>
      <c r="AW102" s="604"/>
      <c r="AX102" s="609">
        <f t="shared" si="55"/>
        <v>0</v>
      </c>
      <c r="AY102" s="602">
        <f t="shared" si="48"/>
        <v>0</v>
      </c>
      <c r="AZ102" s="593">
        <f t="shared" si="49"/>
        <v>0</v>
      </c>
      <c r="BA102" s="594">
        <f t="shared" si="94"/>
        <v>0</v>
      </c>
      <c r="BB102" s="593">
        <f t="shared" si="94"/>
        <v>0</v>
      </c>
      <c r="BC102" s="593">
        <f t="shared" si="56"/>
        <v>0</v>
      </c>
      <c r="BD102" s="593">
        <f t="shared" si="57"/>
        <v>0</v>
      </c>
      <c r="BE102" s="593">
        <f t="shared" si="58"/>
        <v>0</v>
      </c>
      <c r="BF102" s="593">
        <f t="shared" si="59"/>
        <v>0</v>
      </c>
      <c r="BG102" s="593">
        <f t="shared" si="60"/>
        <v>0</v>
      </c>
      <c r="BH102" s="593">
        <f t="shared" si="61"/>
        <v>0</v>
      </c>
      <c r="BI102" s="593">
        <f t="shared" si="61"/>
        <v>0</v>
      </c>
      <c r="BJ102" s="593">
        <f t="shared" si="62"/>
        <v>0</v>
      </c>
      <c r="BK102" s="593">
        <f t="shared" si="62"/>
        <v>0</v>
      </c>
      <c r="BL102" s="593">
        <f t="shared" si="63"/>
        <v>0</v>
      </c>
      <c r="BM102" s="593">
        <f t="shared" si="64"/>
        <v>0</v>
      </c>
      <c r="BN102" s="593">
        <f t="shared" si="64"/>
        <v>0</v>
      </c>
      <c r="BO102" s="593">
        <f t="shared" si="64"/>
        <v>0</v>
      </c>
      <c r="BP102" s="593">
        <f t="shared" si="65"/>
        <v>0</v>
      </c>
      <c r="BQ102" s="593">
        <f t="shared" si="66"/>
        <v>0</v>
      </c>
      <c r="BR102" s="593">
        <f t="shared" si="67"/>
        <v>0</v>
      </c>
      <c r="BS102" s="593">
        <f t="shared" si="68"/>
        <v>0</v>
      </c>
      <c r="BT102" s="593">
        <f t="shared" si="69"/>
        <v>0</v>
      </c>
      <c r="BU102" s="593">
        <f t="shared" si="70"/>
        <v>0</v>
      </c>
      <c r="BV102" s="593">
        <f t="shared" si="71"/>
        <v>0</v>
      </c>
      <c r="BW102" s="593">
        <f t="shared" si="72"/>
        <v>0</v>
      </c>
      <c r="BX102" s="593">
        <f t="shared" si="73"/>
        <v>0</v>
      </c>
      <c r="BY102" s="593">
        <f t="shared" si="74"/>
        <v>0</v>
      </c>
      <c r="BZ102" s="593">
        <f t="shared" si="75"/>
        <v>0</v>
      </c>
      <c r="CA102" s="593">
        <f t="shared" si="76"/>
        <v>0</v>
      </c>
      <c r="CB102" s="593">
        <f t="shared" si="77"/>
        <v>0</v>
      </c>
      <c r="CC102" s="593">
        <f t="shared" si="78"/>
        <v>0</v>
      </c>
      <c r="CD102" s="593">
        <f t="shared" si="79"/>
        <v>0</v>
      </c>
      <c r="CE102" s="593">
        <f t="shared" si="79"/>
        <v>0</v>
      </c>
      <c r="CF102" s="595">
        <f t="shared" si="80"/>
        <v>0</v>
      </c>
      <c r="CG102" s="555" t="str">
        <f t="shared" si="81"/>
        <v/>
      </c>
      <c r="CH102" s="530" t="str">
        <f t="shared" si="82"/>
        <v/>
      </c>
      <c r="CI102" s="530" t="str">
        <f t="shared" si="83"/>
        <v/>
      </c>
      <c r="CJ102" s="530" t="str">
        <f t="shared" si="84"/>
        <v/>
      </c>
      <c r="CK102" s="530" t="str">
        <f t="shared" si="85"/>
        <v/>
      </c>
      <c r="CL102" s="530" t="str">
        <f t="shared" si="86"/>
        <v/>
      </c>
      <c r="CM102" s="82" t="str">
        <f t="shared" si="87"/>
        <v/>
      </c>
      <c r="CN102" s="496" t="str">
        <f t="shared" si="51"/>
        <v/>
      </c>
      <c r="CO102" s="496" t="str">
        <f t="shared" si="88"/>
        <v>0</v>
      </c>
      <c r="CP102" s="491">
        <f t="shared" si="89"/>
        <v>0</v>
      </c>
      <c r="CS102" s="496">
        <f t="shared" si="90"/>
        <v>0</v>
      </c>
      <c r="CT102" s="496">
        <f t="shared" si="91"/>
        <v>0</v>
      </c>
      <c r="CU102" s="497" t="str">
        <f t="shared" si="92"/>
        <v>00</v>
      </c>
    </row>
    <row r="103" spans="1:99" ht="15" hidden="1" customHeight="1">
      <c r="A103" s="951">
        <v>100</v>
      </c>
      <c r="B103" s="953"/>
      <c r="C103" s="922"/>
      <c r="D103" s="923"/>
      <c r="E103" s="913"/>
      <c r="F103" s="914"/>
      <c r="G103" s="926"/>
      <c r="H103" s="921"/>
      <c r="I103" s="917"/>
      <c r="J103" s="916"/>
      <c r="K103" s="1012"/>
      <c r="L103" s="1012"/>
      <c r="M103" s="1013"/>
      <c r="N103" s="1028" t="str">
        <f t="shared" si="52"/>
        <v>00</v>
      </c>
      <c r="O103" s="406" t="str">
        <f t="shared" si="93"/>
        <v/>
      </c>
      <c r="P103" s="407" t="str">
        <f>IF(O103="","",VLOOKUP(O103,所属コード!$A$2:$E$11,2,FALSE))</f>
        <v/>
      </c>
      <c r="Q103" s="1033" t="str">
        <f>IF(O103="","",VLOOKUP(O103,所属コード!$A$2:$G$11,7,FALSE))</f>
        <v/>
      </c>
      <c r="R103" s="1035"/>
      <c r="S103" s="77"/>
      <c r="T103" s="77"/>
      <c r="U103" s="77"/>
      <c r="V103" s="15"/>
      <c r="X103" s="488"/>
      <c r="Y103" s="945" t="str">
        <f t="shared" si="53"/>
        <v/>
      </c>
      <c r="Z103" s="489" t="str">
        <f t="shared" si="54"/>
        <v/>
      </c>
      <c r="AA103" s="488"/>
      <c r="AB103" s="488"/>
      <c r="AC103" s="488"/>
      <c r="AD103" s="488"/>
      <c r="AE103" s="488"/>
      <c r="AF103" s="488"/>
      <c r="AG103" s="491"/>
      <c r="AH103" s="591"/>
      <c r="AI103" s="592"/>
      <c r="AJ103" s="592"/>
      <c r="AK103" s="592"/>
      <c r="AL103" s="592"/>
      <c r="AM103" s="592"/>
      <c r="AN103" s="592"/>
      <c r="AO103" s="592"/>
      <c r="AP103" s="592"/>
      <c r="AQ103" s="592"/>
      <c r="AR103" s="592"/>
      <c r="AS103" s="592"/>
      <c r="AT103" s="592"/>
      <c r="AU103" s="592"/>
      <c r="AV103" s="592"/>
      <c r="AW103" s="604"/>
      <c r="AX103" s="609">
        <f t="shared" si="55"/>
        <v>0</v>
      </c>
      <c r="AY103" s="602">
        <f t="shared" si="48"/>
        <v>0</v>
      </c>
      <c r="AZ103" s="593">
        <f t="shared" si="49"/>
        <v>0</v>
      </c>
      <c r="BA103" s="594">
        <f t="shared" si="94"/>
        <v>0</v>
      </c>
      <c r="BB103" s="593">
        <f t="shared" si="94"/>
        <v>0</v>
      </c>
      <c r="BC103" s="593">
        <f t="shared" si="56"/>
        <v>0</v>
      </c>
      <c r="BD103" s="593">
        <f t="shared" si="57"/>
        <v>0</v>
      </c>
      <c r="BE103" s="593">
        <f t="shared" si="58"/>
        <v>0</v>
      </c>
      <c r="BF103" s="593">
        <f t="shared" si="59"/>
        <v>0</v>
      </c>
      <c r="BG103" s="593">
        <f t="shared" si="60"/>
        <v>0</v>
      </c>
      <c r="BH103" s="593">
        <f t="shared" si="61"/>
        <v>0</v>
      </c>
      <c r="BI103" s="593">
        <f t="shared" si="61"/>
        <v>0</v>
      </c>
      <c r="BJ103" s="593">
        <f t="shared" si="62"/>
        <v>0</v>
      </c>
      <c r="BK103" s="593">
        <f t="shared" si="62"/>
        <v>0</v>
      </c>
      <c r="BL103" s="593">
        <f t="shared" si="63"/>
        <v>0</v>
      </c>
      <c r="BM103" s="593">
        <f t="shared" si="64"/>
        <v>0</v>
      </c>
      <c r="BN103" s="593">
        <f t="shared" si="64"/>
        <v>0</v>
      </c>
      <c r="BO103" s="593">
        <f t="shared" si="64"/>
        <v>0</v>
      </c>
      <c r="BP103" s="593">
        <f t="shared" si="65"/>
        <v>0</v>
      </c>
      <c r="BQ103" s="593">
        <f t="shared" si="66"/>
        <v>0</v>
      </c>
      <c r="BR103" s="593">
        <f t="shared" si="67"/>
        <v>0</v>
      </c>
      <c r="BS103" s="593">
        <f t="shared" si="68"/>
        <v>0</v>
      </c>
      <c r="BT103" s="593">
        <f t="shared" si="69"/>
        <v>0</v>
      </c>
      <c r="BU103" s="593">
        <f t="shared" si="70"/>
        <v>0</v>
      </c>
      <c r="BV103" s="593">
        <f t="shared" si="71"/>
        <v>0</v>
      </c>
      <c r="BW103" s="593">
        <f t="shared" si="72"/>
        <v>0</v>
      </c>
      <c r="BX103" s="593">
        <f t="shared" si="73"/>
        <v>0</v>
      </c>
      <c r="BY103" s="593">
        <f t="shared" si="74"/>
        <v>0</v>
      </c>
      <c r="BZ103" s="593">
        <f t="shared" si="75"/>
        <v>0</v>
      </c>
      <c r="CA103" s="593">
        <f t="shared" si="76"/>
        <v>0</v>
      </c>
      <c r="CB103" s="593">
        <f t="shared" si="77"/>
        <v>0</v>
      </c>
      <c r="CC103" s="593">
        <f t="shared" si="78"/>
        <v>0</v>
      </c>
      <c r="CD103" s="593">
        <f t="shared" si="79"/>
        <v>0</v>
      </c>
      <c r="CE103" s="593">
        <f t="shared" si="79"/>
        <v>0</v>
      </c>
      <c r="CF103" s="595">
        <f t="shared" si="80"/>
        <v>0</v>
      </c>
      <c r="CG103" s="555" t="str">
        <f t="shared" si="81"/>
        <v/>
      </c>
      <c r="CH103" s="530" t="str">
        <f t="shared" si="82"/>
        <v/>
      </c>
      <c r="CI103" s="530" t="str">
        <f t="shared" si="83"/>
        <v/>
      </c>
      <c r="CJ103" s="530" t="str">
        <f t="shared" si="84"/>
        <v/>
      </c>
      <c r="CK103" s="530" t="str">
        <f t="shared" si="85"/>
        <v/>
      </c>
      <c r="CL103" s="530" t="str">
        <f t="shared" si="86"/>
        <v/>
      </c>
      <c r="CM103" s="82" t="str">
        <f t="shared" si="87"/>
        <v/>
      </c>
      <c r="CN103" s="496" t="str">
        <f t="shared" si="51"/>
        <v/>
      </c>
      <c r="CO103" s="496" t="str">
        <f t="shared" si="88"/>
        <v>0</v>
      </c>
      <c r="CP103" s="491">
        <f t="shared" si="89"/>
        <v>0</v>
      </c>
      <c r="CS103" s="496">
        <f t="shared" si="90"/>
        <v>0</v>
      </c>
      <c r="CT103" s="496">
        <f t="shared" si="91"/>
        <v>0</v>
      </c>
      <c r="CU103" s="497" t="str">
        <f t="shared" si="92"/>
        <v>00</v>
      </c>
    </row>
    <row r="104" spans="1:99" ht="15" hidden="1" customHeight="1">
      <c r="A104" s="951">
        <v>101</v>
      </c>
      <c r="B104" s="953"/>
      <c r="C104" s="922"/>
      <c r="D104" s="923"/>
      <c r="E104" s="913"/>
      <c r="F104" s="914"/>
      <c r="G104" s="926"/>
      <c r="H104" s="921"/>
      <c r="I104" s="917"/>
      <c r="J104" s="916"/>
      <c r="K104" s="1012"/>
      <c r="L104" s="1012"/>
      <c r="M104" s="1013"/>
      <c r="N104" s="1028" t="str">
        <f t="shared" si="52"/>
        <v>00</v>
      </c>
      <c r="O104" s="406" t="str">
        <f t="shared" si="93"/>
        <v/>
      </c>
      <c r="P104" s="407" t="str">
        <f>IF(O104="","",VLOOKUP(O104,所属コード!$A$2:$E$11,2,FALSE))</f>
        <v/>
      </c>
      <c r="Q104" s="1033" t="str">
        <f>IF(O104="","",VLOOKUP(O104,所属コード!$A$2:$G$11,7,FALSE))</f>
        <v/>
      </c>
      <c r="R104" s="1035"/>
      <c r="S104" s="77"/>
      <c r="T104" s="77"/>
      <c r="U104" s="77"/>
      <c r="V104" s="15"/>
      <c r="X104" s="488"/>
      <c r="Y104" s="945" t="str">
        <f t="shared" si="53"/>
        <v/>
      </c>
      <c r="Z104" s="489" t="str">
        <f t="shared" si="54"/>
        <v/>
      </c>
      <c r="AA104" s="488"/>
      <c r="AB104" s="488"/>
      <c r="AC104" s="488"/>
      <c r="AD104" s="488"/>
      <c r="AE104" s="488"/>
      <c r="AF104" s="488"/>
      <c r="AG104" s="491"/>
      <c r="AH104" s="591"/>
      <c r="AI104" s="592"/>
      <c r="AJ104" s="592"/>
      <c r="AK104" s="592"/>
      <c r="AL104" s="592"/>
      <c r="AM104" s="592"/>
      <c r="AN104" s="592"/>
      <c r="AO104" s="592"/>
      <c r="AP104" s="592"/>
      <c r="AQ104" s="592"/>
      <c r="AR104" s="592"/>
      <c r="AS104" s="592"/>
      <c r="AT104" s="592"/>
      <c r="AU104" s="592"/>
      <c r="AV104" s="592"/>
      <c r="AW104" s="604"/>
      <c r="AX104" s="609">
        <f t="shared" si="55"/>
        <v>0</v>
      </c>
      <c r="AY104" s="602">
        <f t="shared" si="48"/>
        <v>0</v>
      </c>
      <c r="AZ104" s="593">
        <f t="shared" si="49"/>
        <v>0</v>
      </c>
      <c r="BA104" s="594">
        <f t="shared" si="94"/>
        <v>0</v>
      </c>
      <c r="BB104" s="593">
        <f t="shared" si="94"/>
        <v>0</v>
      </c>
      <c r="BC104" s="593">
        <f t="shared" si="56"/>
        <v>0</v>
      </c>
      <c r="BD104" s="593">
        <f t="shared" si="57"/>
        <v>0</v>
      </c>
      <c r="BE104" s="593">
        <f t="shared" si="58"/>
        <v>0</v>
      </c>
      <c r="BF104" s="593">
        <f t="shared" si="59"/>
        <v>0</v>
      </c>
      <c r="BG104" s="593">
        <f t="shared" si="60"/>
        <v>0</v>
      </c>
      <c r="BH104" s="593">
        <f t="shared" si="61"/>
        <v>0</v>
      </c>
      <c r="BI104" s="593">
        <f t="shared" si="61"/>
        <v>0</v>
      </c>
      <c r="BJ104" s="593">
        <f t="shared" si="62"/>
        <v>0</v>
      </c>
      <c r="BK104" s="593">
        <f t="shared" si="62"/>
        <v>0</v>
      </c>
      <c r="BL104" s="593">
        <f t="shared" si="63"/>
        <v>0</v>
      </c>
      <c r="BM104" s="593">
        <f t="shared" si="64"/>
        <v>0</v>
      </c>
      <c r="BN104" s="593">
        <f t="shared" si="64"/>
        <v>0</v>
      </c>
      <c r="BO104" s="593">
        <f t="shared" si="64"/>
        <v>0</v>
      </c>
      <c r="BP104" s="593">
        <f t="shared" si="65"/>
        <v>0</v>
      </c>
      <c r="BQ104" s="593">
        <f t="shared" si="66"/>
        <v>0</v>
      </c>
      <c r="BR104" s="593">
        <f t="shared" si="67"/>
        <v>0</v>
      </c>
      <c r="BS104" s="593">
        <f t="shared" si="68"/>
        <v>0</v>
      </c>
      <c r="BT104" s="593">
        <f t="shared" si="69"/>
        <v>0</v>
      </c>
      <c r="BU104" s="593">
        <f t="shared" si="70"/>
        <v>0</v>
      </c>
      <c r="BV104" s="593">
        <f t="shared" si="71"/>
        <v>0</v>
      </c>
      <c r="BW104" s="593">
        <f t="shared" si="72"/>
        <v>0</v>
      </c>
      <c r="BX104" s="593">
        <f t="shared" si="73"/>
        <v>0</v>
      </c>
      <c r="BY104" s="593">
        <f t="shared" si="74"/>
        <v>0</v>
      </c>
      <c r="BZ104" s="593">
        <f t="shared" si="75"/>
        <v>0</v>
      </c>
      <c r="CA104" s="593">
        <f t="shared" si="76"/>
        <v>0</v>
      </c>
      <c r="CB104" s="593">
        <f t="shared" si="77"/>
        <v>0</v>
      </c>
      <c r="CC104" s="593">
        <f t="shared" si="78"/>
        <v>0</v>
      </c>
      <c r="CD104" s="593">
        <f t="shared" si="79"/>
        <v>0</v>
      </c>
      <c r="CE104" s="593">
        <f t="shared" si="79"/>
        <v>0</v>
      </c>
      <c r="CF104" s="595">
        <f t="shared" si="80"/>
        <v>0</v>
      </c>
      <c r="CG104" s="555" t="str">
        <f t="shared" si="81"/>
        <v/>
      </c>
      <c r="CH104" s="530" t="str">
        <f t="shared" si="82"/>
        <v/>
      </c>
      <c r="CI104" s="530" t="str">
        <f t="shared" si="83"/>
        <v/>
      </c>
      <c r="CJ104" s="530" t="str">
        <f t="shared" si="84"/>
        <v/>
      </c>
      <c r="CK104" s="530" t="str">
        <f t="shared" si="85"/>
        <v/>
      </c>
      <c r="CL104" s="530" t="str">
        <f t="shared" si="86"/>
        <v/>
      </c>
      <c r="CM104" s="82" t="str">
        <f t="shared" si="87"/>
        <v/>
      </c>
      <c r="CN104" s="496" t="str">
        <f t="shared" si="51"/>
        <v/>
      </c>
      <c r="CO104" s="496" t="str">
        <f t="shared" si="88"/>
        <v>0</v>
      </c>
      <c r="CP104" s="491">
        <f t="shared" si="89"/>
        <v>0</v>
      </c>
      <c r="CS104" s="496">
        <f t="shared" si="90"/>
        <v>0</v>
      </c>
      <c r="CT104" s="496">
        <f t="shared" si="91"/>
        <v>0</v>
      </c>
      <c r="CU104" s="497" t="str">
        <f t="shared" si="92"/>
        <v>00</v>
      </c>
    </row>
    <row r="105" spans="1:99" ht="15" hidden="1" customHeight="1">
      <c r="A105" s="951">
        <v>102</v>
      </c>
      <c r="B105" s="953"/>
      <c r="C105" s="922"/>
      <c r="D105" s="923"/>
      <c r="E105" s="913"/>
      <c r="F105" s="914"/>
      <c r="G105" s="926"/>
      <c r="H105" s="921"/>
      <c r="I105" s="917"/>
      <c r="J105" s="916"/>
      <c r="K105" s="1012"/>
      <c r="L105" s="1012"/>
      <c r="M105" s="1013"/>
      <c r="N105" s="1028" t="str">
        <f t="shared" si="52"/>
        <v>00</v>
      </c>
      <c r="O105" s="406" t="str">
        <f t="shared" si="93"/>
        <v/>
      </c>
      <c r="P105" s="407" t="str">
        <f>IF(O105="","",VLOOKUP(O105,所属コード!$A$2:$E$11,2,FALSE))</f>
        <v/>
      </c>
      <c r="Q105" s="1033" t="str">
        <f>IF(O105="","",VLOOKUP(O105,所属コード!$A$2:$G$11,7,FALSE))</f>
        <v/>
      </c>
      <c r="R105" s="1035"/>
      <c r="S105" s="77"/>
      <c r="T105" s="77"/>
      <c r="U105" s="77"/>
      <c r="V105" s="15"/>
      <c r="X105" s="488"/>
      <c r="Y105" s="945" t="str">
        <f t="shared" si="53"/>
        <v/>
      </c>
      <c r="Z105" s="489" t="str">
        <f t="shared" si="54"/>
        <v/>
      </c>
      <c r="AA105" s="488"/>
      <c r="AB105" s="488"/>
      <c r="AC105" s="488"/>
      <c r="AD105" s="488"/>
      <c r="AE105" s="488"/>
      <c r="AF105" s="488"/>
      <c r="AG105" s="491"/>
      <c r="AH105" s="591"/>
      <c r="AI105" s="592"/>
      <c r="AJ105" s="592"/>
      <c r="AK105" s="592"/>
      <c r="AL105" s="592"/>
      <c r="AM105" s="592"/>
      <c r="AN105" s="592"/>
      <c r="AO105" s="592"/>
      <c r="AP105" s="592"/>
      <c r="AQ105" s="592"/>
      <c r="AR105" s="592"/>
      <c r="AS105" s="592"/>
      <c r="AT105" s="592"/>
      <c r="AU105" s="592"/>
      <c r="AV105" s="592"/>
      <c r="AW105" s="604"/>
      <c r="AX105" s="609">
        <f t="shared" si="55"/>
        <v>0</v>
      </c>
      <c r="AY105" s="602">
        <f t="shared" si="48"/>
        <v>0</v>
      </c>
      <c r="AZ105" s="593">
        <f t="shared" si="49"/>
        <v>0</v>
      </c>
      <c r="BA105" s="594">
        <f t="shared" si="94"/>
        <v>0</v>
      </c>
      <c r="BB105" s="593">
        <f t="shared" si="94"/>
        <v>0</v>
      </c>
      <c r="BC105" s="593">
        <f t="shared" si="56"/>
        <v>0</v>
      </c>
      <c r="BD105" s="593">
        <f t="shared" si="57"/>
        <v>0</v>
      </c>
      <c r="BE105" s="593">
        <f t="shared" si="58"/>
        <v>0</v>
      </c>
      <c r="BF105" s="593">
        <f t="shared" si="59"/>
        <v>0</v>
      </c>
      <c r="BG105" s="593">
        <f t="shared" si="60"/>
        <v>0</v>
      </c>
      <c r="BH105" s="593">
        <f t="shared" si="61"/>
        <v>0</v>
      </c>
      <c r="BI105" s="593">
        <f t="shared" si="61"/>
        <v>0</v>
      </c>
      <c r="BJ105" s="593">
        <f t="shared" si="62"/>
        <v>0</v>
      </c>
      <c r="BK105" s="593">
        <f t="shared" si="62"/>
        <v>0</v>
      </c>
      <c r="BL105" s="593">
        <f t="shared" si="63"/>
        <v>0</v>
      </c>
      <c r="BM105" s="593">
        <f t="shared" si="64"/>
        <v>0</v>
      </c>
      <c r="BN105" s="593">
        <f t="shared" si="64"/>
        <v>0</v>
      </c>
      <c r="BO105" s="593">
        <f t="shared" si="64"/>
        <v>0</v>
      </c>
      <c r="BP105" s="593">
        <f t="shared" si="65"/>
        <v>0</v>
      </c>
      <c r="BQ105" s="593">
        <f t="shared" si="66"/>
        <v>0</v>
      </c>
      <c r="BR105" s="593">
        <f t="shared" si="67"/>
        <v>0</v>
      </c>
      <c r="BS105" s="593">
        <f t="shared" si="68"/>
        <v>0</v>
      </c>
      <c r="BT105" s="593">
        <f t="shared" si="69"/>
        <v>0</v>
      </c>
      <c r="BU105" s="593">
        <f t="shared" si="70"/>
        <v>0</v>
      </c>
      <c r="BV105" s="593">
        <f t="shared" si="71"/>
        <v>0</v>
      </c>
      <c r="BW105" s="593">
        <f t="shared" si="72"/>
        <v>0</v>
      </c>
      <c r="BX105" s="593">
        <f t="shared" si="73"/>
        <v>0</v>
      </c>
      <c r="BY105" s="593">
        <f t="shared" si="74"/>
        <v>0</v>
      </c>
      <c r="BZ105" s="593">
        <f t="shared" si="75"/>
        <v>0</v>
      </c>
      <c r="CA105" s="593">
        <f t="shared" si="76"/>
        <v>0</v>
      </c>
      <c r="CB105" s="593">
        <f t="shared" si="77"/>
        <v>0</v>
      </c>
      <c r="CC105" s="593">
        <f t="shared" si="78"/>
        <v>0</v>
      </c>
      <c r="CD105" s="593">
        <f t="shared" si="79"/>
        <v>0</v>
      </c>
      <c r="CE105" s="593">
        <f t="shared" si="79"/>
        <v>0</v>
      </c>
      <c r="CF105" s="595">
        <f t="shared" si="80"/>
        <v>0</v>
      </c>
      <c r="CG105" s="555" t="str">
        <f t="shared" si="81"/>
        <v/>
      </c>
      <c r="CH105" s="530" t="str">
        <f t="shared" si="82"/>
        <v/>
      </c>
      <c r="CI105" s="530" t="str">
        <f t="shared" si="83"/>
        <v/>
      </c>
      <c r="CJ105" s="530" t="str">
        <f t="shared" si="84"/>
        <v/>
      </c>
      <c r="CK105" s="530" t="str">
        <f t="shared" si="85"/>
        <v/>
      </c>
      <c r="CL105" s="530" t="str">
        <f t="shared" si="86"/>
        <v/>
      </c>
      <c r="CM105" s="82" t="str">
        <f t="shared" si="87"/>
        <v/>
      </c>
      <c r="CN105" s="496" t="str">
        <f t="shared" si="51"/>
        <v/>
      </c>
      <c r="CO105" s="496" t="str">
        <f t="shared" si="88"/>
        <v>0</v>
      </c>
      <c r="CP105" s="491">
        <f t="shared" si="89"/>
        <v>0</v>
      </c>
      <c r="CS105" s="496">
        <f t="shared" si="90"/>
        <v>0</v>
      </c>
      <c r="CT105" s="496">
        <f t="shared" si="91"/>
        <v>0</v>
      </c>
      <c r="CU105" s="497" t="str">
        <f t="shared" si="92"/>
        <v>00</v>
      </c>
    </row>
    <row r="106" spans="1:99" ht="15" hidden="1" customHeight="1">
      <c r="A106" s="951">
        <v>103</v>
      </c>
      <c r="B106" s="953"/>
      <c r="C106" s="922"/>
      <c r="D106" s="923"/>
      <c r="E106" s="913"/>
      <c r="F106" s="914"/>
      <c r="G106" s="926"/>
      <c r="H106" s="921"/>
      <c r="I106" s="917"/>
      <c r="J106" s="916"/>
      <c r="K106" s="1012"/>
      <c r="L106" s="1012"/>
      <c r="M106" s="1013"/>
      <c r="N106" s="1028" t="str">
        <f t="shared" si="52"/>
        <v>00</v>
      </c>
      <c r="O106" s="406" t="str">
        <f t="shared" si="93"/>
        <v/>
      </c>
      <c r="P106" s="407" t="str">
        <f>IF(O106="","",VLOOKUP(O106,所属コード!$A$2:$E$11,2,FALSE))</f>
        <v/>
      </c>
      <c r="Q106" s="1033" t="str">
        <f>IF(O106="","",VLOOKUP(O106,所属コード!$A$2:$G$11,7,FALSE))</f>
        <v/>
      </c>
      <c r="R106" s="1035"/>
      <c r="S106" s="77"/>
      <c r="T106" s="77"/>
      <c r="U106" s="77"/>
      <c r="V106" s="15"/>
      <c r="X106" s="488"/>
      <c r="Y106" s="945" t="str">
        <f t="shared" si="53"/>
        <v/>
      </c>
      <c r="Z106" s="489" t="str">
        <f t="shared" si="54"/>
        <v/>
      </c>
      <c r="AA106" s="488"/>
      <c r="AB106" s="488"/>
      <c r="AC106" s="488"/>
      <c r="AD106" s="488"/>
      <c r="AE106" s="488"/>
      <c r="AF106" s="488"/>
      <c r="AG106" s="491"/>
      <c r="AH106" s="591"/>
      <c r="AI106" s="592"/>
      <c r="AJ106" s="592"/>
      <c r="AK106" s="592"/>
      <c r="AL106" s="592"/>
      <c r="AM106" s="592"/>
      <c r="AN106" s="592"/>
      <c r="AO106" s="592"/>
      <c r="AP106" s="592"/>
      <c r="AQ106" s="592"/>
      <c r="AR106" s="592"/>
      <c r="AS106" s="592"/>
      <c r="AT106" s="592"/>
      <c r="AU106" s="592"/>
      <c r="AV106" s="592"/>
      <c r="AW106" s="604"/>
      <c r="AX106" s="609">
        <f t="shared" si="55"/>
        <v>0</v>
      </c>
      <c r="AY106" s="602">
        <f t="shared" si="48"/>
        <v>0</v>
      </c>
      <c r="AZ106" s="593">
        <f t="shared" si="49"/>
        <v>0</v>
      </c>
      <c r="BA106" s="594">
        <f t="shared" si="94"/>
        <v>0</v>
      </c>
      <c r="BB106" s="593">
        <f t="shared" si="94"/>
        <v>0</v>
      </c>
      <c r="BC106" s="593">
        <f t="shared" si="56"/>
        <v>0</v>
      </c>
      <c r="BD106" s="593">
        <f t="shared" si="57"/>
        <v>0</v>
      </c>
      <c r="BE106" s="593">
        <f t="shared" si="58"/>
        <v>0</v>
      </c>
      <c r="BF106" s="593">
        <f t="shared" si="59"/>
        <v>0</v>
      </c>
      <c r="BG106" s="593">
        <f t="shared" si="60"/>
        <v>0</v>
      </c>
      <c r="BH106" s="593">
        <f t="shared" si="61"/>
        <v>0</v>
      </c>
      <c r="BI106" s="593">
        <f t="shared" si="61"/>
        <v>0</v>
      </c>
      <c r="BJ106" s="593">
        <f t="shared" si="62"/>
        <v>0</v>
      </c>
      <c r="BK106" s="593">
        <f t="shared" si="62"/>
        <v>0</v>
      </c>
      <c r="BL106" s="593">
        <f t="shared" si="63"/>
        <v>0</v>
      </c>
      <c r="BM106" s="593">
        <f t="shared" si="64"/>
        <v>0</v>
      </c>
      <c r="BN106" s="593">
        <f t="shared" si="64"/>
        <v>0</v>
      </c>
      <c r="BO106" s="593">
        <f t="shared" si="64"/>
        <v>0</v>
      </c>
      <c r="BP106" s="593">
        <f t="shared" si="65"/>
        <v>0</v>
      </c>
      <c r="BQ106" s="593">
        <f t="shared" si="66"/>
        <v>0</v>
      </c>
      <c r="BR106" s="593">
        <f t="shared" si="67"/>
        <v>0</v>
      </c>
      <c r="BS106" s="593">
        <f t="shared" si="68"/>
        <v>0</v>
      </c>
      <c r="BT106" s="593">
        <f t="shared" si="69"/>
        <v>0</v>
      </c>
      <c r="BU106" s="593">
        <f t="shared" si="70"/>
        <v>0</v>
      </c>
      <c r="BV106" s="593">
        <f t="shared" si="71"/>
        <v>0</v>
      </c>
      <c r="BW106" s="593">
        <f t="shared" si="72"/>
        <v>0</v>
      </c>
      <c r="BX106" s="593">
        <f t="shared" si="73"/>
        <v>0</v>
      </c>
      <c r="BY106" s="593">
        <f t="shared" si="74"/>
        <v>0</v>
      </c>
      <c r="BZ106" s="593">
        <f t="shared" si="75"/>
        <v>0</v>
      </c>
      <c r="CA106" s="593">
        <f t="shared" si="76"/>
        <v>0</v>
      </c>
      <c r="CB106" s="593">
        <f t="shared" si="77"/>
        <v>0</v>
      </c>
      <c r="CC106" s="593">
        <f t="shared" si="78"/>
        <v>0</v>
      </c>
      <c r="CD106" s="593">
        <f t="shared" si="79"/>
        <v>0</v>
      </c>
      <c r="CE106" s="593">
        <f t="shared" si="79"/>
        <v>0</v>
      </c>
      <c r="CF106" s="595">
        <f t="shared" si="80"/>
        <v>0</v>
      </c>
      <c r="CG106" s="555" t="str">
        <f t="shared" si="81"/>
        <v/>
      </c>
      <c r="CH106" s="530" t="str">
        <f t="shared" si="82"/>
        <v/>
      </c>
      <c r="CI106" s="530" t="str">
        <f t="shared" si="83"/>
        <v/>
      </c>
      <c r="CJ106" s="530" t="str">
        <f t="shared" si="84"/>
        <v/>
      </c>
      <c r="CK106" s="530" t="str">
        <f t="shared" si="85"/>
        <v/>
      </c>
      <c r="CL106" s="530" t="str">
        <f t="shared" si="86"/>
        <v/>
      </c>
      <c r="CM106" s="82" t="str">
        <f t="shared" si="87"/>
        <v/>
      </c>
      <c r="CN106" s="496" t="str">
        <f t="shared" si="51"/>
        <v/>
      </c>
      <c r="CO106" s="496" t="str">
        <f t="shared" si="88"/>
        <v>0</v>
      </c>
      <c r="CP106" s="491">
        <f t="shared" si="89"/>
        <v>0</v>
      </c>
      <c r="CS106" s="496">
        <f t="shared" si="90"/>
        <v>0</v>
      </c>
      <c r="CT106" s="496">
        <f t="shared" si="91"/>
        <v>0</v>
      </c>
      <c r="CU106" s="497" t="str">
        <f t="shared" si="92"/>
        <v>00</v>
      </c>
    </row>
    <row r="107" spans="1:99" ht="15" hidden="1" customHeight="1">
      <c r="A107" s="951">
        <v>104</v>
      </c>
      <c r="B107" s="953"/>
      <c r="C107" s="922"/>
      <c r="D107" s="923"/>
      <c r="E107" s="913"/>
      <c r="F107" s="914"/>
      <c r="G107" s="926"/>
      <c r="H107" s="921"/>
      <c r="I107" s="917"/>
      <c r="J107" s="916"/>
      <c r="K107" s="1012"/>
      <c r="L107" s="1012"/>
      <c r="M107" s="1013"/>
      <c r="N107" s="1028" t="str">
        <f t="shared" si="52"/>
        <v>00</v>
      </c>
      <c r="O107" s="406" t="str">
        <f t="shared" si="93"/>
        <v/>
      </c>
      <c r="P107" s="407" t="str">
        <f>IF(O107="","",VLOOKUP(O107,所属コード!$A$2:$E$11,2,FALSE))</f>
        <v/>
      </c>
      <c r="Q107" s="1033" t="str">
        <f>IF(O107="","",VLOOKUP(O107,所属コード!$A$2:$G$11,7,FALSE))</f>
        <v/>
      </c>
      <c r="R107" s="1035"/>
      <c r="S107" s="77"/>
      <c r="T107" s="77"/>
      <c r="U107" s="77"/>
      <c r="V107" s="15"/>
      <c r="X107" s="488"/>
      <c r="Y107" s="945" t="str">
        <f t="shared" si="53"/>
        <v/>
      </c>
      <c r="Z107" s="489" t="str">
        <f t="shared" si="54"/>
        <v/>
      </c>
      <c r="AA107" s="488"/>
      <c r="AB107" s="488"/>
      <c r="AC107" s="488"/>
      <c r="AD107" s="488"/>
      <c r="AE107" s="488"/>
      <c r="AF107" s="488"/>
      <c r="AG107" s="491"/>
      <c r="AH107" s="591"/>
      <c r="AI107" s="592"/>
      <c r="AJ107" s="592"/>
      <c r="AK107" s="592"/>
      <c r="AL107" s="592"/>
      <c r="AM107" s="592"/>
      <c r="AN107" s="592"/>
      <c r="AO107" s="592"/>
      <c r="AP107" s="592"/>
      <c r="AQ107" s="592"/>
      <c r="AR107" s="592"/>
      <c r="AS107" s="592"/>
      <c r="AT107" s="592"/>
      <c r="AU107" s="592"/>
      <c r="AV107" s="592"/>
      <c r="AW107" s="604"/>
      <c r="AX107" s="609">
        <f t="shared" si="55"/>
        <v>0</v>
      </c>
      <c r="AY107" s="602">
        <f t="shared" si="48"/>
        <v>0</v>
      </c>
      <c r="AZ107" s="593">
        <f t="shared" si="49"/>
        <v>0</v>
      </c>
      <c r="BA107" s="594">
        <f t="shared" si="94"/>
        <v>0</v>
      </c>
      <c r="BB107" s="593">
        <f t="shared" si="94"/>
        <v>0</v>
      </c>
      <c r="BC107" s="593">
        <f t="shared" si="56"/>
        <v>0</v>
      </c>
      <c r="BD107" s="593">
        <f t="shared" si="57"/>
        <v>0</v>
      </c>
      <c r="BE107" s="593">
        <f t="shared" si="58"/>
        <v>0</v>
      </c>
      <c r="BF107" s="593">
        <f t="shared" si="59"/>
        <v>0</v>
      </c>
      <c r="BG107" s="593">
        <f t="shared" si="60"/>
        <v>0</v>
      </c>
      <c r="BH107" s="593">
        <f t="shared" si="61"/>
        <v>0</v>
      </c>
      <c r="BI107" s="593">
        <f t="shared" si="61"/>
        <v>0</v>
      </c>
      <c r="BJ107" s="593">
        <f t="shared" si="62"/>
        <v>0</v>
      </c>
      <c r="BK107" s="593">
        <f t="shared" si="62"/>
        <v>0</v>
      </c>
      <c r="BL107" s="593">
        <f t="shared" si="63"/>
        <v>0</v>
      </c>
      <c r="BM107" s="593">
        <f t="shared" si="64"/>
        <v>0</v>
      </c>
      <c r="BN107" s="593">
        <f t="shared" si="64"/>
        <v>0</v>
      </c>
      <c r="BO107" s="593">
        <f t="shared" si="64"/>
        <v>0</v>
      </c>
      <c r="BP107" s="593">
        <f t="shared" si="65"/>
        <v>0</v>
      </c>
      <c r="BQ107" s="593">
        <f t="shared" si="66"/>
        <v>0</v>
      </c>
      <c r="BR107" s="593">
        <f t="shared" si="67"/>
        <v>0</v>
      </c>
      <c r="BS107" s="593">
        <f t="shared" si="68"/>
        <v>0</v>
      </c>
      <c r="BT107" s="593">
        <f t="shared" si="69"/>
        <v>0</v>
      </c>
      <c r="BU107" s="593">
        <f t="shared" si="70"/>
        <v>0</v>
      </c>
      <c r="BV107" s="593">
        <f t="shared" si="71"/>
        <v>0</v>
      </c>
      <c r="BW107" s="593">
        <f t="shared" si="72"/>
        <v>0</v>
      </c>
      <c r="BX107" s="593">
        <f t="shared" si="73"/>
        <v>0</v>
      </c>
      <c r="BY107" s="593">
        <f t="shared" si="74"/>
        <v>0</v>
      </c>
      <c r="BZ107" s="593">
        <f t="shared" si="75"/>
        <v>0</v>
      </c>
      <c r="CA107" s="593">
        <f t="shared" si="76"/>
        <v>0</v>
      </c>
      <c r="CB107" s="593">
        <f t="shared" si="77"/>
        <v>0</v>
      </c>
      <c r="CC107" s="593">
        <f t="shared" si="78"/>
        <v>0</v>
      </c>
      <c r="CD107" s="593">
        <f t="shared" si="79"/>
        <v>0</v>
      </c>
      <c r="CE107" s="593">
        <f t="shared" si="79"/>
        <v>0</v>
      </c>
      <c r="CF107" s="595">
        <f t="shared" si="80"/>
        <v>0</v>
      </c>
      <c r="CG107" s="555" t="str">
        <f t="shared" si="81"/>
        <v/>
      </c>
      <c r="CH107" s="530" t="str">
        <f t="shared" si="82"/>
        <v/>
      </c>
      <c r="CI107" s="530" t="str">
        <f t="shared" si="83"/>
        <v/>
      </c>
      <c r="CJ107" s="530" t="str">
        <f t="shared" si="84"/>
        <v/>
      </c>
      <c r="CK107" s="530" t="str">
        <f t="shared" si="85"/>
        <v/>
      </c>
      <c r="CL107" s="530" t="str">
        <f t="shared" si="86"/>
        <v/>
      </c>
      <c r="CM107" s="82" t="str">
        <f t="shared" si="87"/>
        <v/>
      </c>
      <c r="CN107" s="496" t="str">
        <f t="shared" si="51"/>
        <v/>
      </c>
      <c r="CO107" s="496" t="str">
        <f t="shared" si="88"/>
        <v>0</v>
      </c>
      <c r="CP107" s="491">
        <f t="shared" si="89"/>
        <v>0</v>
      </c>
      <c r="CS107" s="496">
        <f t="shared" si="90"/>
        <v>0</v>
      </c>
      <c r="CT107" s="496">
        <f t="shared" si="91"/>
        <v>0</v>
      </c>
      <c r="CU107" s="497" t="str">
        <f t="shared" si="92"/>
        <v>00</v>
      </c>
    </row>
    <row r="108" spans="1:99" ht="15" hidden="1" customHeight="1">
      <c r="A108" s="951">
        <v>105</v>
      </c>
      <c r="B108" s="953"/>
      <c r="C108" s="922"/>
      <c r="D108" s="923"/>
      <c r="E108" s="913"/>
      <c r="F108" s="914"/>
      <c r="G108" s="926"/>
      <c r="H108" s="921"/>
      <c r="I108" s="917"/>
      <c r="J108" s="916"/>
      <c r="K108" s="1012"/>
      <c r="L108" s="1012"/>
      <c r="M108" s="1013"/>
      <c r="N108" s="1028" t="str">
        <f t="shared" si="52"/>
        <v>00</v>
      </c>
      <c r="O108" s="406" t="str">
        <f t="shared" si="93"/>
        <v/>
      </c>
      <c r="P108" s="407" t="str">
        <f>IF(O108="","",VLOOKUP(O108,所属コード!$A$2:$E$11,2,FALSE))</f>
        <v/>
      </c>
      <c r="Q108" s="1033" t="str">
        <f>IF(O108="","",VLOOKUP(O108,所属コード!$A$2:$G$11,7,FALSE))</f>
        <v/>
      </c>
      <c r="R108" s="1035"/>
      <c r="S108" s="77"/>
      <c r="T108" s="77"/>
      <c r="U108" s="77"/>
      <c r="V108" s="15"/>
      <c r="X108" s="488"/>
      <c r="Y108" s="945" t="str">
        <f t="shared" si="53"/>
        <v/>
      </c>
      <c r="Z108" s="489" t="str">
        <f t="shared" si="54"/>
        <v/>
      </c>
      <c r="AA108" s="488"/>
      <c r="AB108" s="488"/>
      <c r="AC108" s="488"/>
      <c r="AD108" s="488"/>
      <c r="AE108" s="488"/>
      <c r="AF108" s="488"/>
      <c r="AG108" s="491"/>
      <c r="AH108" s="591"/>
      <c r="AI108" s="592"/>
      <c r="AJ108" s="592"/>
      <c r="AK108" s="592"/>
      <c r="AL108" s="592"/>
      <c r="AM108" s="592"/>
      <c r="AN108" s="592"/>
      <c r="AO108" s="592"/>
      <c r="AP108" s="592"/>
      <c r="AQ108" s="592"/>
      <c r="AR108" s="592"/>
      <c r="AS108" s="592"/>
      <c r="AT108" s="592"/>
      <c r="AU108" s="592"/>
      <c r="AV108" s="592"/>
      <c r="AW108" s="604"/>
      <c r="AX108" s="609">
        <f t="shared" si="55"/>
        <v>0</v>
      </c>
      <c r="AY108" s="602">
        <f t="shared" si="48"/>
        <v>0</v>
      </c>
      <c r="AZ108" s="593">
        <f t="shared" si="49"/>
        <v>0</v>
      </c>
      <c r="BA108" s="594">
        <f t="shared" si="94"/>
        <v>0</v>
      </c>
      <c r="BB108" s="593">
        <f t="shared" si="94"/>
        <v>0</v>
      </c>
      <c r="BC108" s="593">
        <f t="shared" si="56"/>
        <v>0</v>
      </c>
      <c r="BD108" s="593">
        <f t="shared" si="57"/>
        <v>0</v>
      </c>
      <c r="BE108" s="593">
        <f t="shared" si="58"/>
        <v>0</v>
      </c>
      <c r="BF108" s="593">
        <f t="shared" si="59"/>
        <v>0</v>
      </c>
      <c r="BG108" s="593">
        <f t="shared" si="60"/>
        <v>0</v>
      </c>
      <c r="BH108" s="593">
        <f t="shared" si="61"/>
        <v>0</v>
      </c>
      <c r="BI108" s="593">
        <f t="shared" si="61"/>
        <v>0</v>
      </c>
      <c r="BJ108" s="593">
        <f t="shared" si="62"/>
        <v>0</v>
      </c>
      <c r="BK108" s="593">
        <f t="shared" si="62"/>
        <v>0</v>
      </c>
      <c r="BL108" s="593">
        <f t="shared" si="63"/>
        <v>0</v>
      </c>
      <c r="BM108" s="593">
        <f t="shared" si="64"/>
        <v>0</v>
      </c>
      <c r="BN108" s="593">
        <f t="shared" si="64"/>
        <v>0</v>
      </c>
      <c r="BO108" s="593">
        <f t="shared" si="64"/>
        <v>0</v>
      </c>
      <c r="BP108" s="593">
        <f t="shared" si="65"/>
        <v>0</v>
      </c>
      <c r="BQ108" s="593">
        <f t="shared" si="66"/>
        <v>0</v>
      </c>
      <c r="BR108" s="593">
        <f t="shared" si="67"/>
        <v>0</v>
      </c>
      <c r="BS108" s="593">
        <f t="shared" si="68"/>
        <v>0</v>
      </c>
      <c r="BT108" s="593">
        <f t="shared" si="69"/>
        <v>0</v>
      </c>
      <c r="BU108" s="593">
        <f t="shared" si="70"/>
        <v>0</v>
      </c>
      <c r="BV108" s="593">
        <f t="shared" si="71"/>
        <v>0</v>
      </c>
      <c r="BW108" s="593">
        <f t="shared" si="72"/>
        <v>0</v>
      </c>
      <c r="BX108" s="593">
        <f t="shared" si="73"/>
        <v>0</v>
      </c>
      <c r="BY108" s="593">
        <f t="shared" si="74"/>
        <v>0</v>
      </c>
      <c r="BZ108" s="593">
        <f t="shared" si="75"/>
        <v>0</v>
      </c>
      <c r="CA108" s="593">
        <f t="shared" si="76"/>
        <v>0</v>
      </c>
      <c r="CB108" s="593">
        <f t="shared" si="77"/>
        <v>0</v>
      </c>
      <c r="CC108" s="593">
        <f t="shared" si="78"/>
        <v>0</v>
      </c>
      <c r="CD108" s="593">
        <f t="shared" si="79"/>
        <v>0</v>
      </c>
      <c r="CE108" s="593">
        <f t="shared" si="79"/>
        <v>0</v>
      </c>
      <c r="CF108" s="595">
        <f t="shared" si="80"/>
        <v>0</v>
      </c>
      <c r="CG108" s="555" t="str">
        <f t="shared" si="81"/>
        <v/>
      </c>
      <c r="CH108" s="530" t="str">
        <f t="shared" si="82"/>
        <v/>
      </c>
      <c r="CI108" s="530" t="str">
        <f t="shared" si="83"/>
        <v/>
      </c>
      <c r="CJ108" s="530" t="str">
        <f t="shared" si="84"/>
        <v/>
      </c>
      <c r="CK108" s="530" t="str">
        <f t="shared" si="85"/>
        <v/>
      </c>
      <c r="CL108" s="530" t="str">
        <f t="shared" si="86"/>
        <v/>
      </c>
      <c r="CM108" s="82" t="str">
        <f t="shared" si="87"/>
        <v/>
      </c>
      <c r="CN108" s="496" t="str">
        <f t="shared" si="51"/>
        <v/>
      </c>
      <c r="CO108" s="496" t="str">
        <f t="shared" si="88"/>
        <v>0</v>
      </c>
      <c r="CP108" s="491">
        <f t="shared" si="89"/>
        <v>0</v>
      </c>
      <c r="CS108" s="496">
        <f t="shared" si="90"/>
        <v>0</v>
      </c>
      <c r="CT108" s="496">
        <f t="shared" si="91"/>
        <v>0</v>
      </c>
      <c r="CU108" s="497" t="str">
        <f t="shared" si="92"/>
        <v>00</v>
      </c>
    </row>
    <row r="109" spans="1:99" ht="15" hidden="1" customHeight="1">
      <c r="A109" s="951">
        <v>106</v>
      </c>
      <c r="B109" s="953"/>
      <c r="C109" s="922"/>
      <c r="D109" s="923"/>
      <c r="E109" s="913"/>
      <c r="F109" s="914"/>
      <c r="G109" s="926"/>
      <c r="H109" s="921"/>
      <c r="I109" s="917"/>
      <c r="J109" s="916"/>
      <c r="K109" s="1012"/>
      <c r="L109" s="1012"/>
      <c r="M109" s="1013"/>
      <c r="N109" s="1028" t="str">
        <f t="shared" si="52"/>
        <v>00</v>
      </c>
      <c r="O109" s="406" t="str">
        <f t="shared" si="93"/>
        <v/>
      </c>
      <c r="P109" s="407" t="str">
        <f>IF(O109="","",VLOOKUP(O109,所属コード!$A$2:$E$11,2,FALSE))</f>
        <v/>
      </c>
      <c r="Q109" s="1033" t="str">
        <f>IF(O109="","",VLOOKUP(O109,所属コード!$A$2:$G$11,7,FALSE))</f>
        <v/>
      </c>
      <c r="R109" s="1035"/>
      <c r="S109" s="77"/>
      <c r="T109" s="77"/>
      <c r="U109" s="77"/>
      <c r="V109" s="15"/>
      <c r="X109" s="488"/>
      <c r="Y109" s="945" t="str">
        <f t="shared" si="53"/>
        <v/>
      </c>
      <c r="Z109" s="489" t="str">
        <f t="shared" si="54"/>
        <v/>
      </c>
      <c r="AA109" s="488"/>
      <c r="AB109" s="488"/>
      <c r="AC109" s="488"/>
      <c r="AD109" s="488"/>
      <c r="AE109" s="488"/>
      <c r="AF109" s="488"/>
      <c r="AG109" s="491"/>
      <c r="AH109" s="591"/>
      <c r="AI109" s="592"/>
      <c r="AJ109" s="592"/>
      <c r="AK109" s="592"/>
      <c r="AL109" s="592"/>
      <c r="AM109" s="592"/>
      <c r="AN109" s="592"/>
      <c r="AO109" s="592"/>
      <c r="AP109" s="592"/>
      <c r="AQ109" s="592"/>
      <c r="AR109" s="592"/>
      <c r="AS109" s="592"/>
      <c r="AT109" s="592"/>
      <c r="AU109" s="592"/>
      <c r="AV109" s="592"/>
      <c r="AW109" s="604"/>
      <c r="AX109" s="609">
        <f t="shared" si="55"/>
        <v>0</v>
      </c>
      <c r="AY109" s="602">
        <f t="shared" si="48"/>
        <v>0</v>
      </c>
      <c r="AZ109" s="593">
        <f t="shared" si="49"/>
        <v>0</v>
      </c>
      <c r="BA109" s="594">
        <f t="shared" si="94"/>
        <v>0</v>
      </c>
      <c r="BB109" s="593">
        <f t="shared" si="94"/>
        <v>0</v>
      </c>
      <c r="BC109" s="593">
        <f t="shared" si="56"/>
        <v>0</v>
      </c>
      <c r="BD109" s="593">
        <f t="shared" si="57"/>
        <v>0</v>
      </c>
      <c r="BE109" s="593">
        <f t="shared" si="58"/>
        <v>0</v>
      </c>
      <c r="BF109" s="593">
        <f t="shared" si="59"/>
        <v>0</v>
      </c>
      <c r="BG109" s="593">
        <f t="shared" si="60"/>
        <v>0</v>
      </c>
      <c r="BH109" s="593">
        <f t="shared" si="61"/>
        <v>0</v>
      </c>
      <c r="BI109" s="593">
        <f t="shared" si="61"/>
        <v>0</v>
      </c>
      <c r="BJ109" s="593">
        <f t="shared" si="62"/>
        <v>0</v>
      </c>
      <c r="BK109" s="593">
        <f t="shared" si="62"/>
        <v>0</v>
      </c>
      <c r="BL109" s="593">
        <f t="shared" si="63"/>
        <v>0</v>
      </c>
      <c r="BM109" s="593">
        <f t="shared" si="64"/>
        <v>0</v>
      </c>
      <c r="BN109" s="593">
        <f t="shared" si="64"/>
        <v>0</v>
      </c>
      <c r="BO109" s="593">
        <f t="shared" si="64"/>
        <v>0</v>
      </c>
      <c r="BP109" s="593">
        <f t="shared" si="65"/>
        <v>0</v>
      </c>
      <c r="BQ109" s="593">
        <f t="shared" si="66"/>
        <v>0</v>
      </c>
      <c r="BR109" s="593">
        <f t="shared" si="67"/>
        <v>0</v>
      </c>
      <c r="BS109" s="593">
        <f t="shared" si="68"/>
        <v>0</v>
      </c>
      <c r="BT109" s="593">
        <f t="shared" si="69"/>
        <v>0</v>
      </c>
      <c r="BU109" s="593">
        <f t="shared" si="70"/>
        <v>0</v>
      </c>
      <c r="BV109" s="593">
        <f t="shared" si="71"/>
        <v>0</v>
      </c>
      <c r="BW109" s="593">
        <f t="shared" si="72"/>
        <v>0</v>
      </c>
      <c r="BX109" s="593">
        <f t="shared" si="73"/>
        <v>0</v>
      </c>
      <c r="BY109" s="593">
        <f t="shared" si="74"/>
        <v>0</v>
      </c>
      <c r="BZ109" s="593">
        <f t="shared" si="75"/>
        <v>0</v>
      </c>
      <c r="CA109" s="593">
        <f t="shared" si="76"/>
        <v>0</v>
      </c>
      <c r="CB109" s="593">
        <f t="shared" si="77"/>
        <v>0</v>
      </c>
      <c r="CC109" s="593">
        <f t="shared" si="78"/>
        <v>0</v>
      </c>
      <c r="CD109" s="593">
        <f t="shared" si="79"/>
        <v>0</v>
      </c>
      <c r="CE109" s="593">
        <f t="shared" si="79"/>
        <v>0</v>
      </c>
      <c r="CF109" s="595">
        <f t="shared" si="80"/>
        <v>0</v>
      </c>
      <c r="CG109" s="555" t="str">
        <f t="shared" si="81"/>
        <v/>
      </c>
      <c r="CH109" s="530" t="str">
        <f t="shared" si="82"/>
        <v/>
      </c>
      <c r="CI109" s="530" t="str">
        <f t="shared" si="83"/>
        <v/>
      </c>
      <c r="CJ109" s="530" t="str">
        <f t="shared" si="84"/>
        <v/>
      </c>
      <c r="CK109" s="530" t="str">
        <f t="shared" si="85"/>
        <v/>
      </c>
      <c r="CL109" s="530" t="str">
        <f t="shared" si="86"/>
        <v/>
      </c>
      <c r="CM109" s="82" t="str">
        <f t="shared" si="87"/>
        <v/>
      </c>
      <c r="CN109" s="496" t="str">
        <f t="shared" si="51"/>
        <v/>
      </c>
      <c r="CO109" s="496" t="str">
        <f t="shared" si="88"/>
        <v>0</v>
      </c>
      <c r="CP109" s="491">
        <f t="shared" si="89"/>
        <v>0</v>
      </c>
      <c r="CS109" s="496">
        <f t="shared" si="90"/>
        <v>0</v>
      </c>
      <c r="CT109" s="496">
        <f t="shared" si="91"/>
        <v>0</v>
      </c>
      <c r="CU109" s="497" t="str">
        <f t="shared" si="92"/>
        <v>00</v>
      </c>
    </row>
    <row r="110" spans="1:99" ht="15" hidden="1" customHeight="1">
      <c r="A110" s="951">
        <v>107</v>
      </c>
      <c r="B110" s="953"/>
      <c r="C110" s="922"/>
      <c r="D110" s="923"/>
      <c r="E110" s="913"/>
      <c r="F110" s="914"/>
      <c r="G110" s="926"/>
      <c r="H110" s="921"/>
      <c r="I110" s="917"/>
      <c r="J110" s="916"/>
      <c r="K110" s="1012"/>
      <c r="L110" s="1012"/>
      <c r="M110" s="1013"/>
      <c r="N110" s="1028" t="str">
        <f t="shared" si="52"/>
        <v>00</v>
      </c>
      <c r="O110" s="406" t="str">
        <f t="shared" si="93"/>
        <v/>
      </c>
      <c r="P110" s="407" t="str">
        <f>IF(O110="","",VLOOKUP(O110,所属コード!$A$2:$E$11,2,FALSE))</f>
        <v/>
      </c>
      <c r="Q110" s="1033" t="str">
        <f>IF(O110="","",VLOOKUP(O110,所属コード!$A$2:$G$11,7,FALSE))</f>
        <v/>
      </c>
      <c r="R110" s="1035"/>
      <c r="S110" s="77"/>
      <c r="T110" s="77"/>
      <c r="U110" s="77"/>
      <c r="V110" s="15"/>
      <c r="X110" s="488"/>
      <c r="Y110" s="945" t="str">
        <f t="shared" si="53"/>
        <v/>
      </c>
      <c r="Z110" s="489" t="str">
        <f t="shared" si="54"/>
        <v/>
      </c>
      <c r="AA110" s="488"/>
      <c r="AB110" s="488"/>
      <c r="AC110" s="488"/>
      <c r="AD110" s="488"/>
      <c r="AE110" s="488"/>
      <c r="AF110" s="488"/>
      <c r="AG110" s="491"/>
      <c r="AH110" s="591"/>
      <c r="AI110" s="592"/>
      <c r="AJ110" s="592"/>
      <c r="AK110" s="592"/>
      <c r="AL110" s="592"/>
      <c r="AM110" s="592"/>
      <c r="AN110" s="592"/>
      <c r="AO110" s="592"/>
      <c r="AP110" s="592"/>
      <c r="AQ110" s="592"/>
      <c r="AR110" s="592"/>
      <c r="AS110" s="592"/>
      <c r="AT110" s="592"/>
      <c r="AU110" s="592"/>
      <c r="AV110" s="592"/>
      <c r="AW110" s="604"/>
      <c r="AX110" s="609">
        <f t="shared" si="55"/>
        <v>0</v>
      </c>
      <c r="AY110" s="602">
        <f t="shared" si="48"/>
        <v>0</v>
      </c>
      <c r="AZ110" s="593">
        <f t="shared" si="49"/>
        <v>0</v>
      </c>
      <c r="BA110" s="594">
        <f t="shared" si="94"/>
        <v>0</v>
      </c>
      <c r="BB110" s="593">
        <f t="shared" si="94"/>
        <v>0</v>
      </c>
      <c r="BC110" s="593">
        <f t="shared" si="56"/>
        <v>0</v>
      </c>
      <c r="BD110" s="593">
        <f t="shared" si="57"/>
        <v>0</v>
      </c>
      <c r="BE110" s="593">
        <f t="shared" si="58"/>
        <v>0</v>
      </c>
      <c r="BF110" s="593">
        <f t="shared" si="59"/>
        <v>0</v>
      </c>
      <c r="BG110" s="593">
        <f t="shared" si="60"/>
        <v>0</v>
      </c>
      <c r="BH110" s="593">
        <f t="shared" si="61"/>
        <v>0</v>
      </c>
      <c r="BI110" s="593">
        <f t="shared" si="61"/>
        <v>0</v>
      </c>
      <c r="BJ110" s="593">
        <f t="shared" si="62"/>
        <v>0</v>
      </c>
      <c r="BK110" s="593">
        <f t="shared" si="62"/>
        <v>0</v>
      </c>
      <c r="BL110" s="593">
        <f t="shared" si="63"/>
        <v>0</v>
      </c>
      <c r="BM110" s="593">
        <f t="shared" si="64"/>
        <v>0</v>
      </c>
      <c r="BN110" s="593">
        <f t="shared" si="64"/>
        <v>0</v>
      </c>
      <c r="BO110" s="593">
        <f t="shared" si="64"/>
        <v>0</v>
      </c>
      <c r="BP110" s="593">
        <f t="shared" si="65"/>
        <v>0</v>
      </c>
      <c r="BQ110" s="593">
        <f t="shared" si="66"/>
        <v>0</v>
      </c>
      <c r="BR110" s="593">
        <f t="shared" si="67"/>
        <v>0</v>
      </c>
      <c r="BS110" s="593">
        <f t="shared" si="68"/>
        <v>0</v>
      </c>
      <c r="BT110" s="593">
        <f t="shared" si="69"/>
        <v>0</v>
      </c>
      <c r="BU110" s="593">
        <f t="shared" si="70"/>
        <v>0</v>
      </c>
      <c r="BV110" s="593">
        <f t="shared" si="71"/>
        <v>0</v>
      </c>
      <c r="BW110" s="593">
        <f t="shared" si="72"/>
        <v>0</v>
      </c>
      <c r="BX110" s="593">
        <f t="shared" si="73"/>
        <v>0</v>
      </c>
      <c r="BY110" s="593">
        <f t="shared" si="74"/>
        <v>0</v>
      </c>
      <c r="BZ110" s="593">
        <f t="shared" si="75"/>
        <v>0</v>
      </c>
      <c r="CA110" s="593">
        <f t="shared" si="76"/>
        <v>0</v>
      </c>
      <c r="CB110" s="593">
        <f t="shared" si="77"/>
        <v>0</v>
      </c>
      <c r="CC110" s="593">
        <f t="shared" si="78"/>
        <v>0</v>
      </c>
      <c r="CD110" s="593">
        <f t="shared" si="79"/>
        <v>0</v>
      </c>
      <c r="CE110" s="593">
        <f t="shared" si="79"/>
        <v>0</v>
      </c>
      <c r="CF110" s="595">
        <f t="shared" si="80"/>
        <v>0</v>
      </c>
      <c r="CG110" s="555" t="str">
        <f t="shared" si="81"/>
        <v/>
      </c>
      <c r="CH110" s="530" t="str">
        <f t="shared" si="82"/>
        <v/>
      </c>
      <c r="CI110" s="530" t="str">
        <f t="shared" si="83"/>
        <v/>
      </c>
      <c r="CJ110" s="530" t="str">
        <f t="shared" si="84"/>
        <v/>
      </c>
      <c r="CK110" s="530" t="str">
        <f t="shared" si="85"/>
        <v/>
      </c>
      <c r="CL110" s="530" t="str">
        <f t="shared" si="86"/>
        <v/>
      </c>
      <c r="CM110" s="82" t="str">
        <f t="shared" si="87"/>
        <v/>
      </c>
      <c r="CN110" s="496" t="str">
        <f t="shared" si="51"/>
        <v/>
      </c>
      <c r="CO110" s="496" t="str">
        <f t="shared" si="88"/>
        <v>0</v>
      </c>
      <c r="CP110" s="491">
        <f t="shared" si="89"/>
        <v>0</v>
      </c>
      <c r="CS110" s="496">
        <f t="shared" si="90"/>
        <v>0</v>
      </c>
      <c r="CT110" s="496">
        <f t="shared" si="91"/>
        <v>0</v>
      </c>
      <c r="CU110" s="497" t="str">
        <f t="shared" si="92"/>
        <v>00</v>
      </c>
    </row>
    <row r="111" spans="1:99" ht="15" hidden="1" customHeight="1">
      <c r="A111" s="951">
        <v>108</v>
      </c>
      <c r="B111" s="953"/>
      <c r="C111" s="922"/>
      <c r="D111" s="923"/>
      <c r="E111" s="913"/>
      <c r="F111" s="914"/>
      <c r="G111" s="926"/>
      <c r="H111" s="921"/>
      <c r="I111" s="917"/>
      <c r="J111" s="916"/>
      <c r="K111" s="1012"/>
      <c r="L111" s="1012"/>
      <c r="M111" s="1013"/>
      <c r="N111" s="1028" t="str">
        <f t="shared" si="52"/>
        <v>00</v>
      </c>
      <c r="O111" s="406" t="str">
        <f t="shared" si="93"/>
        <v/>
      </c>
      <c r="P111" s="407" t="str">
        <f>IF(O111="","",VLOOKUP(O111,所属コード!$A$2:$E$11,2,FALSE))</f>
        <v/>
      </c>
      <c r="Q111" s="1033" t="str">
        <f>IF(O111="","",VLOOKUP(O111,所属コード!$A$2:$G$11,7,FALSE))</f>
        <v/>
      </c>
      <c r="R111" s="1035"/>
      <c r="S111" s="77"/>
      <c r="T111" s="77"/>
      <c r="U111" s="77"/>
      <c r="V111" s="15"/>
      <c r="X111" s="488"/>
      <c r="Y111" s="945" t="str">
        <f t="shared" si="53"/>
        <v/>
      </c>
      <c r="Z111" s="489" t="str">
        <f t="shared" si="54"/>
        <v/>
      </c>
      <c r="AA111" s="488"/>
      <c r="AB111" s="488"/>
      <c r="AC111" s="488"/>
      <c r="AD111" s="488"/>
      <c r="AE111" s="488"/>
      <c r="AF111" s="488"/>
      <c r="AG111" s="491"/>
      <c r="AH111" s="591"/>
      <c r="AI111" s="592"/>
      <c r="AJ111" s="592"/>
      <c r="AK111" s="592"/>
      <c r="AL111" s="592"/>
      <c r="AM111" s="592"/>
      <c r="AN111" s="592"/>
      <c r="AO111" s="592"/>
      <c r="AP111" s="592"/>
      <c r="AQ111" s="592"/>
      <c r="AR111" s="592"/>
      <c r="AS111" s="592"/>
      <c r="AT111" s="592"/>
      <c r="AU111" s="592"/>
      <c r="AV111" s="592"/>
      <c r="AW111" s="604"/>
      <c r="AX111" s="609">
        <f t="shared" si="55"/>
        <v>0</v>
      </c>
      <c r="AY111" s="602">
        <f t="shared" si="48"/>
        <v>0</v>
      </c>
      <c r="AZ111" s="593">
        <f t="shared" si="49"/>
        <v>0</v>
      </c>
      <c r="BA111" s="594">
        <f t="shared" si="94"/>
        <v>0</v>
      </c>
      <c r="BB111" s="593">
        <f t="shared" si="94"/>
        <v>0</v>
      </c>
      <c r="BC111" s="593">
        <f t="shared" si="56"/>
        <v>0</v>
      </c>
      <c r="BD111" s="593">
        <f t="shared" si="57"/>
        <v>0</v>
      </c>
      <c r="BE111" s="593">
        <f t="shared" si="58"/>
        <v>0</v>
      </c>
      <c r="BF111" s="593">
        <f t="shared" si="59"/>
        <v>0</v>
      </c>
      <c r="BG111" s="593">
        <f t="shared" si="60"/>
        <v>0</v>
      </c>
      <c r="BH111" s="593">
        <f t="shared" si="61"/>
        <v>0</v>
      </c>
      <c r="BI111" s="593">
        <f t="shared" si="61"/>
        <v>0</v>
      </c>
      <c r="BJ111" s="593">
        <f t="shared" si="62"/>
        <v>0</v>
      </c>
      <c r="BK111" s="593">
        <f t="shared" si="62"/>
        <v>0</v>
      </c>
      <c r="BL111" s="593">
        <f t="shared" si="63"/>
        <v>0</v>
      </c>
      <c r="BM111" s="593">
        <f t="shared" si="64"/>
        <v>0</v>
      </c>
      <c r="BN111" s="593">
        <f t="shared" si="64"/>
        <v>0</v>
      </c>
      <c r="BO111" s="593">
        <f t="shared" si="64"/>
        <v>0</v>
      </c>
      <c r="BP111" s="593">
        <f t="shared" si="65"/>
        <v>0</v>
      </c>
      <c r="BQ111" s="593">
        <f t="shared" si="66"/>
        <v>0</v>
      </c>
      <c r="BR111" s="593">
        <f t="shared" si="67"/>
        <v>0</v>
      </c>
      <c r="BS111" s="593">
        <f t="shared" si="68"/>
        <v>0</v>
      </c>
      <c r="BT111" s="593">
        <f t="shared" si="69"/>
        <v>0</v>
      </c>
      <c r="BU111" s="593">
        <f t="shared" si="70"/>
        <v>0</v>
      </c>
      <c r="BV111" s="593">
        <f t="shared" si="71"/>
        <v>0</v>
      </c>
      <c r="BW111" s="593">
        <f t="shared" si="72"/>
        <v>0</v>
      </c>
      <c r="BX111" s="593">
        <f t="shared" si="73"/>
        <v>0</v>
      </c>
      <c r="BY111" s="593">
        <f t="shared" si="74"/>
        <v>0</v>
      </c>
      <c r="BZ111" s="593">
        <f t="shared" si="75"/>
        <v>0</v>
      </c>
      <c r="CA111" s="593">
        <f t="shared" si="76"/>
        <v>0</v>
      </c>
      <c r="CB111" s="593">
        <f t="shared" si="77"/>
        <v>0</v>
      </c>
      <c r="CC111" s="593">
        <f t="shared" si="78"/>
        <v>0</v>
      </c>
      <c r="CD111" s="593">
        <f t="shared" si="79"/>
        <v>0</v>
      </c>
      <c r="CE111" s="593">
        <f t="shared" si="79"/>
        <v>0</v>
      </c>
      <c r="CF111" s="595">
        <f t="shared" si="80"/>
        <v>0</v>
      </c>
      <c r="CG111" s="555" t="str">
        <f t="shared" si="81"/>
        <v/>
      </c>
      <c r="CH111" s="530" t="str">
        <f t="shared" si="82"/>
        <v/>
      </c>
      <c r="CI111" s="530" t="str">
        <f t="shared" si="83"/>
        <v/>
      </c>
      <c r="CJ111" s="530" t="str">
        <f t="shared" si="84"/>
        <v/>
      </c>
      <c r="CK111" s="530" t="str">
        <f t="shared" si="85"/>
        <v/>
      </c>
      <c r="CL111" s="530" t="str">
        <f t="shared" si="86"/>
        <v/>
      </c>
      <c r="CM111" s="82" t="str">
        <f t="shared" si="87"/>
        <v/>
      </c>
      <c r="CN111" s="496" t="str">
        <f t="shared" si="51"/>
        <v/>
      </c>
      <c r="CO111" s="496" t="str">
        <f t="shared" si="88"/>
        <v>0</v>
      </c>
      <c r="CP111" s="491">
        <f t="shared" si="89"/>
        <v>0</v>
      </c>
      <c r="CS111" s="496">
        <f t="shared" si="90"/>
        <v>0</v>
      </c>
      <c r="CT111" s="496">
        <f t="shared" si="91"/>
        <v>0</v>
      </c>
      <c r="CU111" s="497" t="str">
        <f t="shared" si="92"/>
        <v>00</v>
      </c>
    </row>
    <row r="112" spans="1:99" ht="15" hidden="1" customHeight="1">
      <c r="A112" s="951">
        <v>109</v>
      </c>
      <c r="B112" s="953"/>
      <c r="C112" s="922"/>
      <c r="D112" s="923"/>
      <c r="E112" s="913"/>
      <c r="F112" s="914"/>
      <c r="G112" s="926"/>
      <c r="H112" s="921"/>
      <c r="I112" s="917"/>
      <c r="J112" s="916"/>
      <c r="K112" s="1012"/>
      <c r="L112" s="1012"/>
      <c r="M112" s="1013"/>
      <c r="N112" s="1028" t="str">
        <f t="shared" si="52"/>
        <v>00</v>
      </c>
      <c r="O112" s="406" t="str">
        <f t="shared" si="93"/>
        <v/>
      </c>
      <c r="P112" s="407" t="str">
        <f>IF(O112="","",VLOOKUP(O112,所属コード!$A$2:$E$11,2,FALSE))</f>
        <v/>
      </c>
      <c r="Q112" s="1033" t="str">
        <f>IF(O112="","",VLOOKUP(O112,所属コード!$A$2:$G$11,7,FALSE))</f>
        <v/>
      </c>
      <c r="R112" s="1035"/>
      <c r="S112" s="77"/>
      <c r="T112" s="77"/>
      <c r="U112" s="77"/>
      <c r="V112" s="15"/>
      <c r="X112" s="488"/>
      <c r="Y112" s="945" t="str">
        <f t="shared" si="53"/>
        <v/>
      </c>
      <c r="Z112" s="489" t="str">
        <f t="shared" si="54"/>
        <v/>
      </c>
      <c r="AA112" s="488"/>
      <c r="AB112" s="488"/>
      <c r="AC112" s="488"/>
      <c r="AD112" s="488"/>
      <c r="AE112" s="488"/>
      <c r="AF112" s="488"/>
      <c r="AG112" s="491"/>
      <c r="AH112" s="591"/>
      <c r="AI112" s="592"/>
      <c r="AJ112" s="592"/>
      <c r="AK112" s="592"/>
      <c r="AL112" s="592"/>
      <c r="AM112" s="592"/>
      <c r="AN112" s="592"/>
      <c r="AO112" s="592"/>
      <c r="AP112" s="592"/>
      <c r="AQ112" s="592"/>
      <c r="AR112" s="592"/>
      <c r="AS112" s="592"/>
      <c r="AT112" s="592"/>
      <c r="AU112" s="592"/>
      <c r="AV112" s="592"/>
      <c r="AW112" s="604"/>
      <c r="AX112" s="609">
        <f t="shared" si="55"/>
        <v>0</v>
      </c>
      <c r="AY112" s="602">
        <f t="shared" si="48"/>
        <v>0</v>
      </c>
      <c r="AZ112" s="593">
        <f t="shared" si="49"/>
        <v>0</v>
      </c>
      <c r="BA112" s="594">
        <f t="shared" si="94"/>
        <v>0</v>
      </c>
      <c r="BB112" s="593">
        <f t="shared" si="94"/>
        <v>0</v>
      </c>
      <c r="BC112" s="593">
        <f t="shared" si="56"/>
        <v>0</v>
      </c>
      <c r="BD112" s="593">
        <f t="shared" si="57"/>
        <v>0</v>
      </c>
      <c r="BE112" s="593">
        <f t="shared" si="58"/>
        <v>0</v>
      </c>
      <c r="BF112" s="593">
        <f t="shared" si="59"/>
        <v>0</v>
      </c>
      <c r="BG112" s="593">
        <f t="shared" si="60"/>
        <v>0</v>
      </c>
      <c r="BH112" s="593">
        <f t="shared" si="61"/>
        <v>0</v>
      </c>
      <c r="BI112" s="593">
        <f t="shared" si="61"/>
        <v>0</v>
      </c>
      <c r="BJ112" s="593">
        <f t="shared" si="62"/>
        <v>0</v>
      </c>
      <c r="BK112" s="593">
        <f t="shared" si="62"/>
        <v>0</v>
      </c>
      <c r="BL112" s="593">
        <f t="shared" si="63"/>
        <v>0</v>
      </c>
      <c r="BM112" s="593">
        <f t="shared" si="64"/>
        <v>0</v>
      </c>
      <c r="BN112" s="593">
        <f t="shared" si="64"/>
        <v>0</v>
      </c>
      <c r="BO112" s="593">
        <f t="shared" si="64"/>
        <v>0</v>
      </c>
      <c r="BP112" s="593">
        <f t="shared" si="65"/>
        <v>0</v>
      </c>
      <c r="BQ112" s="593">
        <f t="shared" si="66"/>
        <v>0</v>
      </c>
      <c r="BR112" s="593">
        <f t="shared" si="67"/>
        <v>0</v>
      </c>
      <c r="BS112" s="593">
        <f t="shared" si="68"/>
        <v>0</v>
      </c>
      <c r="BT112" s="593">
        <f t="shared" si="69"/>
        <v>0</v>
      </c>
      <c r="BU112" s="593">
        <f t="shared" si="70"/>
        <v>0</v>
      </c>
      <c r="BV112" s="593">
        <f t="shared" si="71"/>
        <v>0</v>
      </c>
      <c r="BW112" s="593">
        <f t="shared" si="72"/>
        <v>0</v>
      </c>
      <c r="BX112" s="593">
        <f t="shared" si="73"/>
        <v>0</v>
      </c>
      <c r="BY112" s="593">
        <f t="shared" si="74"/>
        <v>0</v>
      </c>
      <c r="BZ112" s="593">
        <f t="shared" si="75"/>
        <v>0</v>
      </c>
      <c r="CA112" s="593">
        <f t="shared" si="76"/>
        <v>0</v>
      </c>
      <c r="CB112" s="593">
        <f t="shared" si="77"/>
        <v>0</v>
      </c>
      <c r="CC112" s="593">
        <f t="shared" si="78"/>
        <v>0</v>
      </c>
      <c r="CD112" s="593">
        <f t="shared" si="79"/>
        <v>0</v>
      </c>
      <c r="CE112" s="593">
        <f t="shared" si="79"/>
        <v>0</v>
      </c>
      <c r="CF112" s="595">
        <f t="shared" si="80"/>
        <v>0</v>
      </c>
      <c r="CG112" s="555" t="str">
        <f t="shared" si="81"/>
        <v/>
      </c>
      <c r="CH112" s="530" t="str">
        <f t="shared" si="82"/>
        <v/>
      </c>
      <c r="CI112" s="530" t="str">
        <f t="shared" si="83"/>
        <v/>
      </c>
      <c r="CJ112" s="530" t="str">
        <f t="shared" si="84"/>
        <v/>
      </c>
      <c r="CK112" s="530" t="str">
        <f t="shared" si="85"/>
        <v/>
      </c>
      <c r="CL112" s="530" t="str">
        <f t="shared" si="86"/>
        <v/>
      </c>
      <c r="CM112" s="82" t="str">
        <f t="shared" si="87"/>
        <v/>
      </c>
      <c r="CN112" s="496" t="str">
        <f t="shared" si="51"/>
        <v/>
      </c>
      <c r="CO112" s="496" t="str">
        <f t="shared" si="88"/>
        <v>0</v>
      </c>
      <c r="CP112" s="491">
        <f t="shared" si="89"/>
        <v>0</v>
      </c>
      <c r="CS112" s="496">
        <f t="shared" si="90"/>
        <v>0</v>
      </c>
      <c r="CT112" s="496">
        <f t="shared" si="91"/>
        <v>0</v>
      </c>
      <c r="CU112" s="497" t="str">
        <f t="shared" si="92"/>
        <v>00</v>
      </c>
    </row>
    <row r="113" spans="1:99" ht="15" hidden="1" customHeight="1" thickBot="1">
      <c r="A113" s="952">
        <v>110</v>
      </c>
      <c r="B113" s="954"/>
      <c r="C113" s="955"/>
      <c r="D113" s="956"/>
      <c r="E113" s="957"/>
      <c r="F113" s="958"/>
      <c r="G113" s="959"/>
      <c r="H113" s="960"/>
      <c r="I113" s="961"/>
      <c r="J113" s="962"/>
      <c r="K113" s="1014"/>
      <c r="L113" s="1014"/>
      <c r="M113" s="1015"/>
      <c r="N113" s="1029" t="str">
        <f t="shared" si="52"/>
        <v>00</v>
      </c>
      <c r="O113" s="408" t="str">
        <f t="shared" si="93"/>
        <v/>
      </c>
      <c r="P113" s="409" t="str">
        <f>IF(O113="","",VLOOKUP(O113,所属コード!$A$2:$E$11,2,FALSE))</f>
        <v/>
      </c>
      <c r="Q113" s="1034" t="str">
        <f>IF(O113="","",VLOOKUP(O113,所属コード!$A$2:$G$11,7,FALSE))</f>
        <v/>
      </c>
      <c r="R113" s="1035"/>
      <c r="S113" s="77"/>
      <c r="T113" s="77"/>
      <c r="U113" s="77"/>
      <c r="V113" s="15"/>
      <c r="X113" s="488"/>
      <c r="Y113" s="945" t="str">
        <f t="shared" si="53"/>
        <v/>
      </c>
      <c r="Z113" s="489" t="str">
        <f t="shared" si="54"/>
        <v/>
      </c>
      <c r="AA113" s="488"/>
      <c r="AB113" s="488"/>
      <c r="AC113" s="488"/>
      <c r="AD113" s="488"/>
      <c r="AE113" s="488"/>
      <c r="AF113" s="488"/>
      <c r="AG113" s="491"/>
      <c r="AH113" s="596"/>
      <c r="AI113" s="597"/>
      <c r="AJ113" s="597"/>
      <c r="AK113" s="597"/>
      <c r="AL113" s="597"/>
      <c r="AM113" s="597"/>
      <c r="AN113" s="597"/>
      <c r="AO113" s="597"/>
      <c r="AP113" s="597"/>
      <c r="AQ113" s="597"/>
      <c r="AR113" s="597"/>
      <c r="AS113" s="597"/>
      <c r="AT113" s="597"/>
      <c r="AU113" s="597"/>
      <c r="AV113" s="597"/>
      <c r="AW113" s="605"/>
      <c r="AX113" s="610">
        <f t="shared" si="55"/>
        <v>0</v>
      </c>
      <c r="AY113" s="603">
        <f t="shared" si="48"/>
        <v>0</v>
      </c>
      <c r="AZ113" s="598">
        <f t="shared" si="49"/>
        <v>0</v>
      </c>
      <c r="BA113" s="599">
        <f t="shared" si="94"/>
        <v>0</v>
      </c>
      <c r="BB113" s="598">
        <f t="shared" si="94"/>
        <v>0</v>
      </c>
      <c r="BC113" s="598">
        <f t="shared" si="56"/>
        <v>0</v>
      </c>
      <c r="BD113" s="598">
        <f t="shared" si="57"/>
        <v>0</v>
      </c>
      <c r="BE113" s="598">
        <f t="shared" si="58"/>
        <v>0</v>
      </c>
      <c r="BF113" s="598">
        <f t="shared" si="59"/>
        <v>0</v>
      </c>
      <c r="BG113" s="598">
        <f t="shared" si="60"/>
        <v>0</v>
      </c>
      <c r="BH113" s="598">
        <f t="shared" si="61"/>
        <v>0</v>
      </c>
      <c r="BI113" s="598">
        <f t="shared" si="61"/>
        <v>0</v>
      </c>
      <c r="BJ113" s="598">
        <f t="shared" si="62"/>
        <v>0</v>
      </c>
      <c r="BK113" s="598">
        <f t="shared" si="62"/>
        <v>0</v>
      </c>
      <c r="BL113" s="598">
        <f t="shared" si="63"/>
        <v>0</v>
      </c>
      <c r="BM113" s="598">
        <f t="shared" si="64"/>
        <v>0</v>
      </c>
      <c r="BN113" s="598">
        <f t="shared" si="64"/>
        <v>0</v>
      </c>
      <c r="BO113" s="598">
        <f t="shared" si="64"/>
        <v>0</v>
      </c>
      <c r="BP113" s="598">
        <f t="shared" si="65"/>
        <v>0</v>
      </c>
      <c r="BQ113" s="598">
        <f t="shared" si="66"/>
        <v>0</v>
      </c>
      <c r="BR113" s="598">
        <f t="shared" si="67"/>
        <v>0</v>
      </c>
      <c r="BS113" s="598">
        <f t="shared" si="68"/>
        <v>0</v>
      </c>
      <c r="BT113" s="598">
        <f t="shared" si="69"/>
        <v>0</v>
      </c>
      <c r="BU113" s="598">
        <f t="shared" si="70"/>
        <v>0</v>
      </c>
      <c r="BV113" s="598">
        <f t="shared" si="71"/>
        <v>0</v>
      </c>
      <c r="BW113" s="598">
        <f t="shared" si="72"/>
        <v>0</v>
      </c>
      <c r="BX113" s="598">
        <f t="shared" si="73"/>
        <v>0</v>
      </c>
      <c r="BY113" s="598">
        <f t="shared" si="74"/>
        <v>0</v>
      </c>
      <c r="BZ113" s="598">
        <f t="shared" si="75"/>
        <v>0</v>
      </c>
      <c r="CA113" s="598">
        <f t="shared" si="76"/>
        <v>0</v>
      </c>
      <c r="CB113" s="598">
        <f t="shared" si="77"/>
        <v>0</v>
      </c>
      <c r="CC113" s="598">
        <f t="shared" si="78"/>
        <v>0</v>
      </c>
      <c r="CD113" s="598">
        <f t="shared" si="79"/>
        <v>0</v>
      </c>
      <c r="CE113" s="598">
        <f t="shared" si="79"/>
        <v>0</v>
      </c>
      <c r="CF113" s="600">
        <f t="shared" si="80"/>
        <v>0</v>
      </c>
      <c r="CG113" s="555" t="str">
        <f t="shared" si="81"/>
        <v/>
      </c>
      <c r="CH113" s="530" t="str">
        <f t="shared" si="82"/>
        <v/>
      </c>
      <c r="CI113" s="530" t="str">
        <f t="shared" si="83"/>
        <v/>
      </c>
      <c r="CJ113" s="530" t="str">
        <f t="shared" si="84"/>
        <v/>
      </c>
      <c r="CK113" s="530" t="str">
        <f t="shared" si="85"/>
        <v/>
      </c>
      <c r="CL113" s="530" t="str">
        <f t="shared" si="86"/>
        <v/>
      </c>
      <c r="CM113" s="82" t="str">
        <f t="shared" si="87"/>
        <v/>
      </c>
      <c r="CN113" s="496" t="str">
        <f t="shared" si="51"/>
        <v/>
      </c>
      <c r="CO113" s="496" t="str">
        <f t="shared" si="88"/>
        <v>0</v>
      </c>
      <c r="CP113" s="491">
        <f t="shared" si="89"/>
        <v>0</v>
      </c>
      <c r="CS113" s="496">
        <f t="shared" si="90"/>
        <v>0</v>
      </c>
      <c r="CT113" s="496">
        <f t="shared" si="91"/>
        <v>0</v>
      </c>
      <c r="CU113" s="497" t="str">
        <f t="shared" si="92"/>
        <v>00</v>
      </c>
    </row>
    <row r="114" spans="1:99" ht="15" customHeight="1">
      <c r="V114" s="498"/>
      <c r="X114" s="486"/>
      <c r="Y114" s="486"/>
      <c r="Z114" s="499"/>
      <c r="AA114" s="486"/>
      <c r="AB114" s="486"/>
      <c r="AC114" s="486"/>
      <c r="AD114" s="486"/>
      <c r="AE114" s="486"/>
      <c r="AF114" s="486"/>
      <c r="AG114" s="486"/>
      <c r="AH114" s="486"/>
      <c r="AI114" s="486"/>
      <c r="AJ114" s="486"/>
      <c r="AK114" s="486"/>
      <c r="AL114" s="486"/>
      <c r="AM114" s="486"/>
      <c r="AN114" s="486"/>
      <c r="AO114" s="486"/>
      <c r="AP114" s="486"/>
      <c r="AQ114" s="486"/>
      <c r="AR114" s="486"/>
      <c r="AS114" s="486"/>
      <c r="AT114" s="486"/>
      <c r="AU114" s="486"/>
      <c r="AV114" s="486"/>
      <c r="AW114" s="486"/>
      <c r="AX114" s="486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  <c r="CF114" s="550"/>
      <c r="CG114" s="486"/>
      <c r="CH114" s="530" t="str">
        <f>IF(AJ114="","",LEN(AJ114))</f>
        <v/>
      </c>
      <c r="CI114" s="530" t="str">
        <f>IF(AJ114="","",FIND("　",AJ114,1))</f>
        <v/>
      </c>
      <c r="CJ114" s="530" t="str">
        <f>IF(AJ114="","",CH114-CI114)</f>
        <v/>
      </c>
      <c r="CK114" s="530" t="str">
        <f>IF(AJ114="","",LEFT(AJ114,CI114-1))</f>
        <v/>
      </c>
      <c r="CL114" s="530" t="str">
        <f>IF(AJ114="","",RIGHT(AJ114,CJ114))</f>
        <v/>
      </c>
      <c r="CM114" s="82" t="str">
        <f>IF(AJ114="","",IF(CH114=4,CONCATENATE(CK114,"　","　",CL114),IF(CH114=6,CONCATENATE(CK114,CL114),AJ114)))</f>
        <v/>
      </c>
      <c r="CN114" s="486"/>
    </row>
    <row r="115" spans="1:99" ht="15" customHeight="1">
      <c r="P115" s="500"/>
      <c r="V115" s="498"/>
      <c r="Z115" s="501"/>
      <c r="CH115" s="530" t="str">
        <f>IF(AJ115="","",LEN(AJ115))</f>
        <v/>
      </c>
      <c r="CI115" s="530" t="str">
        <f>IF(AJ115="","",FIND("　",AJ115,1))</f>
        <v/>
      </c>
      <c r="CJ115" s="530" t="str">
        <f>IF(AJ115="","",CH115-CI115)</f>
        <v/>
      </c>
      <c r="CK115" s="530" t="str">
        <f>IF(AJ115="","",LEFT(AJ115,CI115-1))</f>
        <v/>
      </c>
      <c r="CL115" s="530" t="str">
        <f>IF(AJ115="","",RIGHT(AJ115,CJ115))</f>
        <v/>
      </c>
      <c r="CM115" s="82" t="str">
        <f>IF(AJ115="","",IF(CH115=4,CONCATENATE(CK115,"　","　",CL115),IF(CH115=6,CONCATENATE(CK115,CL115),AJ115)))</f>
        <v/>
      </c>
    </row>
    <row r="116" spans="1:99" ht="15" customHeight="1">
      <c r="V116" s="498"/>
      <c r="Z116" s="501"/>
      <c r="CH116" s="530" t="str">
        <f>IF(AJ116="","",LEN(AJ116))</f>
        <v/>
      </c>
      <c r="CI116" s="530" t="str">
        <f>IF(AJ116="","",FIND("　",AJ116,1))</f>
        <v/>
      </c>
      <c r="CJ116" s="530" t="str">
        <f>IF(AJ116="","",CH116-CI116)</f>
        <v/>
      </c>
      <c r="CK116" s="530" t="str">
        <f>IF(AJ116="","",LEFT(AJ116,CI116-1))</f>
        <v/>
      </c>
      <c r="CL116" s="530" t="str">
        <f>IF(AJ116="","",RIGHT(AJ116,CJ116))</f>
        <v/>
      </c>
      <c r="CM116" s="82" t="str">
        <f>IF(AJ116="","",IF(CH116=4,CONCATENATE(CK116,"　","　",CL116),IF(CH116=6,CONCATENATE(CK116,CL116),AJ116)))</f>
        <v/>
      </c>
    </row>
    <row r="117" spans="1:99" ht="15" customHeight="1">
      <c r="V117" s="498"/>
      <c r="Z117" s="501"/>
      <c r="CH117" s="530" t="str">
        <f>IF(AJ117="","",LEN(AJ117))</f>
        <v/>
      </c>
      <c r="CI117" s="530" t="str">
        <f>IF(AJ117="","",FIND("　",AJ117,1))</f>
        <v/>
      </c>
      <c r="CJ117" s="530" t="str">
        <f>IF(AJ117="","",CH117-CI117)</f>
        <v/>
      </c>
      <c r="CK117" s="530" t="str">
        <f>IF(AJ117="","",LEFT(AJ117,CI117-1))</f>
        <v/>
      </c>
      <c r="CL117" s="530" t="str">
        <f>IF(AJ117="","",RIGHT(AJ117,CJ117))</f>
        <v/>
      </c>
      <c r="CM117" s="82" t="str">
        <f>IF(AJ117="","",IF(CH117=4,CONCATENATE(CK117,"　","　",CL117),IF(CH117=6,CONCATENATE(CK117,CL117),AJ117)))</f>
        <v/>
      </c>
    </row>
    <row r="118" spans="1:99" ht="15" customHeight="1">
      <c r="V118" s="498"/>
      <c r="Z118" s="501"/>
      <c r="CH118" s="530" t="str">
        <f>IF(AJ118="","",LEN(AJ118))</f>
        <v/>
      </c>
      <c r="CI118" s="530" t="str">
        <f>IF(AJ118="","",FIND("　",AJ118,1))</f>
        <v/>
      </c>
      <c r="CJ118" s="530" t="str">
        <f>IF(AJ118="","",CH118-CI118)</f>
        <v/>
      </c>
      <c r="CK118" s="530" t="str">
        <f>IF(AJ118="","",LEFT(AJ118,CI118-1))</f>
        <v/>
      </c>
      <c r="CL118" s="530" t="str">
        <f>IF(AJ118="","",RIGHT(AJ118,CJ118))</f>
        <v/>
      </c>
      <c r="CM118" s="82" t="str">
        <f>IF(AJ118="","",IF(CH118=4,CONCATENATE(CK118,"　","　",CL118),IF(CH118=6,CONCATENATE(CK118,CL118),AJ118)))</f>
        <v/>
      </c>
    </row>
    <row r="119" spans="1:99" ht="15" customHeight="1">
      <c r="V119" s="498"/>
      <c r="Z119" s="501"/>
    </row>
    <row r="120" spans="1:99" ht="15" customHeight="1">
      <c r="V120" s="498"/>
      <c r="Z120" s="501"/>
    </row>
    <row r="121" spans="1:99" ht="15" customHeight="1">
      <c r="V121" s="15"/>
      <c r="Z121" s="501"/>
    </row>
    <row r="122" spans="1:99" ht="15" customHeight="1">
      <c r="V122" s="15"/>
    </row>
    <row r="123" spans="1:99" ht="15" customHeight="1">
      <c r="V123" s="15"/>
    </row>
    <row r="124" spans="1:99" ht="15" customHeight="1">
      <c r="V124" s="15"/>
    </row>
    <row r="125" spans="1:99" ht="15" customHeight="1">
      <c r="V125" s="15"/>
    </row>
    <row r="126" spans="1:99" ht="15" customHeight="1">
      <c r="V126" s="15"/>
    </row>
    <row r="127" spans="1:99" ht="15" customHeight="1">
      <c r="V127" s="15"/>
    </row>
    <row r="128" spans="1:99" ht="15" customHeight="1">
      <c r="V128" s="15"/>
    </row>
    <row r="129" spans="22:22" ht="15" customHeight="1">
      <c r="V129" s="15"/>
    </row>
    <row r="130" spans="22:22" ht="15" customHeight="1">
      <c r="V130" s="15"/>
    </row>
  </sheetData>
  <sheetProtection sheet="1" objects="1" scenarios="1"/>
  <mergeCells count="10">
    <mergeCell ref="R2:T2"/>
    <mergeCell ref="A1:C1"/>
    <mergeCell ref="D1:E1"/>
    <mergeCell ref="I1:L1"/>
    <mergeCell ref="C2:C3"/>
    <mergeCell ref="D2:E2"/>
    <mergeCell ref="F2:F3"/>
    <mergeCell ref="I2:I3"/>
    <mergeCell ref="J2:J3"/>
    <mergeCell ref="K2:M2"/>
  </mergeCells>
  <phoneticPr fontId="5"/>
  <conditionalFormatting sqref="N4:N113">
    <cfRule type="expression" dxfId="619" priority="2" stopIfTrue="1">
      <formula>L4="女"</formula>
    </cfRule>
  </conditionalFormatting>
  <conditionalFormatting sqref="G4:G113">
    <cfRule type="expression" dxfId="618" priority="1" stopIfTrue="1">
      <formula>J4="女"</formula>
    </cfRule>
  </conditionalFormatting>
  <dataValidations count="17">
    <dataValidation type="list" imeMode="hiragana" allowBlank="1" sqref="G1">
      <formula1>$CQ$4:$CQ$11</formula1>
    </dataValidation>
    <dataValidation imeMode="hiragana" allowBlank="1" showInputMessage="1" promptTitle="氏名の入力" prompt="姓と名の間は全角スペースを入力してください_x000a_例：　高橋　尚子" sqref="G4:G113"/>
    <dataValidation type="list" imeMode="hiragana" allowBlank="1" showInputMessage="1" errorTitle="不正な値" error="不正な値が入力されました" promptTitle="登録の種類" prompt="登録の種類には　継続　新規　追加　のいずれかを入力してください" sqref="F4:F113">
      <formula1>"継続,新規"</formula1>
    </dataValidation>
    <dataValidation imeMode="fullKatakana" allowBlank="1" showInputMessage="1" promptTitle="フリガナ" prompt="全角カタカナで入力して姓と名の間は全角1文字スペースを入力してください_x000a_例：タカハシ　ナオコ" sqref="H4:H113"/>
    <dataValidation imeMode="disabled" allowBlank="1" showInputMessage="1" showErrorMessage="1" prompt="1分**秒で入力して下さい_x000a_54秒00⇒0.54.00_x000a_" sqref="AJ4:AJ113"/>
    <dataValidation imeMode="disabled" allowBlank="1" showErrorMessage="1" sqref="N1"/>
    <dataValidation imeMode="hiragana" allowBlank="1" showInputMessage="1" showErrorMessage="1" sqref="J4:J113 F1"/>
    <dataValidation errorStyle="warning" allowBlank="1" showErrorMessage="1" error="所属がない場合は直接入力して下さい_x000a_学校番号はエラーが出ますが無視して下さい" prompt="セレクトより選んで下さい_x000a_後は選手名を入力すれば記入されます" sqref="O4"/>
    <dataValidation type="list" allowBlank="1" showInputMessage="1" showErrorMessage="1" sqref="O3">
      <formula1>$V$3:$V$104</formula1>
    </dataValidation>
    <dataValidation allowBlank="1" showErrorMessage="1" sqref="I115:I65536"/>
    <dataValidation imeMode="hiragana" allowBlank="1" sqref="Q1:Q1048576"/>
    <dataValidation imeMode="disabled" allowBlank="1" sqref="R4:U113 P4:P113"/>
    <dataValidation errorStyle="warning" allowBlank="1" showErrorMessage="1" error="所属がない場合は直接入力して下さい_x000a_学校番号はエラーが出ますが無視して下さい" prompt="セレクトより選んで下さい_x000a_後はセルをコピーして下さい" sqref="O5:O113"/>
    <dataValidation imeMode="disabled" allowBlank="1" showInputMessage="1" showErrorMessage="1" prompt="トラックはドットで、フィールドはmで区切って下さい。" sqref="AK4:AW113 AH4:AI113"/>
    <dataValidation imeMode="disabled" allowBlank="1" showInputMessage="1" showErrorMessage="1" sqref="X4:AG113 N3:N113 I4:I114 E4:E113 O1:P1 K4:M113 AX4:CF113"/>
    <dataValidation imeMode="disabled" allowBlank="1" showInputMessage="1" sqref="I1:L1"/>
    <dataValidation imeMode="hiragana" allowBlank="1" showInputMessage="1" sqref="D1:E1"/>
  </dataValidations>
  <printOptions horizontalCentered="1"/>
  <pageMargins left="0.78740157480314965" right="0.59055118110236227" top="0.78740157480314965" bottom="0.78740157480314965" header="0.51181102362204722" footer="0.51181102362204722"/>
  <pageSetup paperSize="9" orientation="portrait" horizontalDpi="4294967292" verticalDpi="300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A1:CW130"/>
  <sheetViews>
    <sheetView showGridLines="0" showZeros="0" zoomScale="90" workbookViewId="0">
      <selection activeCell="DB12" sqref="DB12:DB13"/>
    </sheetView>
  </sheetViews>
  <sheetFormatPr defaultRowHeight="15" customHeight="1"/>
  <cols>
    <col min="1" max="1" width="4.125" style="14" bestFit="1" customWidth="1"/>
    <col min="2" max="2" width="9.75" style="14" bestFit="1" customWidth="1"/>
    <col min="3" max="3" width="9" style="14"/>
    <col min="4" max="4" width="10.75" style="14" bestFit="1" customWidth="1"/>
    <col min="5" max="5" width="8.75" style="12" bestFit="1" customWidth="1"/>
    <col min="6" max="6" width="8.75" style="12" customWidth="1"/>
    <col min="7" max="7" width="14.125" style="4" customWidth="1"/>
    <col min="8" max="8" width="18.75" style="4" customWidth="1"/>
    <col min="9" max="9" width="5" style="75" bestFit="1" customWidth="1"/>
    <col min="10" max="10" width="5" style="13" bestFit="1" customWidth="1"/>
    <col min="11" max="11" width="5" style="971" customWidth="1"/>
    <col min="12" max="12" width="3.625" style="971" bestFit="1" customWidth="1"/>
    <col min="13" max="13" width="3.625" style="971" customWidth="1"/>
    <col min="14" max="14" width="4.125" style="13" hidden="1" customWidth="1"/>
    <col min="15" max="15" width="8.5" style="4" hidden="1" customWidth="1"/>
    <col min="16" max="16" width="8.375" style="76" hidden="1" customWidth="1"/>
    <col min="17" max="17" width="11.875" style="77" hidden="1" customWidth="1"/>
    <col min="18" max="18" width="5" style="1036" hidden="1" customWidth="1"/>
    <col min="19" max="19" width="2.5" style="5" hidden="1" customWidth="1"/>
    <col min="20" max="20" width="3.375" style="5" hidden="1" customWidth="1"/>
    <col min="21" max="21" width="5" style="14" hidden="1" customWidth="1"/>
    <col min="22" max="22" width="9.625" style="81" hidden="1" customWidth="1"/>
    <col min="23" max="23" width="7.125" style="14" hidden="1" customWidth="1"/>
    <col min="24" max="24" width="9.625" style="14" hidden="1" customWidth="1"/>
    <col min="25" max="25" width="10.375" style="14" hidden="1" customWidth="1"/>
    <col min="26" max="26" width="8.75" style="10" hidden="1" customWidth="1"/>
    <col min="27" max="27" width="3.375" style="14" hidden="1" customWidth="1"/>
    <col min="28" max="28" width="7.5" style="14" hidden="1" customWidth="1"/>
    <col min="29" max="29" width="8.375" style="14" hidden="1" customWidth="1"/>
    <col min="30" max="30" width="11.125" style="14" hidden="1" customWidth="1"/>
    <col min="31" max="31" width="11" style="14" hidden="1" customWidth="1"/>
    <col min="32" max="32" width="9.875" style="14" hidden="1" customWidth="1"/>
    <col min="33" max="33" width="3.375" style="14" hidden="1" customWidth="1"/>
    <col min="34" max="34" width="5.75" style="14" customWidth="1"/>
    <col min="35" max="36" width="5.875" style="14" bestFit="1" customWidth="1"/>
    <col min="37" max="39" width="7.5" style="14" bestFit="1" customWidth="1"/>
    <col min="40" max="40" width="7.5" style="14" customWidth="1"/>
    <col min="41" max="41" width="5.875" style="14" customWidth="1"/>
    <col min="42" max="42" width="5.75" style="14" customWidth="1"/>
    <col min="43" max="44" width="6.25" style="14" bestFit="1" customWidth="1"/>
    <col min="45" max="48" width="6.25" style="14" customWidth="1"/>
    <col min="49" max="49" width="7" style="14" customWidth="1"/>
    <col min="50" max="50" width="10" style="14" hidden="1" customWidth="1"/>
    <col min="51" max="51" width="5.875" style="548" hidden="1" customWidth="1"/>
    <col min="52" max="53" width="10" style="548" hidden="1" customWidth="1"/>
    <col min="54" max="54" width="5.875" style="548" hidden="1" customWidth="1"/>
    <col min="55" max="55" width="6.625" style="548" hidden="1" customWidth="1"/>
    <col min="56" max="56" width="7.5" style="548" hidden="1" customWidth="1"/>
    <col min="57" max="57" width="6.625" style="548" hidden="1" customWidth="1"/>
    <col min="58" max="58" width="7.5" style="548" hidden="1" customWidth="1"/>
    <col min="59" max="59" width="6.625" style="548" hidden="1" customWidth="1"/>
    <col min="60" max="60" width="5.875" style="548" hidden="1" customWidth="1"/>
    <col min="61" max="61" width="5.125" style="548" hidden="1" customWidth="1"/>
    <col min="62" max="63" width="6.625" style="548" hidden="1" customWidth="1"/>
    <col min="64" max="66" width="8.375" style="548" hidden="1" customWidth="1"/>
    <col min="67" max="67" width="11" style="548" hidden="1" customWidth="1"/>
    <col min="68" max="68" width="6.625" style="548" hidden="1" customWidth="1"/>
    <col min="69" max="69" width="5.875" style="548" hidden="1" customWidth="1"/>
    <col min="70" max="71" width="6.625" style="548" hidden="1" customWidth="1"/>
    <col min="72" max="72" width="8.375" style="548" hidden="1" customWidth="1"/>
    <col min="73" max="73" width="6.625" style="548" hidden="1" customWidth="1"/>
    <col min="74" max="74" width="5.875" style="548" hidden="1" customWidth="1"/>
    <col min="75" max="75" width="8.375" style="548" hidden="1" customWidth="1"/>
    <col min="76" max="76" width="5.875" style="548" hidden="1" customWidth="1"/>
    <col min="77" max="78" width="6.625" style="548" hidden="1" customWidth="1"/>
    <col min="79" max="80" width="8.375" style="548" hidden="1" customWidth="1"/>
    <col min="81" max="81" width="11" style="548" hidden="1" customWidth="1"/>
    <col min="82" max="82" width="5.5" style="548" hidden="1" customWidth="1"/>
    <col min="83" max="83" width="11" style="548" hidden="1" customWidth="1"/>
    <col min="84" max="84" width="12.375" style="548" hidden="1" customWidth="1"/>
    <col min="85" max="85" width="5" style="14" hidden="1" customWidth="1"/>
    <col min="86" max="90" width="3.625" style="529" hidden="1" customWidth="1"/>
    <col min="91" max="91" width="8" style="528" hidden="1" customWidth="1"/>
    <col min="92" max="92" width="15.375" style="14" hidden="1" customWidth="1"/>
    <col min="93" max="93" width="2.5" style="497" hidden="1" customWidth="1"/>
    <col min="94" max="94" width="8.375" style="497" hidden="1" customWidth="1"/>
    <col min="95" max="95" width="12" style="906" hidden="1" customWidth="1"/>
    <col min="96" max="96" width="11.25" style="935" hidden="1" customWidth="1"/>
    <col min="97" max="97" width="12.25" style="935" hidden="1" customWidth="1"/>
    <col min="98" max="98" width="15.125" style="14" hidden="1" customWidth="1"/>
    <col min="99" max="100" width="12.375" style="14" hidden="1" customWidth="1"/>
    <col min="101" max="16384" width="9" style="14"/>
  </cols>
  <sheetData>
    <row r="1" spans="1:101" ht="58.5" customHeight="1" thickBot="1">
      <c r="A1" s="1120" t="s">
        <v>208</v>
      </c>
      <c r="B1" s="1121"/>
      <c r="C1" s="1122"/>
      <c r="D1" s="1123">
        <f>前年度登録!D1</f>
        <v>0</v>
      </c>
      <c r="E1" s="1124"/>
      <c r="F1" s="972" t="s">
        <v>498</v>
      </c>
      <c r="G1" s="973"/>
      <c r="H1" s="870" t="s">
        <v>449</v>
      </c>
      <c r="I1" s="1125">
        <f>前年度登録!I1</f>
        <v>0</v>
      </c>
      <c r="J1" s="1140"/>
      <c r="K1" s="1140"/>
      <c r="L1" s="1141"/>
      <c r="M1" s="967"/>
      <c r="N1" s="868"/>
      <c r="O1" s="875"/>
      <c r="P1" s="875"/>
      <c r="Q1" s="869"/>
      <c r="V1" s="872"/>
      <c r="W1" s="871"/>
      <c r="X1" s="871"/>
      <c r="Y1" s="871"/>
      <c r="Z1" s="873"/>
      <c r="AA1" s="871"/>
      <c r="AB1" s="874"/>
      <c r="AC1" s="874"/>
      <c r="AD1" s="871"/>
      <c r="AE1" s="871"/>
      <c r="AF1" s="871"/>
      <c r="AG1" s="402" t="s">
        <v>227</v>
      </c>
      <c r="AH1" s="402"/>
      <c r="AI1" s="402"/>
      <c r="AJ1" s="402"/>
      <c r="AK1" s="402"/>
      <c r="AL1" s="402"/>
      <c r="AM1" s="402"/>
      <c r="AN1" s="871"/>
      <c r="AO1" s="871"/>
      <c r="AP1" s="871"/>
      <c r="AQ1" s="871"/>
      <c r="AR1" s="871"/>
      <c r="AS1" s="871"/>
      <c r="AT1" s="871"/>
      <c r="AU1" s="871"/>
      <c r="AV1" s="871"/>
      <c r="AW1" s="871"/>
      <c r="AX1" s="871"/>
    </row>
    <row r="2" spans="1:101" s="5" customFormat="1" ht="18.75" customHeight="1">
      <c r="A2" s="876"/>
      <c r="B2" s="1089" t="s">
        <v>463</v>
      </c>
      <c r="C2" s="1142" t="s">
        <v>302</v>
      </c>
      <c r="D2" s="1144" t="s">
        <v>464</v>
      </c>
      <c r="E2" s="1144"/>
      <c r="F2" s="1145" t="s">
        <v>465</v>
      </c>
      <c r="G2" s="1090" t="s">
        <v>283</v>
      </c>
      <c r="H2" s="1090" t="s">
        <v>466</v>
      </c>
      <c r="I2" s="1147" t="s">
        <v>37</v>
      </c>
      <c r="J2" s="1149" t="s">
        <v>360</v>
      </c>
      <c r="K2" s="1151" t="s">
        <v>467</v>
      </c>
      <c r="L2" s="1151"/>
      <c r="M2" s="1152"/>
      <c r="N2" s="615"/>
      <c r="O2" s="904" t="s">
        <v>15</v>
      </c>
      <c r="P2" s="905" t="s">
        <v>18</v>
      </c>
      <c r="Q2" s="1030" t="s">
        <v>11</v>
      </c>
      <c r="R2" s="1119"/>
      <c r="S2" s="1119"/>
      <c r="T2" s="1119"/>
      <c r="V2" s="80"/>
      <c r="X2" s="402"/>
      <c r="Y2" s="402"/>
      <c r="Z2" s="402"/>
      <c r="AA2" s="402"/>
      <c r="AB2" s="403"/>
      <c r="AC2" s="403"/>
      <c r="AD2" s="402"/>
      <c r="AE2" s="402"/>
      <c r="AF2" s="402"/>
      <c r="AG2" s="5" t="s">
        <v>228</v>
      </c>
      <c r="AH2" s="503" t="s">
        <v>408</v>
      </c>
      <c r="AI2" s="504"/>
      <c r="AJ2" s="504"/>
      <c r="AK2" s="504"/>
      <c r="AL2" s="504"/>
      <c r="AM2" s="504"/>
      <c r="AN2" s="504"/>
      <c r="AO2" s="504"/>
      <c r="AP2" s="504"/>
      <c r="AQ2" s="504"/>
      <c r="AR2" s="504"/>
      <c r="AS2" s="504"/>
      <c r="AT2" s="504"/>
      <c r="AU2" s="504"/>
      <c r="AV2" s="504"/>
      <c r="AW2" s="1081"/>
      <c r="AX2" s="606" t="s">
        <v>399</v>
      </c>
      <c r="AY2" s="549"/>
      <c r="AZ2" s="549"/>
      <c r="BA2" s="549"/>
      <c r="BB2" s="549"/>
      <c r="BC2" s="551"/>
      <c r="BD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E2" s="551"/>
      <c r="CF2" s="551"/>
      <c r="CH2" s="529"/>
      <c r="CI2" s="529"/>
      <c r="CJ2" s="529"/>
      <c r="CK2" s="529"/>
      <c r="CL2" s="529"/>
      <c r="CM2" s="528"/>
      <c r="CO2" s="888"/>
      <c r="CP2" s="888"/>
      <c r="CQ2" s="906"/>
      <c r="CR2" s="935"/>
      <c r="CS2" s="935"/>
    </row>
    <row r="3" spans="1:101" s="5" customFormat="1" ht="29.25" customHeight="1" thickBot="1">
      <c r="A3" s="1053"/>
      <c r="B3" s="1091" t="s">
        <v>468</v>
      </c>
      <c r="C3" s="1143"/>
      <c r="D3" s="1234" t="s">
        <v>554</v>
      </c>
      <c r="E3" s="1092" t="s">
        <v>469</v>
      </c>
      <c r="F3" s="1146"/>
      <c r="G3" s="1093" t="s">
        <v>470</v>
      </c>
      <c r="H3" s="1094" t="s">
        <v>471</v>
      </c>
      <c r="I3" s="1148"/>
      <c r="J3" s="1150"/>
      <c r="K3" s="1095" t="s">
        <v>472</v>
      </c>
      <c r="L3" s="1096" t="s">
        <v>195</v>
      </c>
      <c r="M3" s="1097" t="s">
        <v>196</v>
      </c>
      <c r="N3" s="616"/>
      <c r="O3" s="574" t="s">
        <v>235</v>
      </c>
      <c r="P3" s="404"/>
      <c r="Q3" s="1031" t="s">
        <v>235</v>
      </c>
      <c r="R3" s="1036"/>
      <c r="V3" s="15"/>
      <c r="X3" s="402"/>
      <c r="Y3" s="402"/>
      <c r="Z3" s="402"/>
      <c r="AA3" s="402"/>
      <c r="AB3" s="403"/>
      <c r="AC3" s="403"/>
      <c r="AD3" s="402"/>
      <c r="AE3" s="402"/>
      <c r="AF3" s="402"/>
      <c r="AH3" s="580">
        <v>100</v>
      </c>
      <c r="AI3" s="581">
        <v>200</v>
      </c>
      <c r="AJ3" s="581">
        <v>400</v>
      </c>
      <c r="AK3" s="582">
        <v>800</v>
      </c>
      <c r="AL3" s="582">
        <v>1500</v>
      </c>
      <c r="AM3" s="582">
        <v>2000</v>
      </c>
      <c r="AN3" s="582">
        <v>3000</v>
      </c>
      <c r="AO3" s="582" t="s">
        <v>362</v>
      </c>
      <c r="AP3" s="582" t="s">
        <v>364</v>
      </c>
      <c r="AQ3" s="582" t="s">
        <v>372</v>
      </c>
      <c r="AR3" s="582" t="s">
        <v>366</v>
      </c>
      <c r="AS3" s="582" t="s">
        <v>367</v>
      </c>
      <c r="AT3" s="582" t="s">
        <v>368</v>
      </c>
      <c r="AU3" s="582" t="s">
        <v>369</v>
      </c>
      <c r="AV3" s="582" t="s">
        <v>370</v>
      </c>
      <c r="AW3" s="1082" t="s">
        <v>371</v>
      </c>
      <c r="AX3" s="607" t="s">
        <v>398</v>
      </c>
      <c r="AY3" s="584" t="s">
        <v>363</v>
      </c>
      <c r="AZ3" s="583" t="s">
        <v>373</v>
      </c>
      <c r="BA3" s="583" t="s">
        <v>374</v>
      </c>
      <c r="BB3" s="583" t="s">
        <v>365</v>
      </c>
      <c r="BC3" s="584" t="s">
        <v>376</v>
      </c>
      <c r="BD3" s="583" t="s">
        <v>377</v>
      </c>
      <c r="BE3" s="583" t="s">
        <v>378</v>
      </c>
      <c r="BF3" s="583" t="s">
        <v>379</v>
      </c>
      <c r="BG3" s="583" t="s">
        <v>380</v>
      </c>
      <c r="BH3" s="583" t="s">
        <v>382</v>
      </c>
      <c r="BI3" s="583" t="s">
        <v>383</v>
      </c>
      <c r="BJ3" s="583" t="s">
        <v>384</v>
      </c>
      <c r="BK3" s="583" t="s">
        <v>385</v>
      </c>
      <c r="BL3" s="583" t="s">
        <v>386</v>
      </c>
      <c r="BM3" s="583" t="s">
        <v>387</v>
      </c>
      <c r="BN3" s="583" t="s">
        <v>388</v>
      </c>
      <c r="BO3" s="583" t="s">
        <v>462</v>
      </c>
      <c r="BP3" s="583" t="s">
        <v>389</v>
      </c>
      <c r="BQ3" s="583" t="s">
        <v>390</v>
      </c>
      <c r="BR3" s="583" t="s">
        <v>391</v>
      </c>
      <c r="BS3" s="583" t="s">
        <v>392</v>
      </c>
      <c r="BT3" s="583" t="s">
        <v>393</v>
      </c>
      <c r="BU3" s="583" t="s">
        <v>394</v>
      </c>
      <c r="BV3" s="583" t="s">
        <v>423</v>
      </c>
      <c r="BW3" s="583" t="s">
        <v>395</v>
      </c>
      <c r="BX3" s="583" t="s">
        <v>381</v>
      </c>
      <c r="BY3" s="583" t="s">
        <v>422</v>
      </c>
      <c r="BZ3" s="583"/>
      <c r="CA3" s="583" t="s">
        <v>396</v>
      </c>
      <c r="CB3" s="583"/>
      <c r="CC3" s="583"/>
      <c r="CD3" s="585" t="s">
        <v>135</v>
      </c>
      <c r="CE3" s="585" t="s">
        <v>407</v>
      </c>
      <c r="CF3" s="575" t="s">
        <v>452</v>
      </c>
      <c r="CG3" s="5" t="s">
        <v>414</v>
      </c>
      <c r="CH3" s="530" t="s">
        <v>401</v>
      </c>
      <c r="CI3" s="530" t="s">
        <v>402</v>
      </c>
      <c r="CJ3" s="530" t="s">
        <v>403</v>
      </c>
      <c r="CK3" s="530" t="s">
        <v>404</v>
      </c>
      <c r="CL3" s="530" t="s">
        <v>403</v>
      </c>
      <c r="CM3" s="82"/>
      <c r="CN3" s="491"/>
      <c r="CO3" s="888"/>
      <c r="CP3" s="888"/>
      <c r="CQ3" s="906"/>
      <c r="CR3" s="935"/>
      <c r="CS3" s="935"/>
    </row>
    <row r="4" spans="1:101" ht="15" customHeight="1">
      <c r="A4" s="1063">
        <v>1</v>
      </c>
      <c r="B4" s="1235"/>
      <c r="C4" s="1065" t="str">
        <f>IF($G$1="","",VLOOKUP($G$1,$CQ:$CR,2,0))</f>
        <v/>
      </c>
      <c r="D4" s="1236"/>
      <c r="E4" s="1237"/>
      <c r="F4" s="1238"/>
      <c r="G4" s="1239"/>
      <c r="H4" s="1240"/>
      <c r="I4" s="1241"/>
      <c r="J4" s="1242"/>
      <c r="K4" s="1243"/>
      <c r="L4" s="1243"/>
      <c r="M4" s="1244"/>
      <c r="N4" s="946"/>
      <c r="O4" s="994">
        <f>G1</f>
        <v>0</v>
      </c>
      <c r="P4" s="405" t="e">
        <f>IF(O4="","",VLOOKUP(O4,所属コード!$A$2:$E$11,2,FALSE))</f>
        <v>#N/A</v>
      </c>
      <c r="Q4" s="1032" t="e">
        <f>IF(O4="","",VLOOKUP(O4,所属コード!$A$2:$G$11,7,FALSE))</f>
        <v>#N/A</v>
      </c>
      <c r="R4" s="1035"/>
      <c r="S4" s="77"/>
      <c r="T4" s="77"/>
      <c r="U4" s="77"/>
      <c r="V4" s="15"/>
      <c r="X4" s="487"/>
      <c r="Y4" s="945" t="str">
        <f>IF(J4="","",IF(J4="男",1,2))</f>
        <v/>
      </c>
      <c r="Z4" s="489" t="str">
        <f>ASC(H4)</f>
        <v/>
      </c>
      <c r="AA4" s="488" t="s">
        <v>227</v>
      </c>
      <c r="AB4" s="490"/>
      <c r="AC4" s="490"/>
      <c r="AD4" s="488"/>
      <c r="AE4" s="488"/>
      <c r="AF4" s="488"/>
      <c r="AG4" s="491"/>
      <c r="AH4" s="586"/>
      <c r="AI4" s="587"/>
      <c r="AJ4" s="587"/>
      <c r="AK4" s="587"/>
      <c r="AL4" s="587"/>
      <c r="AM4" s="587"/>
      <c r="AN4" s="587"/>
      <c r="AO4" s="587"/>
      <c r="AP4" s="587"/>
      <c r="AQ4" s="587"/>
      <c r="AR4" s="587"/>
      <c r="AS4" s="587"/>
      <c r="AT4" s="587"/>
      <c r="AU4" s="587"/>
      <c r="AV4" s="587"/>
      <c r="AW4" s="1083"/>
      <c r="AX4" s="608">
        <f>AQ4</f>
        <v>0</v>
      </c>
      <c r="AY4" s="601">
        <f t="shared" ref="AY4:AY35" si="0">AO4</f>
        <v>0</v>
      </c>
      <c r="AZ4" s="588">
        <f t="shared" ref="AZ4:AZ35" si="1">AO4</f>
        <v>0</v>
      </c>
      <c r="BA4" s="589">
        <f t="shared" ref="BA4:BA35" si="2">AO4</f>
        <v>0</v>
      </c>
      <c r="BB4" s="588">
        <f t="shared" ref="BB4:BB35" si="3">AP4</f>
        <v>0</v>
      </c>
      <c r="BC4" s="588">
        <f>AH4</f>
        <v>0</v>
      </c>
      <c r="BD4" s="588">
        <f>AL4</f>
        <v>0</v>
      </c>
      <c r="BE4" s="588">
        <f>AH4</f>
        <v>0</v>
      </c>
      <c r="BF4" s="588">
        <f>AL4</f>
        <v>0</v>
      </c>
      <c r="BG4" s="588">
        <f>AK4</f>
        <v>0</v>
      </c>
      <c r="BH4" s="588">
        <f>AH4</f>
        <v>0</v>
      </c>
      <c r="BI4" s="588">
        <f>AI4</f>
        <v>0</v>
      </c>
      <c r="BJ4" s="588">
        <f>AN4</f>
        <v>0</v>
      </c>
      <c r="BK4" s="588">
        <f>AO4</f>
        <v>0</v>
      </c>
      <c r="BL4" s="588">
        <f>AQ4</f>
        <v>0</v>
      </c>
      <c r="BM4" s="588">
        <f>AU4</f>
        <v>0</v>
      </c>
      <c r="BN4" s="588">
        <f>AV4</f>
        <v>0</v>
      </c>
      <c r="BO4" s="588">
        <f>AW4</f>
        <v>0</v>
      </c>
      <c r="BP4" s="588">
        <f>AP4</f>
        <v>0</v>
      </c>
      <c r="BQ4" s="588">
        <f>AH4</f>
        <v>0</v>
      </c>
      <c r="BR4" s="588">
        <f>AL4</f>
        <v>0</v>
      </c>
      <c r="BS4" s="588">
        <f>AO4</f>
        <v>0</v>
      </c>
      <c r="BT4" s="588">
        <f>AS4</f>
        <v>0</v>
      </c>
      <c r="BU4" s="588">
        <f>AP4</f>
        <v>0</v>
      </c>
      <c r="BV4" s="588">
        <f>AK4</f>
        <v>0</v>
      </c>
      <c r="BW4" s="588">
        <f>AU4</f>
        <v>0</v>
      </c>
      <c r="BX4" s="588">
        <f>AH4</f>
        <v>0</v>
      </c>
      <c r="BY4" s="588">
        <f>AL4</f>
        <v>0</v>
      </c>
      <c r="BZ4" s="588">
        <f>AP4</f>
        <v>0</v>
      </c>
      <c r="CA4" s="588">
        <f>AS4</f>
        <v>0</v>
      </c>
      <c r="CB4" s="588">
        <f>AU4</f>
        <v>0</v>
      </c>
      <c r="CC4" s="588">
        <f>AN4</f>
        <v>0</v>
      </c>
      <c r="CD4" s="588">
        <f>AM4</f>
        <v>0</v>
      </c>
      <c r="CE4" s="588">
        <f>AN4</f>
        <v>0</v>
      </c>
      <c r="CF4" s="590">
        <f>AU4</f>
        <v>0</v>
      </c>
      <c r="CG4" s="555" t="str">
        <f>TRIM(G4)</f>
        <v/>
      </c>
      <c r="CH4" s="530" t="str">
        <f>IF(CG4="","",LEN(CG4))</f>
        <v/>
      </c>
      <c r="CI4" s="530" t="str">
        <f>IF(CG4="","",FIND("　",CG4,1))</f>
        <v/>
      </c>
      <c r="CJ4" s="530" t="str">
        <f>IF(CG4="","",CH4-CI4)</f>
        <v/>
      </c>
      <c r="CK4" s="530" t="str">
        <f>IF(CG4="","",LEFT(CG4,CI4-1))</f>
        <v/>
      </c>
      <c r="CL4" s="530" t="str">
        <f>IF(CG4="","",RIGHT(CG4,CJ4))</f>
        <v/>
      </c>
      <c r="CM4" s="82" t="str">
        <f>IF(CG4="","",IF(CH4=4,CONCATENATE(CK4,"　","　",CL4),IF(CH4=6,CONCATENATE(CK4,CL4),CG4)))</f>
        <v/>
      </c>
      <c r="CN4" s="496" t="str">
        <f t="shared" ref="CN4:CN35" si="4">IF(I4="3",3,IF(I4="2",2,IF(I4="1",1,IF(I4=1,1,IF(I4=2,2,IF(I4=3,3,""))))))</f>
        <v/>
      </c>
      <c r="CO4" s="496" t="str">
        <f>IF(M4&lt;10,CONCATENATE(0,M4),M4)</f>
        <v>0</v>
      </c>
      <c r="CP4" s="491">
        <f>K4</f>
        <v>0</v>
      </c>
      <c r="CQ4" s="1010" t="s">
        <v>502</v>
      </c>
      <c r="CR4" s="1010">
        <v>239126</v>
      </c>
      <c r="CS4" s="496">
        <f>IF(L4=1,"01",IF(L4=2,"02",IF(L4=3,"03",IF(L4=4,"04",IF(L4=5,"05",IF(L4=6,"06",IF(L4=7,"07",IF(L4=8,"08",IF(L4=9,"09",L4)))))))))</f>
        <v>0</v>
      </c>
      <c r="CT4" s="496">
        <f>IF(M4=1,"01",IF(M4=2,"02",IF(M4=3,"03",IF(M4=4,"04",IF(M4=5,"05",IF(M4=6,"06",IF(M4=7,"07",IF(M4=8,"08",IF(M4=9,"09",M4)))))))))</f>
        <v>0</v>
      </c>
      <c r="CU4" s="497" t="str">
        <f>CONCATENATE(CS4,CT4)</f>
        <v>00</v>
      </c>
      <c r="CV4" s="497"/>
      <c r="CW4" s="497"/>
    </row>
    <row r="5" spans="1:101" ht="15" customHeight="1">
      <c r="A5" s="1073">
        <v>2</v>
      </c>
      <c r="B5" s="1245"/>
      <c r="C5" s="924" t="str">
        <f t="shared" ref="C5:C33" si="5">IF($G$1="","",VLOOKUP($G$1,$CQ:$CR,2,0))</f>
        <v/>
      </c>
      <c r="D5" s="1246"/>
      <c r="E5" s="1247"/>
      <c r="F5" s="1248"/>
      <c r="G5" s="1249"/>
      <c r="H5" s="1250"/>
      <c r="I5" s="1251"/>
      <c r="J5" s="1252"/>
      <c r="K5" s="1253"/>
      <c r="L5" s="1253"/>
      <c r="M5" s="1254"/>
      <c r="N5" s="947"/>
      <c r="O5" s="406" t="str">
        <f>IF(G5="","",$O$4)</f>
        <v/>
      </c>
      <c r="P5" s="407" t="str">
        <f>IF(G5="","",$P$4)</f>
        <v/>
      </c>
      <c r="Q5" s="1033" t="str">
        <f>IF(G5="","",$Q$4)</f>
        <v/>
      </c>
      <c r="R5" s="1035"/>
      <c r="S5" s="77"/>
      <c r="T5" s="77"/>
      <c r="U5" s="77"/>
      <c r="V5" s="15"/>
      <c r="X5" s="492"/>
      <c r="Y5" s="945" t="str">
        <f t="shared" ref="Y5:Y68" si="6">IF(J5="","",IF(J5="男",1,2))</f>
        <v/>
      </c>
      <c r="Z5" s="489" t="str">
        <f t="shared" ref="Z5:Z68" si="7">ASC(H5)</f>
        <v/>
      </c>
      <c r="AA5" s="488" t="s">
        <v>228</v>
      </c>
      <c r="AB5" s="488"/>
      <c r="AC5" s="488"/>
      <c r="AD5" s="488"/>
      <c r="AE5" s="488"/>
      <c r="AF5" s="488"/>
      <c r="AG5" s="491"/>
      <c r="AH5" s="591"/>
      <c r="AI5" s="592"/>
      <c r="AJ5" s="592"/>
      <c r="AK5" s="592"/>
      <c r="AL5" s="592"/>
      <c r="AM5" s="592"/>
      <c r="AN5" s="592"/>
      <c r="AO5" s="592"/>
      <c r="AP5" s="592"/>
      <c r="AQ5" s="592"/>
      <c r="AR5" s="592"/>
      <c r="AS5" s="592"/>
      <c r="AT5" s="592"/>
      <c r="AU5" s="592"/>
      <c r="AV5" s="592"/>
      <c r="AW5" s="1084"/>
      <c r="AX5" s="609">
        <f t="shared" ref="AX5:AX68" si="8">AQ5</f>
        <v>0</v>
      </c>
      <c r="AY5" s="602">
        <f t="shared" si="0"/>
        <v>0</v>
      </c>
      <c r="AZ5" s="593">
        <f t="shared" si="1"/>
        <v>0</v>
      </c>
      <c r="BA5" s="594">
        <f t="shared" si="2"/>
        <v>0</v>
      </c>
      <c r="BB5" s="593">
        <f t="shared" si="3"/>
        <v>0</v>
      </c>
      <c r="BC5" s="593">
        <f t="shared" ref="BC5:BC68" si="9">AH5</f>
        <v>0</v>
      </c>
      <c r="BD5" s="593">
        <f t="shared" ref="BD5:BD68" si="10">AL5</f>
        <v>0</v>
      </c>
      <c r="BE5" s="593">
        <f t="shared" ref="BE5:BE68" si="11">AH5</f>
        <v>0</v>
      </c>
      <c r="BF5" s="593">
        <f t="shared" ref="BF5:BF68" si="12">AL5</f>
        <v>0</v>
      </c>
      <c r="BG5" s="593">
        <f t="shared" ref="BG5:BG68" si="13">AK5</f>
        <v>0</v>
      </c>
      <c r="BH5" s="593">
        <f t="shared" ref="BH5:BH68" si="14">AH5</f>
        <v>0</v>
      </c>
      <c r="BI5" s="593">
        <f t="shared" ref="BI5:BI68" si="15">AI5</f>
        <v>0</v>
      </c>
      <c r="BJ5" s="593">
        <f t="shared" ref="BJ5:BJ68" si="16">AN5</f>
        <v>0</v>
      </c>
      <c r="BK5" s="593">
        <f t="shared" ref="BK5:BK68" si="17">AO5</f>
        <v>0</v>
      </c>
      <c r="BL5" s="593">
        <f t="shared" ref="BL5:BL68" si="18">AQ5</f>
        <v>0</v>
      </c>
      <c r="BM5" s="593">
        <f t="shared" ref="BM5:BM68" si="19">AU5</f>
        <v>0</v>
      </c>
      <c r="BN5" s="593">
        <f t="shared" ref="BN5:BN68" si="20">AV5</f>
        <v>0</v>
      </c>
      <c r="BO5" s="593">
        <f t="shared" ref="BO5:BO68" si="21">AW5</f>
        <v>0</v>
      </c>
      <c r="BP5" s="593">
        <f t="shared" ref="BP5:BP68" si="22">AP5</f>
        <v>0</v>
      </c>
      <c r="BQ5" s="593">
        <f t="shared" ref="BQ5:BQ68" si="23">AH5</f>
        <v>0</v>
      </c>
      <c r="BR5" s="593">
        <f t="shared" ref="BR5:BR68" si="24">AL5</f>
        <v>0</v>
      </c>
      <c r="BS5" s="593">
        <f t="shared" ref="BS5:BS68" si="25">AO5</f>
        <v>0</v>
      </c>
      <c r="BT5" s="593">
        <f t="shared" ref="BT5:BT68" si="26">AS5</f>
        <v>0</v>
      </c>
      <c r="BU5" s="593">
        <f t="shared" ref="BU5:BU68" si="27">AP5</f>
        <v>0</v>
      </c>
      <c r="BV5" s="593">
        <f t="shared" ref="BV5:BV68" si="28">AK5</f>
        <v>0</v>
      </c>
      <c r="BW5" s="593">
        <f t="shared" ref="BW5:BW68" si="29">AU5</f>
        <v>0</v>
      </c>
      <c r="BX5" s="593">
        <f t="shared" ref="BX5:BX68" si="30">AH5</f>
        <v>0</v>
      </c>
      <c r="BY5" s="593">
        <f t="shared" ref="BY5:BY68" si="31">AL5</f>
        <v>0</v>
      </c>
      <c r="BZ5" s="593">
        <f t="shared" ref="BZ5:BZ68" si="32">AP5</f>
        <v>0</v>
      </c>
      <c r="CA5" s="593">
        <f t="shared" ref="CA5:CA68" si="33">AS5</f>
        <v>0</v>
      </c>
      <c r="CB5" s="593">
        <f t="shared" ref="CB5:CB68" si="34">AU5</f>
        <v>0</v>
      </c>
      <c r="CC5" s="593">
        <f t="shared" ref="CC5:CC68" si="35">AN5</f>
        <v>0</v>
      </c>
      <c r="CD5" s="593">
        <f t="shared" ref="CD5:CD68" si="36">AM5</f>
        <v>0</v>
      </c>
      <c r="CE5" s="593">
        <f t="shared" ref="CE5:CE68" si="37">AN5</f>
        <v>0</v>
      </c>
      <c r="CF5" s="595">
        <f t="shared" ref="CF5:CF68" si="38">AU5</f>
        <v>0</v>
      </c>
      <c r="CG5" s="555" t="str">
        <f t="shared" ref="CG5:CG68" si="39">TRIM(G5)</f>
        <v/>
      </c>
      <c r="CH5" s="530" t="str">
        <f t="shared" ref="CH5:CH68" si="40">IF(CG5="","",LEN(CG5))</f>
        <v/>
      </c>
      <c r="CI5" s="530" t="str">
        <f t="shared" ref="CI5:CI68" si="41">IF(CG5="","",FIND("　",CG5,1))</f>
        <v/>
      </c>
      <c r="CJ5" s="530" t="str">
        <f t="shared" ref="CJ5:CJ68" si="42">IF(CG5="","",CH5-CI5)</f>
        <v/>
      </c>
      <c r="CK5" s="530" t="str">
        <f t="shared" ref="CK5:CK68" si="43">IF(CG5="","",LEFT(CG5,CI5-1))</f>
        <v/>
      </c>
      <c r="CL5" s="530" t="str">
        <f t="shared" ref="CL5:CL68" si="44">IF(CG5="","",RIGHT(CG5,CJ5))</f>
        <v/>
      </c>
      <c r="CM5" s="82" t="str">
        <f t="shared" ref="CM5:CM68" si="45">IF(CG5="","",IF(CH5=4,CONCATENATE(CK5,"　","　",CL5),IF(CH5=6,CONCATENATE(CK5,CL5),CG5)))</f>
        <v/>
      </c>
      <c r="CN5" s="496" t="str">
        <f t="shared" si="4"/>
        <v/>
      </c>
      <c r="CO5" s="496" t="str">
        <f t="shared" ref="CO5:CO13" si="46">IF(M5&lt;10,CONCATENATE(0,M5),M5)</f>
        <v>0</v>
      </c>
      <c r="CP5" s="491">
        <f t="shared" ref="CP5:CP68" si="47">K5</f>
        <v>0</v>
      </c>
      <c r="CQ5" s="1010" t="s">
        <v>504</v>
      </c>
      <c r="CR5" s="1010">
        <v>230082</v>
      </c>
      <c r="CS5" s="496">
        <f t="shared" ref="CS5:CS68" si="48">IF(L5=1,"01",IF(L5=2,"02",IF(L5=3,"03",IF(L5=4,"04",IF(L5=5,"05",IF(L5=6,"06",IF(L5=7,"07",IF(L5=8,"08",IF(L5=9,"09",L5)))))))))</f>
        <v>0</v>
      </c>
      <c r="CT5" s="496">
        <f t="shared" ref="CT5:CT68" si="49">IF(M5=1,"01",IF(M5=2,"02",IF(M5=3,"03",IF(M5=4,"04",IF(M5=5,"05",IF(M5=6,"06",IF(M5=7,"07",IF(M5=8,"08",IF(M5=9,"09",M5)))))))))</f>
        <v>0</v>
      </c>
      <c r="CU5" s="497" t="str">
        <f t="shared" ref="CU5:CU68" si="50">CONCATENATE(CS5,CT5)</f>
        <v>00</v>
      </c>
      <c r="CV5" s="497"/>
      <c r="CW5" s="497"/>
    </row>
    <row r="6" spans="1:101" ht="15" customHeight="1">
      <c r="A6" s="1073">
        <v>3</v>
      </c>
      <c r="B6" s="1245"/>
      <c r="C6" s="924" t="str">
        <f t="shared" si="5"/>
        <v/>
      </c>
      <c r="D6" s="1246"/>
      <c r="E6" s="1247"/>
      <c r="F6" s="1248"/>
      <c r="G6" s="1249"/>
      <c r="H6" s="1250"/>
      <c r="I6" s="1251"/>
      <c r="J6" s="1252"/>
      <c r="K6" s="1253"/>
      <c r="L6" s="1253"/>
      <c r="M6" s="1254"/>
      <c r="N6" s="947"/>
      <c r="O6" s="406" t="str">
        <f t="shared" ref="O6:O69" si="51">IF(G6="","",$O$4)</f>
        <v/>
      </c>
      <c r="P6" s="407" t="str">
        <f>IF(O6="","",VLOOKUP(O6,所属コード!$A$2:$E$11,2,FALSE))</f>
        <v/>
      </c>
      <c r="Q6" s="1033" t="str">
        <f>IF(O6="","",VLOOKUP(O6,所属コード!$A$2:$G$11,7,FALSE))</f>
        <v/>
      </c>
      <c r="R6" s="1035"/>
      <c r="S6" s="77"/>
      <c r="T6" s="77"/>
      <c r="U6" s="77"/>
      <c r="V6" s="15"/>
      <c r="X6" s="492"/>
      <c r="Y6" s="945" t="str">
        <f t="shared" si="6"/>
        <v/>
      </c>
      <c r="Z6" s="489" t="str">
        <f t="shared" si="7"/>
        <v/>
      </c>
      <c r="AA6" s="488" t="s">
        <v>492</v>
      </c>
      <c r="AB6" s="488"/>
      <c r="AC6" s="488"/>
      <c r="AD6" s="488"/>
      <c r="AE6" s="488"/>
      <c r="AF6" s="488"/>
      <c r="AG6" s="491"/>
      <c r="AH6" s="591"/>
      <c r="AI6" s="592"/>
      <c r="AJ6" s="592"/>
      <c r="AK6" s="592"/>
      <c r="AL6" s="592"/>
      <c r="AM6" s="592"/>
      <c r="AN6" s="592"/>
      <c r="AO6" s="592"/>
      <c r="AP6" s="592"/>
      <c r="AQ6" s="592"/>
      <c r="AR6" s="592"/>
      <c r="AS6" s="592"/>
      <c r="AT6" s="592"/>
      <c r="AU6" s="592"/>
      <c r="AV6" s="592"/>
      <c r="AW6" s="1084"/>
      <c r="AX6" s="609">
        <f t="shared" si="8"/>
        <v>0</v>
      </c>
      <c r="AY6" s="602">
        <f t="shared" si="0"/>
        <v>0</v>
      </c>
      <c r="AZ6" s="593">
        <f t="shared" si="1"/>
        <v>0</v>
      </c>
      <c r="BA6" s="594">
        <f t="shared" si="2"/>
        <v>0</v>
      </c>
      <c r="BB6" s="593">
        <f t="shared" si="3"/>
        <v>0</v>
      </c>
      <c r="BC6" s="593">
        <f t="shared" si="9"/>
        <v>0</v>
      </c>
      <c r="BD6" s="593">
        <f t="shared" si="10"/>
        <v>0</v>
      </c>
      <c r="BE6" s="593">
        <f t="shared" si="11"/>
        <v>0</v>
      </c>
      <c r="BF6" s="593">
        <f t="shared" si="12"/>
        <v>0</v>
      </c>
      <c r="BG6" s="593">
        <f t="shared" si="13"/>
        <v>0</v>
      </c>
      <c r="BH6" s="593">
        <f t="shared" si="14"/>
        <v>0</v>
      </c>
      <c r="BI6" s="593">
        <f t="shared" si="15"/>
        <v>0</v>
      </c>
      <c r="BJ6" s="593">
        <f t="shared" si="16"/>
        <v>0</v>
      </c>
      <c r="BK6" s="593">
        <f t="shared" si="17"/>
        <v>0</v>
      </c>
      <c r="BL6" s="593">
        <f t="shared" si="18"/>
        <v>0</v>
      </c>
      <c r="BM6" s="593">
        <f t="shared" si="19"/>
        <v>0</v>
      </c>
      <c r="BN6" s="593">
        <f t="shared" si="20"/>
        <v>0</v>
      </c>
      <c r="BO6" s="593">
        <f t="shared" si="21"/>
        <v>0</v>
      </c>
      <c r="BP6" s="593">
        <f t="shared" si="22"/>
        <v>0</v>
      </c>
      <c r="BQ6" s="593">
        <f t="shared" si="23"/>
        <v>0</v>
      </c>
      <c r="BR6" s="593">
        <f t="shared" si="24"/>
        <v>0</v>
      </c>
      <c r="BS6" s="593">
        <f t="shared" si="25"/>
        <v>0</v>
      </c>
      <c r="BT6" s="593">
        <f t="shared" si="26"/>
        <v>0</v>
      </c>
      <c r="BU6" s="593">
        <f t="shared" si="27"/>
        <v>0</v>
      </c>
      <c r="BV6" s="593">
        <f t="shared" si="28"/>
        <v>0</v>
      </c>
      <c r="BW6" s="593">
        <f t="shared" si="29"/>
        <v>0</v>
      </c>
      <c r="BX6" s="593">
        <f t="shared" si="30"/>
        <v>0</v>
      </c>
      <c r="BY6" s="593">
        <f t="shared" si="31"/>
        <v>0</v>
      </c>
      <c r="BZ6" s="593">
        <f t="shared" si="32"/>
        <v>0</v>
      </c>
      <c r="CA6" s="593">
        <f t="shared" si="33"/>
        <v>0</v>
      </c>
      <c r="CB6" s="593">
        <f t="shared" si="34"/>
        <v>0</v>
      </c>
      <c r="CC6" s="593">
        <f t="shared" si="35"/>
        <v>0</v>
      </c>
      <c r="CD6" s="593">
        <f t="shared" si="36"/>
        <v>0</v>
      </c>
      <c r="CE6" s="593">
        <f t="shared" si="37"/>
        <v>0</v>
      </c>
      <c r="CF6" s="595">
        <f t="shared" si="38"/>
        <v>0</v>
      </c>
      <c r="CG6" s="555" t="str">
        <f t="shared" si="39"/>
        <v/>
      </c>
      <c r="CH6" s="530" t="str">
        <f t="shared" si="40"/>
        <v/>
      </c>
      <c r="CI6" s="530" t="str">
        <f t="shared" si="41"/>
        <v/>
      </c>
      <c r="CJ6" s="530" t="str">
        <f t="shared" si="42"/>
        <v/>
      </c>
      <c r="CK6" s="530" t="str">
        <f t="shared" si="43"/>
        <v/>
      </c>
      <c r="CL6" s="530" t="str">
        <f t="shared" si="44"/>
        <v/>
      </c>
      <c r="CM6" s="82" t="str">
        <f t="shared" si="45"/>
        <v/>
      </c>
      <c r="CN6" s="496" t="str">
        <f t="shared" si="4"/>
        <v/>
      </c>
      <c r="CO6" s="496" t="str">
        <f t="shared" si="46"/>
        <v>0</v>
      </c>
      <c r="CP6" s="491">
        <f t="shared" si="47"/>
        <v>0</v>
      </c>
      <c r="CQ6" s="1010" t="s">
        <v>503</v>
      </c>
      <c r="CR6" s="1010">
        <v>230115</v>
      </c>
      <c r="CS6" s="496">
        <f t="shared" si="48"/>
        <v>0</v>
      </c>
      <c r="CT6" s="496">
        <f t="shared" si="49"/>
        <v>0</v>
      </c>
      <c r="CU6" s="497" t="str">
        <f t="shared" si="50"/>
        <v>00</v>
      </c>
    </row>
    <row r="7" spans="1:101" s="5" customFormat="1" ht="15" customHeight="1">
      <c r="A7" s="1073">
        <v>4</v>
      </c>
      <c r="B7" s="1245"/>
      <c r="C7" s="924" t="str">
        <f t="shared" si="5"/>
        <v/>
      </c>
      <c r="D7" s="1246"/>
      <c r="E7" s="1247"/>
      <c r="F7" s="1248"/>
      <c r="G7" s="1249"/>
      <c r="H7" s="1250"/>
      <c r="I7" s="1251"/>
      <c r="J7" s="1252"/>
      <c r="K7" s="1253"/>
      <c r="L7" s="1253"/>
      <c r="M7" s="1254"/>
      <c r="N7" s="947"/>
      <c r="O7" s="406" t="str">
        <f t="shared" si="51"/>
        <v/>
      </c>
      <c r="P7" s="407" t="str">
        <f>IF(O7="","",VLOOKUP(O7,所属コード!$A$2:$E$11,2,FALSE))</f>
        <v/>
      </c>
      <c r="Q7" s="1033" t="str">
        <f>IF(O7="","",VLOOKUP(O7,所属コード!$A$2:$G$11,7,FALSE))</f>
        <v/>
      </c>
      <c r="R7" s="1035"/>
      <c r="S7" s="77"/>
      <c r="T7" s="77"/>
      <c r="U7" s="77"/>
      <c r="V7" s="15"/>
      <c r="X7" s="492"/>
      <c r="Y7" s="945" t="str">
        <f t="shared" si="6"/>
        <v/>
      </c>
      <c r="Z7" s="489" t="str">
        <f t="shared" si="7"/>
        <v/>
      </c>
      <c r="AA7" s="488"/>
      <c r="AB7" s="488"/>
      <c r="AC7" s="488"/>
      <c r="AD7" s="488"/>
      <c r="AE7" s="488"/>
      <c r="AF7" s="488"/>
      <c r="AG7" s="491"/>
      <c r="AH7" s="591"/>
      <c r="AI7" s="592"/>
      <c r="AJ7" s="592"/>
      <c r="AK7" s="592"/>
      <c r="AL7" s="592"/>
      <c r="AM7" s="592"/>
      <c r="AN7" s="592"/>
      <c r="AO7" s="592"/>
      <c r="AP7" s="592"/>
      <c r="AQ7" s="592"/>
      <c r="AR7" s="592"/>
      <c r="AS7" s="592"/>
      <c r="AT7" s="592"/>
      <c r="AU7" s="592"/>
      <c r="AV7" s="592"/>
      <c r="AW7" s="1084"/>
      <c r="AX7" s="609">
        <f t="shared" si="8"/>
        <v>0</v>
      </c>
      <c r="AY7" s="602">
        <f t="shared" si="0"/>
        <v>0</v>
      </c>
      <c r="AZ7" s="593">
        <f t="shared" si="1"/>
        <v>0</v>
      </c>
      <c r="BA7" s="594">
        <f t="shared" si="2"/>
        <v>0</v>
      </c>
      <c r="BB7" s="593">
        <f t="shared" si="3"/>
        <v>0</v>
      </c>
      <c r="BC7" s="593">
        <f t="shared" si="9"/>
        <v>0</v>
      </c>
      <c r="BD7" s="593">
        <f t="shared" si="10"/>
        <v>0</v>
      </c>
      <c r="BE7" s="593">
        <f t="shared" si="11"/>
        <v>0</v>
      </c>
      <c r="BF7" s="593">
        <f t="shared" si="12"/>
        <v>0</v>
      </c>
      <c r="BG7" s="593">
        <f t="shared" si="13"/>
        <v>0</v>
      </c>
      <c r="BH7" s="593">
        <f t="shared" si="14"/>
        <v>0</v>
      </c>
      <c r="BI7" s="593">
        <f t="shared" si="15"/>
        <v>0</v>
      </c>
      <c r="BJ7" s="593">
        <f t="shared" si="16"/>
        <v>0</v>
      </c>
      <c r="BK7" s="593">
        <f t="shared" si="17"/>
        <v>0</v>
      </c>
      <c r="BL7" s="593">
        <f t="shared" si="18"/>
        <v>0</v>
      </c>
      <c r="BM7" s="593">
        <f t="shared" si="19"/>
        <v>0</v>
      </c>
      <c r="BN7" s="593">
        <f t="shared" si="20"/>
        <v>0</v>
      </c>
      <c r="BO7" s="593">
        <f t="shared" si="21"/>
        <v>0</v>
      </c>
      <c r="BP7" s="593">
        <f t="shared" si="22"/>
        <v>0</v>
      </c>
      <c r="BQ7" s="593">
        <f t="shared" si="23"/>
        <v>0</v>
      </c>
      <c r="BR7" s="593">
        <f t="shared" si="24"/>
        <v>0</v>
      </c>
      <c r="BS7" s="593">
        <f t="shared" si="25"/>
        <v>0</v>
      </c>
      <c r="BT7" s="593">
        <f t="shared" si="26"/>
        <v>0</v>
      </c>
      <c r="BU7" s="593">
        <f t="shared" si="27"/>
        <v>0</v>
      </c>
      <c r="BV7" s="593">
        <f t="shared" si="28"/>
        <v>0</v>
      </c>
      <c r="BW7" s="593">
        <f t="shared" si="29"/>
        <v>0</v>
      </c>
      <c r="BX7" s="593">
        <f t="shared" si="30"/>
        <v>0</v>
      </c>
      <c r="BY7" s="593">
        <f t="shared" si="31"/>
        <v>0</v>
      </c>
      <c r="BZ7" s="593">
        <f t="shared" si="32"/>
        <v>0</v>
      </c>
      <c r="CA7" s="593">
        <f t="shared" si="33"/>
        <v>0</v>
      </c>
      <c r="CB7" s="593">
        <f t="shared" si="34"/>
        <v>0</v>
      </c>
      <c r="CC7" s="593">
        <f t="shared" si="35"/>
        <v>0</v>
      </c>
      <c r="CD7" s="593">
        <f t="shared" si="36"/>
        <v>0</v>
      </c>
      <c r="CE7" s="593">
        <f t="shared" si="37"/>
        <v>0</v>
      </c>
      <c r="CF7" s="595">
        <f t="shared" si="38"/>
        <v>0</v>
      </c>
      <c r="CG7" s="555" t="str">
        <f t="shared" si="39"/>
        <v/>
      </c>
      <c r="CH7" s="530" t="str">
        <f t="shared" si="40"/>
        <v/>
      </c>
      <c r="CI7" s="530" t="str">
        <f t="shared" si="41"/>
        <v/>
      </c>
      <c r="CJ7" s="530" t="str">
        <f t="shared" si="42"/>
        <v/>
      </c>
      <c r="CK7" s="530" t="str">
        <f t="shared" si="43"/>
        <v/>
      </c>
      <c r="CL7" s="530" t="str">
        <f t="shared" si="44"/>
        <v/>
      </c>
      <c r="CM7" s="82" t="str">
        <f t="shared" si="45"/>
        <v/>
      </c>
      <c r="CN7" s="496" t="str">
        <f t="shared" si="4"/>
        <v/>
      </c>
      <c r="CO7" s="496" t="str">
        <f t="shared" si="46"/>
        <v>0</v>
      </c>
      <c r="CP7" s="491">
        <f t="shared" si="47"/>
        <v>0</v>
      </c>
      <c r="CQ7" s="1010" t="s">
        <v>550</v>
      </c>
      <c r="CR7" s="1010">
        <v>239134</v>
      </c>
      <c r="CS7" s="496">
        <f t="shared" si="48"/>
        <v>0</v>
      </c>
      <c r="CT7" s="496">
        <f t="shared" si="49"/>
        <v>0</v>
      </c>
      <c r="CU7" s="497" t="str">
        <f t="shared" si="50"/>
        <v>00</v>
      </c>
    </row>
    <row r="8" spans="1:101" s="5" customFormat="1" ht="15" customHeight="1">
      <c r="A8" s="1073">
        <v>5</v>
      </c>
      <c r="B8" s="1245"/>
      <c r="C8" s="924" t="str">
        <f t="shared" si="5"/>
        <v/>
      </c>
      <c r="D8" s="1246"/>
      <c r="E8" s="1247"/>
      <c r="F8" s="1248"/>
      <c r="G8" s="1249"/>
      <c r="H8" s="1250"/>
      <c r="I8" s="1251"/>
      <c r="J8" s="1252"/>
      <c r="K8" s="1253"/>
      <c r="L8" s="1253"/>
      <c r="M8" s="1254"/>
      <c r="N8" s="947"/>
      <c r="O8" s="406" t="str">
        <f t="shared" si="51"/>
        <v/>
      </c>
      <c r="P8" s="407" t="str">
        <f>IF(O8="","",VLOOKUP(O8,所属コード!$A$2:$E$11,2,FALSE))</f>
        <v/>
      </c>
      <c r="Q8" s="1033" t="str">
        <f>IF(O8="","",VLOOKUP(O8,所属コード!$A$2:$G$11,7,FALSE))</f>
        <v/>
      </c>
      <c r="R8" s="1035"/>
      <c r="S8" s="77"/>
      <c r="T8" s="77"/>
      <c r="U8" s="77"/>
      <c r="V8" s="15"/>
      <c r="X8" s="492"/>
      <c r="Y8" s="945" t="str">
        <f t="shared" si="6"/>
        <v/>
      </c>
      <c r="Z8" s="489" t="str">
        <f t="shared" si="7"/>
        <v/>
      </c>
      <c r="AA8" s="488"/>
      <c r="AB8" s="488"/>
      <c r="AC8" s="488"/>
      <c r="AD8" s="488"/>
      <c r="AE8" s="488"/>
      <c r="AF8" s="488"/>
      <c r="AG8" s="491"/>
      <c r="AH8" s="591"/>
      <c r="AI8" s="592"/>
      <c r="AJ8" s="592"/>
      <c r="AK8" s="592"/>
      <c r="AL8" s="592"/>
      <c r="AM8" s="592"/>
      <c r="AN8" s="592"/>
      <c r="AO8" s="592"/>
      <c r="AP8" s="592"/>
      <c r="AQ8" s="592"/>
      <c r="AR8" s="592"/>
      <c r="AS8" s="592"/>
      <c r="AT8" s="592"/>
      <c r="AU8" s="592"/>
      <c r="AV8" s="592"/>
      <c r="AW8" s="1084"/>
      <c r="AX8" s="609">
        <f t="shared" si="8"/>
        <v>0</v>
      </c>
      <c r="AY8" s="602">
        <f t="shared" si="0"/>
        <v>0</v>
      </c>
      <c r="AZ8" s="593">
        <f t="shared" si="1"/>
        <v>0</v>
      </c>
      <c r="BA8" s="594">
        <f t="shared" si="2"/>
        <v>0</v>
      </c>
      <c r="BB8" s="593">
        <f t="shared" si="3"/>
        <v>0</v>
      </c>
      <c r="BC8" s="593">
        <f t="shared" si="9"/>
        <v>0</v>
      </c>
      <c r="BD8" s="593">
        <f t="shared" si="10"/>
        <v>0</v>
      </c>
      <c r="BE8" s="593">
        <f t="shared" si="11"/>
        <v>0</v>
      </c>
      <c r="BF8" s="593">
        <f t="shared" si="12"/>
        <v>0</v>
      </c>
      <c r="BG8" s="593">
        <f t="shared" si="13"/>
        <v>0</v>
      </c>
      <c r="BH8" s="593">
        <f t="shared" si="14"/>
        <v>0</v>
      </c>
      <c r="BI8" s="593">
        <f t="shared" si="15"/>
        <v>0</v>
      </c>
      <c r="BJ8" s="593">
        <f t="shared" si="16"/>
        <v>0</v>
      </c>
      <c r="BK8" s="593">
        <f t="shared" si="17"/>
        <v>0</v>
      </c>
      <c r="BL8" s="593">
        <f t="shared" si="18"/>
        <v>0</v>
      </c>
      <c r="BM8" s="593">
        <f t="shared" si="19"/>
        <v>0</v>
      </c>
      <c r="BN8" s="593">
        <f t="shared" si="20"/>
        <v>0</v>
      </c>
      <c r="BO8" s="593">
        <f t="shared" si="21"/>
        <v>0</v>
      </c>
      <c r="BP8" s="593">
        <f t="shared" si="22"/>
        <v>0</v>
      </c>
      <c r="BQ8" s="593">
        <f t="shared" si="23"/>
        <v>0</v>
      </c>
      <c r="BR8" s="593">
        <f t="shared" si="24"/>
        <v>0</v>
      </c>
      <c r="BS8" s="593">
        <f t="shared" si="25"/>
        <v>0</v>
      </c>
      <c r="BT8" s="593">
        <f t="shared" si="26"/>
        <v>0</v>
      </c>
      <c r="BU8" s="593">
        <f t="shared" si="27"/>
        <v>0</v>
      </c>
      <c r="BV8" s="593">
        <f t="shared" si="28"/>
        <v>0</v>
      </c>
      <c r="BW8" s="593">
        <f t="shared" si="29"/>
        <v>0</v>
      </c>
      <c r="BX8" s="593">
        <f t="shared" si="30"/>
        <v>0</v>
      </c>
      <c r="BY8" s="593">
        <f t="shared" si="31"/>
        <v>0</v>
      </c>
      <c r="BZ8" s="593">
        <f t="shared" si="32"/>
        <v>0</v>
      </c>
      <c r="CA8" s="593">
        <f t="shared" si="33"/>
        <v>0</v>
      </c>
      <c r="CB8" s="593">
        <f t="shared" si="34"/>
        <v>0</v>
      </c>
      <c r="CC8" s="593">
        <f t="shared" si="35"/>
        <v>0</v>
      </c>
      <c r="CD8" s="593">
        <f t="shared" si="36"/>
        <v>0</v>
      </c>
      <c r="CE8" s="593">
        <f t="shared" si="37"/>
        <v>0</v>
      </c>
      <c r="CF8" s="595">
        <f t="shared" si="38"/>
        <v>0</v>
      </c>
      <c r="CG8" s="555" t="str">
        <f t="shared" si="39"/>
        <v/>
      </c>
      <c r="CH8" s="530" t="str">
        <f t="shared" si="40"/>
        <v/>
      </c>
      <c r="CI8" s="530" t="str">
        <f t="shared" si="41"/>
        <v/>
      </c>
      <c r="CJ8" s="530" t="str">
        <f t="shared" si="42"/>
        <v/>
      </c>
      <c r="CK8" s="530" t="str">
        <f t="shared" si="43"/>
        <v/>
      </c>
      <c r="CL8" s="530" t="str">
        <f t="shared" si="44"/>
        <v/>
      </c>
      <c r="CM8" s="82" t="str">
        <f t="shared" si="45"/>
        <v/>
      </c>
      <c r="CN8" s="496" t="str">
        <f t="shared" si="4"/>
        <v/>
      </c>
      <c r="CO8" s="496" t="str">
        <f t="shared" si="46"/>
        <v>0</v>
      </c>
      <c r="CP8" s="491">
        <f t="shared" si="47"/>
        <v>0</v>
      </c>
      <c r="CQ8" s="906" t="s">
        <v>500</v>
      </c>
      <c r="CR8" s="935">
        <v>239128</v>
      </c>
      <c r="CS8" s="496">
        <f t="shared" si="48"/>
        <v>0</v>
      </c>
      <c r="CT8" s="496">
        <f t="shared" si="49"/>
        <v>0</v>
      </c>
      <c r="CU8" s="497" t="str">
        <f t="shared" si="50"/>
        <v>00</v>
      </c>
    </row>
    <row r="9" spans="1:101" s="5" customFormat="1" ht="15" customHeight="1">
      <c r="A9" s="1073">
        <v>6</v>
      </c>
      <c r="B9" s="1245"/>
      <c r="C9" s="924" t="str">
        <f t="shared" si="5"/>
        <v/>
      </c>
      <c r="D9" s="1246"/>
      <c r="E9" s="1247"/>
      <c r="F9" s="1248"/>
      <c r="G9" s="1249"/>
      <c r="H9" s="1250"/>
      <c r="I9" s="1251"/>
      <c r="J9" s="1252"/>
      <c r="K9" s="1253"/>
      <c r="L9" s="1253"/>
      <c r="M9" s="1254"/>
      <c r="N9" s="947"/>
      <c r="O9" s="406" t="str">
        <f t="shared" si="51"/>
        <v/>
      </c>
      <c r="P9" s="407" t="str">
        <f>IF(O9="","",VLOOKUP(O9,所属コード!$A$2:$E$11,2,FALSE))</f>
        <v/>
      </c>
      <c r="Q9" s="1033" t="str">
        <f>IF(O9="","",VLOOKUP(O9,所属コード!$A$2:$G$11,7,FALSE))</f>
        <v/>
      </c>
      <c r="R9" s="1035"/>
      <c r="S9" s="77"/>
      <c r="T9" s="77"/>
      <c r="U9" s="77"/>
      <c r="V9" s="15"/>
      <c r="X9" s="492"/>
      <c r="Y9" s="945" t="str">
        <f t="shared" si="6"/>
        <v/>
      </c>
      <c r="Z9" s="489" t="str">
        <f t="shared" si="7"/>
        <v/>
      </c>
      <c r="AA9" s="488"/>
      <c r="AB9" s="488"/>
      <c r="AC9" s="488"/>
      <c r="AD9" s="488"/>
      <c r="AE9" s="488"/>
      <c r="AF9" s="488"/>
      <c r="AG9" s="491"/>
      <c r="AH9" s="591"/>
      <c r="AI9" s="592"/>
      <c r="AJ9" s="592"/>
      <c r="AK9" s="592"/>
      <c r="AL9" s="592"/>
      <c r="AM9" s="592"/>
      <c r="AN9" s="592"/>
      <c r="AO9" s="592"/>
      <c r="AP9" s="592"/>
      <c r="AQ9" s="592"/>
      <c r="AR9" s="592"/>
      <c r="AS9" s="592"/>
      <c r="AT9" s="592"/>
      <c r="AU9" s="592"/>
      <c r="AV9" s="592"/>
      <c r="AW9" s="1084"/>
      <c r="AX9" s="609">
        <f t="shared" si="8"/>
        <v>0</v>
      </c>
      <c r="AY9" s="602">
        <f t="shared" si="0"/>
        <v>0</v>
      </c>
      <c r="AZ9" s="593">
        <f t="shared" si="1"/>
        <v>0</v>
      </c>
      <c r="BA9" s="594">
        <f t="shared" si="2"/>
        <v>0</v>
      </c>
      <c r="BB9" s="593">
        <f t="shared" si="3"/>
        <v>0</v>
      </c>
      <c r="BC9" s="593">
        <f t="shared" si="9"/>
        <v>0</v>
      </c>
      <c r="BD9" s="593">
        <f t="shared" si="10"/>
        <v>0</v>
      </c>
      <c r="BE9" s="593">
        <f t="shared" si="11"/>
        <v>0</v>
      </c>
      <c r="BF9" s="593">
        <f t="shared" si="12"/>
        <v>0</v>
      </c>
      <c r="BG9" s="593">
        <f t="shared" si="13"/>
        <v>0</v>
      </c>
      <c r="BH9" s="593">
        <f t="shared" si="14"/>
        <v>0</v>
      </c>
      <c r="BI9" s="593">
        <f t="shared" si="15"/>
        <v>0</v>
      </c>
      <c r="BJ9" s="593">
        <f t="shared" si="16"/>
        <v>0</v>
      </c>
      <c r="BK9" s="593">
        <f t="shared" si="17"/>
        <v>0</v>
      </c>
      <c r="BL9" s="593">
        <f t="shared" si="18"/>
        <v>0</v>
      </c>
      <c r="BM9" s="593">
        <f t="shared" si="19"/>
        <v>0</v>
      </c>
      <c r="BN9" s="593">
        <f t="shared" si="20"/>
        <v>0</v>
      </c>
      <c r="BO9" s="593">
        <f t="shared" si="21"/>
        <v>0</v>
      </c>
      <c r="BP9" s="593">
        <f t="shared" si="22"/>
        <v>0</v>
      </c>
      <c r="BQ9" s="593">
        <f t="shared" si="23"/>
        <v>0</v>
      </c>
      <c r="BR9" s="593">
        <f t="shared" si="24"/>
        <v>0</v>
      </c>
      <c r="BS9" s="593">
        <f t="shared" si="25"/>
        <v>0</v>
      </c>
      <c r="BT9" s="593">
        <f t="shared" si="26"/>
        <v>0</v>
      </c>
      <c r="BU9" s="593">
        <f t="shared" si="27"/>
        <v>0</v>
      </c>
      <c r="BV9" s="593">
        <f t="shared" si="28"/>
        <v>0</v>
      </c>
      <c r="BW9" s="593">
        <f t="shared" si="29"/>
        <v>0</v>
      </c>
      <c r="BX9" s="593">
        <f t="shared" si="30"/>
        <v>0</v>
      </c>
      <c r="BY9" s="593">
        <f t="shared" si="31"/>
        <v>0</v>
      </c>
      <c r="BZ9" s="593">
        <f t="shared" si="32"/>
        <v>0</v>
      </c>
      <c r="CA9" s="593">
        <f t="shared" si="33"/>
        <v>0</v>
      </c>
      <c r="CB9" s="593">
        <f t="shared" si="34"/>
        <v>0</v>
      </c>
      <c r="CC9" s="593">
        <f t="shared" si="35"/>
        <v>0</v>
      </c>
      <c r="CD9" s="593">
        <f t="shared" si="36"/>
        <v>0</v>
      </c>
      <c r="CE9" s="593">
        <f t="shared" si="37"/>
        <v>0</v>
      </c>
      <c r="CF9" s="595">
        <f t="shared" si="38"/>
        <v>0</v>
      </c>
      <c r="CG9" s="555" t="str">
        <f t="shared" si="39"/>
        <v/>
      </c>
      <c r="CH9" s="530" t="str">
        <f t="shared" si="40"/>
        <v/>
      </c>
      <c r="CI9" s="530" t="str">
        <f t="shared" si="41"/>
        <v/>
      </c>
      <c r="CJ9" s="530" t="str">
        <f t="shared" si="42"/>
        <v/>
      </c>
      <c r="CK9" s="530" t="str">
        <f t="shared" si="43"/>
        <v/>
      </c>
      <c r="CL9" s="530" t="str">
        <f t="shared" si="44"/>
        <v/>
      </c>
      <c r="CM9" s="82" t="str">
        <f t="shared" si="45"/>
        <v/>
      </c>
      <c r="CN9" s="496" t="str">
        <f t="shared" si="4"/>
        <v/>
      </c>
      <c r="CO9" s="496" t="str">
        <f t="shared" si="46"/>
        <v>0</v>
      </c>
      <c r="CP9" s="491">
        <f t="shared" si="47"/>
        <v>0</v>
      </c>
      <c r="CQ9" s="906" t="s">
        <v>501</v>
      </c>
      <c r="CR9" s="935">
        <v>239125</v>
      </c>
      <c r="CS9" s="496">
        <f t="shared" si="48"/>
        <v>0</v>
      </c>
      <c r="CT9" s="496">
        <f t="shared" si="49"/>
        <v>0</v>
      </c>
      <c r="CU9" s="497" t="str">
        <f t="shared" si="50"/>
        <v>00</v>
      </c>
    </row>
    <row r="10" spans="1:101" s="5" customFormat="1" ht="15" customHeight="1">
      <c r="A10" s="1073">
        <v>7</v>
      </c>
      <c r="B10" s="1245"/>
      <c r="C10" s="924" t="str">
        <f t="shared" si="5"/>
        <v/>
      </c>
      <c r="D10" s="1246"/>
      <c r="E10" s="1247"/>
      <c r="F10" s="1248"/>
      <c r="G10" s="1249"/>
      <c r="H10" s="1250"/>
      <c r="I10" s="1251"/>
      <c r="J10" s="1252"/>
      <c r="K10" s="1253"/>
      <c r="L10" s="1253"/>
      <c r="M10" s="1254"/>
      <c r="N10" s="947"/>
      <c r="O10" s="406" t="str">
        <f t="shared" si="51"/>
        <v/>
      </c>
      <c r="P10" s="407" t="str">
        <f>IF(O10="","",VLOOKUP(O10,所属コード!$A$2:$E$11,2,FALSE))</f>
        <v/>
      </c>
      <c r="Q10" s="1033" t="str">
        <f>IF(O10="","",VLOOKUP(O10,所属コード!$A$2:$G$11,7,FALSE))</f>
        <v/>
      </c>
      <c r="R10" s="1035"/>
      <c r="S10" s="77"/>
      <c r="T10" s="77"/>
      <c r="U10" s="77"/>
      <c r="V10" s="15"/>
      <c r="X10" s="492"/>
      <c r="Y10" s="945" t="str">
        <f t="shared" si="6"/>
        <v/>
      </c>
      <c r="Z10" s="489" t="str">
        <f t="shared" si="7"/>
        <v/>
      </c>
      <c r="AA10" s="488"/>
      <c r="AB10" s="488"/>
      <c r="AC10" s="488"/>
      <c r="AD10" s="488"/>
      <c r="AE10" s="488"/>
      <c r="AF10" s="488"/>
      <c r="AG10" s="491"/>
      <c r="AH10" s="591"/>
      <c r="AI10" s="592"/>
      <c r="AJ10" s="592"/>
      <c r="AK10" s="592"/>
      <c r="AL10" s="592"/>
      <c r="AM10" s="592"/>
      <c r="AN10" s="592"/>
      <c r="AO10" s="592"/>
      <c r="AP10" s="592"/>
      <c r="AQ10" s="592"/>
      <c r="AR10" s="592"/>
      <c r="AS10" s="592"/>
      <c r="AT10" s="592"/>
      <c r="AU10" s="592"/>
      <c r="AV10" s="592"/>
      <c r="AW10" s="1084"/>
      <c r="AX10" s="609">
        <f t="shared" si="8"/>
        <v>0</v>
      </c>
      <c r="AY10" s="602">
        <f t="shared" si="0"/>
        <v>0</v>
      </c>
      <c r="AZ10" s="593">
        <f t="shared" si="1"/>
        <v>0</v>
      </c>
      <c r="BA10" s="594">
        <f t="shared" si="2"/>
        <v>0</v>
      </c>
      <c r="BB10" s="593">
        <f t="shared" si="3"/>
        <v>0</v>
      </c>
      <c r="BC10" s="593">
        <f t="shared" si="9"/>
        <v>0</v>
      </c>
      <c r="BD10" s="593">
        <f t="shared" si="10"/>
        <v>0</v>
      </c>
      <c r="BE10" s="593">
        <f t="shared" si="11"/>
        <v>0</v>
      </c>
      <c r="BF10" s="593">
        <f t="shared" si="12"/>
        <v>0</v>
      </c>
      <c r="BG10" s="593">
        <f t="shared" si="13"/>
        <v>0</v>
      </c>
      <c r="BH10" s="593">
        <f t="shared" si="14"/>
        <v>0</v>
      </c>
      <c r="BI10" s="593">
        <f t="shared" si="15"/>
        <v>0</v>
      </c>
      <c r="BJ10" s="593">
        <f t="shared" si="16"/>
        <v>0</v>
      </c>
      <c r="BK10" s="593">
        <f t="shared" si="17"/>
        <v>0</v>
      </c>
      <c r="BL10" s="593">
        <f t="shared" si="18"/>
        <v>0</v>
      </c>
      <c r="BM10" s="593">
        <f t="shared" si="19"/>
        <v>0</v>
      </c>
      <c r="BN10" s="593">
        <f t="shared" si="20"/>
        <v>0</v>
      </c>
      <c r="BO10" s="593">
        <f t="shared" si="21"/>
        <v>0</v>
      </c>
      <c r="BP10" s="593">
        <f t="shared" si="22"/>
        <v>0</v>
      </c>
      <c r="BQ10" s="593">
        <f t="shared" si="23"/>
        <v>0</v>
      </c>
      <c r="BR10" s="593">
        <f t="shared" si="24"/>
        <v>0</v>
      </c>
      <c r="BS10" s="593">
        <f t="shared" si="25"/>
        <v>0</v>
      </c>
      <c r="BT10" s="593">
        <f t="shared" si="26"/>
        <v>0</v>
      </c>
      <c r="BU10" s="593">
        <f t="shared" si="27"/>
        <v>0</v>
      </c>
      <c r="BV10" s="593">
        <f t="shared" si="28"/>
        <v>0</v>
      </c>
      <c r="BW10" s="593">
        <f t="shared" si="29"/>
        <v>0</v>
      </c>
      <c r="BX10" s="593">
        <f t="shared" si="30"/>
        <v>0</v>
      </c>
      <c r="BY10" s="593">
        <f t="shared" si="31"/>
        <v>0</v>
      </c>
      <c r="BZ10" s="593">
        <f t="shared" si="32"/>
        <v>0</v>
      </c>
      <c r="CA10" s="593">
        <f t="shared" si="33"/>
        <v>0</v>
      </c>
      <c r="CB10" s="593">
        <f t="shared" si="34"/>
        <v>0</v>
      </c>
      <c r="CC10" s="593">
        <f t="shared" si="35"/>
        <v>0</v>
      </c>
      <c r="CD10" s="593">
        <f t="shared" si="36"/>
        <v>0</v>
      </c>
      <c r="CE10" s="593">
        <f t="shared" si="37"/>
        <v>0</v>
      </c>
      <c r="CF10" s="595">
        <f t="shared" si="38"/>
        <v>0</v>
      </c>
      <c r="CG10" s="555" t="str">
        <f t="shared" si="39"/>
        <v/>
      </c>
      <c r="CH10" s="530" t="str">
        <f t="shared" si="40"/>
        <v/>
      </c>
      <c r="CI10" s="530" t="str">
        <f t="shared" si="41"/>
        <v/>
      </c>
      <c r="CJ10" s="530" t="str">
        <f t="shared" si="42"/>
        <v/>
      </c>
      <c r="CK10" s="530" t="str">
        <f t="shared" si="43"/>
        <v/>
      </c>
      <c r="CL10" s="530" t="str">
        <f t="shared" si="44"/>
        <v/>
      </c>
      <c r="CM10" s="82" t="str">
        <f t="shared" si="45"/>
        <v/>
      </c>
      <c r="CN10" s="496" t="str">
        <f t="shared" si="4"/>
        <v/>
      </c>
      <c r="CO10" s="496" t="str">
        <f t="shared" si="46"/>
        <v>0</v>
      </c>
      <c r="CP10" s="491">
        <f t="shared" si="47"/>
        <v>0</v>
      </c>
      <c r="CQ10" s="906" t="s">
        <v>551</v>
      </c>
      <c r="CR10" s="935">
        <v>239137</v>
      </c>
      <c r="CS10" s="496">
        <f t="shared" si="48"/>
        <v>0</v>
      </c>
      <c r="CT10" s="496">
        <f t="shared" si="49"/>
        <v>0</v>
      </c>
      <c r="CU10" s="497" t="str">
        <f t="shared" si="50"/>
        <v>00</v>
      </c>
    </row>
    <row r="11" spans="1:101" ht="15" customHeight="1">
      <c r="A11" s="1073">
        <v>8</v>
      </c>
      <c r="B11" s="922"/>
      <c r="C11" s="924" t="str">
        <f t="shared" si="5"/>
        <v/>
      </c>
      <c r="D11" s="1246"/>
      <c r="E11" s="925"/>
      <c r="F11" s="926"/>
      <c r="G11" s="1249"/>
      <c r="H11" s="927"/>
      <c r="I11" s="928"/>
      <c r="J11" s="929"/>
      <c r="K11" s="1012"/>
      <c r="L11" s="1012"/>
      <c r="M11" s="1017"/>
      <c r="N11" s="947"/>
      <c r="O11" s="406" t="str">
        <f t="shared" si="51"/>
        <v/>
      </c>
      <c r="P11" s="407" t="str">
        <f>IF(O11="","",VLOOKUP(O11,所属コード!$A$2:$E$11,2,FALSE))</f>
        <v/>
      </c>
      <c r="Q11" s="1033" t="str">
        <f>IF(O11="","",VLOOKUP(O11,所属コード!$A$2:$G$11,7,FALSE))</f>
        <v/>
      </c>
      <c r="R11" s="1035"/>
      <c r="S11" s="77"/>
      <c r="T11" s="77"/>
      <c r="U11" s="77"/>
      <c r="V11" s="15"/>
      <c r="X11" s="492"/>
      <c r="Y11" s="945" t="str">
        <f t="shared" si="6"/>
        <v/>
      </c>
      <c r="Z11" s="489" t="str">
        <f t="shared" si="7"/>
        <v/>
      </c>
      <c r="AA11" s="488"/>
      <c r="AB11" s="488"/>
      <c r="AC11" s="488"/>
      <c r="AD11" s="488"/>
      <c r="AE11" s="488"/>
      <c r="AF11" s="488"/>
      <c r="AG11" s="491"/>
      <c r="AH11" s="591"/>
      <c r="AI11" s="592"/>
      <c r="AJ11" s="592"/>
      <c r="AK11" s="592"/>
      <c r="AL11" s="592"/>
      <c r="AM11" s="592"/>
      <c r="AN11" s="592"/>
      <c r="AO11" s="592"/>
      <c r="AP11" s="592"/>
      <c r="AQ11" s="592"/>
      <c r="AR11" s="592"/>
      <c r="AS11" s="592"/>
      <c r="AT11" s="592"/>
      <c r="AU11" s="592"/>
      <c r="AV11" s="592"/>
      <c r="AW11" s="1084"/>
      <c r="AX11" s="609">
        <f t="shared" si="8"/>
        <v>0</v>
      </c>
      <c r="AY11" s="602">
        <f t="shared" si="0"/>
        <v>0</v>
      </c>
      <c r="AZ11" s="593">
        <f t="shared" si="1"/>
        <v>0</v>
      </c>
      <c r="BA11" s="594">
        <f t="shared" si="2"/>
        <v>0</v>
      </c>
      <c r="BB11" s="593">
        <f t="shared" si="3"/>
        <v>0</v>
      </c>
      <c r="BC11" s="593">
        <f t="shared" si="9"/>
        <v>0</v>
      </c>
      <c r="BD11" s="593">
        <f t="shared" si="10"/>
        <v>0</v>
      </c>
      <c r="BE11" s="593">
        <f t="shared" si="11"/>
        <v>0</v>
      </c>
      <c r="BF11" s="593">
        <f t="shared" si="12"/>
        <v>0</v>
      </c>
      <c r="BG11" s="593">
        <f t="shared" si="13"/>
        <v>0</v>
      </c>
      <c r="BH11" s="593">
        <f t="shared" si="14"/>
        <v>0</v>
      </c>
      <c r="BI11" s="593">
        <f t="shared" si="15"/>
        <v>0</v>
      </c>
      <c r="BJ11" s="593">
        <f t="shared" si="16"/>
        <v>0</v>
      </c>
      <c r="BK11" s="593">
        <f t="shared" si="17"/>
        <v>0</v>
      </c>
      <c r="BL11" s="593">
        <f t="shared" si="18"/>
        <v>0</v>
      </c>
      <c r="BM11" s="593">
        <f t="shared" si="19"/>
        <v>0</v>
      </c>
      <c r="BN11" s="593">
        <f t="shared" si="20"/>
        <v>0</v>
      </c>
      <c r="BO11" s="593">
        <f t="shared" si="21"/>
        <v>0</v>
      </c>
      <c r="BP11" s="593">
        <f t="shared" si="22"/>
        <v>0</v>
      </c>
      <c r="BQ11" s="593">
        <f t="shared" si="23"/>
        <v>0</v>
      </c>
      <c r="BR11" s="593">
        <f t="shared" si="24"/>
        <v>0</v>
      </c>
      <c r="BS11" s="593">
        <f t="shared" si="25"/>
        <v>0</v>
      </c>
      <c r="BT11" s="593">
        <f t="shared" si="26"/>
        <v>0</v>
      </c>
      <c r="BU11" s="593">
        <f t="shared" si="27"/>
        <v>0</v>
      </c>
      <c r="BV11" s="593">
        <f t="shared" si="28"/>
        <v>0</v>
      </c>
      <c r="BW11" s="593">
        <f t="shared" si="29"/>
        <v>0</v>
      </c>
      <c r="BX11" s="593">
        <f t="shared" si="30"/>
        <v>0</v>
      </c>
      <c r="BY11" s="593">
        <f t="shared" si="31"/>
        <v>0</v>
      </c>
      <c r="BZ11" s="593">
        <f t="shared" si="32"/>
        <v>0</v>
      </c>
      <c r="CA11" s="593">
        <f t="shared" si="33"/>
        <v>0</v>
      </c>
      <c r="CB11" s="593">
        <f t="shared" si="34"/>
        <v>0</v>
      </c>
      <c r="CC11" s="593">
        <f t="shared" si="35"/>
        <v>0</v>
      </c>
      <c r="CD11" s="593">
        <f t="shared" si="36"/>
        <v>0</v>
      </c>
      <c r="CE11" s="593">
        <f t="shared" si="37"/>
        <v>0</v>
      </c>
      <c r="CF11" s="595">
        <f t="shared" si="38"/>
        <v>0</v>
      </c>
      <c r="CG11" s="555" t="str">
        <f t="shared" si="39"/>
        <v/>
      </c>
      <c r="CH11" s="530" t="str">
        <f t="shared" si="40"/>
        <v/>
      </c>
      <c r="CI11" s="530" t="str">
        <f t="shared" si="41"/>
        <v/>
      </c>
      <c r="CJ11" s="530" t="str">
        <f t="shared" si="42"/>
        <v/>
      </c>
      <c r="CK11" s="530" t="str">
        <f t="shared" si="43"/>
        <v/>
      </c>
      <c r="CL11" s="530" t="str">
        <f t="shared" si="44"/>
        <v/>
      </c>
      <c r="CM11" s="82" t="str">
        <f t="shared" si="45"/>
        <v/>
      </c>
      <c r="CN11" s="496" t="str">
        <f t="shared" si="4"/>
        <v/>
      </c>
      <c r="CO11" s="496" t="str">
        <f t="shared" si="46"/>
        <v>0</v>
      </c>
      <c r="CP11" s="491">
        <f t="shared" si="47"/>
        <v>0</v>
      </c>
      <c r="CQ11" s="906" t="s">
        <v>552</v>
      </c>
      <c r="CR11" s="935">
        <v>230102</v>
      </c>
      <c r="CS11" s="496">
        <f t="shared" si="48"/>
        <v>0</v>
      </c>
      <c r="CT11" s="496">
        <f t="shared" si="49"/>
        <v>0</v>
      </c>
      <c r="CU11" s="497" t="str">
        <f t="shared" si="50"/>
        <v>00</v>
      </c>
    </row>
    <row r="12" spans="1:101" ht="15" customHeight="1">
      <c r="A12" s="1073">
        <v>9</v>
      </c>
      <c r="B12" s="922"/>
      <c r="C12" s="924" t="str">
        <f t="shared" si="5"/>
        <v/>
      </c>
      <c r="D12" s="1246"/>
      <c r="E12" s="925"/>
      <c r="F12" s="926"/>
      <c r="G12" s="1249"/>
      <c r="H12" s="927"/>
      <c r="I12" s="928"/>
      <c r="J12" s="929"/>
      <c r="K12" s="1012"/>
      <c r="L12" s="1012"/>
      <c r="M12" s="1017"/>
      <c r="N12" s="947"/>
      <c r="O12" s="406" t="str">
        <f t="shared" si="51"/>
        <v/>
      </c>
      <c r="P12" s="407" t="str">
        <f>IF(O12="","",VLOOKUP(O12,所属コード!$A$2:$E$11,2,FALSE))</f>
        <v/>
      </c>
      <c r="Q12" s="1033" t="str">
        <f>IF(O12="","",VLOOKUP(O12,所属コード!$A$2:$G$11,7,FALSE))</f>
        <v/>
      </c>
      <c r="R12" s="1035"/>
      <c r="S12" s="77"/>
      <c r="T12" s="77"/>
      <c r="U12" s="77"/>
      <c r="V12" s="15"/>
      <c r="X12" s="492"/>
      <c r="Y12" s="945" t="str">
        <f t="shared" si="6"/>
        <v/>
      </c>
      <c r="Z12" s="489" t="str">
        <f t="shared" si="7"/>
        <v/>
      </c>
      <c r="AA12" s="488"/>
      <c r="AB12" s="488"/>
      <c r="AC12" s="488"/>
      <c r="AD12" s="488"/>
      <c r="AE12" s="488"/>
      <c r="AF12" s="488"/>
      <c r="AG12" s="491"/>
      <c r="AH12" s="591"/>
      <c r="AI12" s="592"/>
      <c r="AJ12" s="592"/>
      <c r="AK12" s="592"/>
      <c r="AL12" s="592"/>
      <c r="AM12" s="592"/>
      <c r="AN12" s="592"/>
      <c r="AO12" s="592"/>
      <c r="AP12" s="592"/>
      <c r="AQ12" s="592"/>
      <c r="AR12" s="592"/>
      <c r="AS12" s="592"/>
      <c r="AT12" s="592"/>
      <c r="AU12" s="592"/>
      <c r="AV12" s="592"/>
      <c r="AW12" s="1084"/>
      <c r="AX12" s="609">
        <f t="shared" si="8"/>
        <v>0</v>
      </c>
      <c r="AY12" s="602">
        <f t="shared" si="0"/>
        <v>0</v>
      </c>
      <c r="AZ12" s="593">
        <f t="shared" si="1"/>
        <v>0</v>
      </c>
      <c r="BA12" s="594">
        <f t="shared" si="2"/>
        <v>0</v>
      </c>
      <c r="BB12" s="593">
        <f t="shared" si="3"/>
        <v>0</v>
      </c>
      <c r="BC12" s="593">
        <f t="shared" si="9"/>
        <v>0</v>
      </c>
      <c r="BD12" s="593">
        <f t="shared" si="10"/>
        <v>0</v>
      </c>
      <c r="BE12" s="593">
        <f t="shared" si="11"/>
        <v>0</v>
      </c>
      <c r="BF12" s="593">
        <f t="shared" si="12"/>
        <v>0</v>
      </c>
      <c r="BG12" s="593">
        <f t="shared" si="13"/>
        <v>0</v>
      </c>
      <c r="BH12" s="593">
        <f t="shared" si="14"/>
        <v>0</v>
      </c>
      <c r="BI12" s="593">
        <f t="shared" si="15"/>
        <v>0</v>
      </c>
      <c r="BJ12" s="593">
        <f t="shared" si="16"/>
        <v>0</v>
      </c>
      <c r="BK12" s="593">
        <f t="shared" si="17"/>
        <v>0</v>
      </c>
      <c r="BL12" s="593">
        <f t="shared" si="18"/>
        <v>0</v>
      </c>
      <c r="BM12" s="593">
        <f t="shared" si="19"/>
        <v>0</v>
      </c>
      <c r="BN12" s="593">
        <f t="shared" si="20"/>
        <v>0</v>
      </c>
      <c r="BO12" s="593">
        <f t="shared" si="21"/>
        <v>0</v>
      </c>
      <c r="BP12" s="593">
        <f t="shared" si="22"/>
        <v>0</v>
      </c>
      <c r="BQ12" s="593">
        <f t="shared" si="23"/>
        <v>0</v>
      </c>
      <c r="BR12" s="593">
        <f t="shared" si="24"/>
        <v>0</v>
      </c>
      <c r="BS12" s="593">
        <f t="shared" si="25"/>
        <v>0</v>
      </c>
      <c r="BT12" s="593">
        <f t="shared" si="26"/>
        <v>0</v>
      </c>
      <c r="BU12" s="593">
        <f t="shared" si="27"/>
        <v>0</v>
      </c>
      <c r="BV12" s="593">
        <f t="shared" si="28"/>
        <v>0</v>
      </c>
      <c r="BW12" s="593">
        <f t="shared" si="29"/>
        <v>0</v>
      </c>
      <c r="BX12" s="593">
        <f t="shared" si="30"/>
        <v>0</v>
      </c>
      <c r="BY12" s="593">
        <f t="shared" si="31"/>
        <v>0</v>
      </c>
      <c r="BZ12" s="593">
        <f t="shared" si="32"/>
        <v>0</v>
      </c>
      <c r="CA12" s="593">
        <f t="shared" si="33"/>
        <v>0</v>
      </c>
      <c r="CB12" s="593">
        <f t="shared" si="34"/>
        <v>0</v>
      </c>
      <c r="CC12" s="593">
        <f t="shared" si="35"/>
        <v>0</v>
      </c>
      <c r="CD12" s="593">
        <f t="shared" si="36"/>
        <v>0</v>
      </c>
      <c r="CE12" s="593">
        <f t="shared" si="37"/>
        <v>0</v>
      </c>
      <c r="CF12" s="595">
        <f t="shared" si="38"/>
        <v>0</v>
      </c>
      <c r="CG12" s="555" t="str">
        <f t="shared" si="39"/>
        <v/>
      </c>
      <c r="CH12" s="530" t="str">
        <f t="shared" si="40"/>
        <v/>
      </c>
      <c r="CI12" s="530" t="str">
        <f t="shared" si="41"/>
        <v/>
      </c>
      <c r="CJ12" s="530" t="str">
        <f t="shared" si="42"/>
        <v/>
      </c>
      <c r="CK12" s="530" t="str">
        <f t="shared" si="43"/>
        <v/>
      </c>
      <c r="CL12" s="530" t="str">
        <f t="shared" si="44"/>
        <v/>
      </c>
      <c r="CM12" s="82" t="str">
        <f t="shared" si="45"/>
        <v/>
      </c>
      <c r="CN12" s="496" t="str">
        <f t="shared" si="4"/>
        <v/>
      </c>
      <c r="CO12" s="496" t="str">
        <f t="shared" si="46"/>
        <v>0</v>
      </c>
      <c r="CP12" s="491">
        <f t="shared" si="47"/>
        <v>0</v>
      </c>
      <c r="CS12" s="496">
        <f t="shared" si="48"/>
        <v>0</v>
      </c>
      <c r="CT12" s="496">
        <f t="shared" si="49"/>
        <v>0</v>
      </c>
      <c r="CU12" s="497" t="str">
        <f t="shared" si="50"/>
        <v>00</v>
      </c>
    </row>
    <row r="13" spans="1:101" ht="15" customHeight="1">
      <c r="A13" s="1073">
        <v>10</v>
      </c>
      <c r="B13" s="922"/>
      <c r="C13" s="924" t="str">
        <f t="shared" si="5"/>
        <v/>
      </c>
      <c r="D13" s="1246"/>
      <c r="E13" s="925"/>
      <c r="F13" s="926"/>
      <c r="G13" s="1249"/>
      <c r="H13" s="927"/>
      <c r="I13" s="928"/>
      <c r="J13" s="929"/>
      <c r="K13" s="1012"/>
      <c r="L13" s="1012"/>
      <c r="M13" s="1017"/>
      <c r="N13" s="947"/>
      <c r="O13" s="406" t="str">
        <f t="shared" si="51"/>
        <v/>
      </c>
      <c r="P13" s="407" t="str">
        <f>IF(O13="","",VLOOKUP(O13,所属コード!$A$2:$E$11,2,FALSE))</f>
        <v/>
      </c>
      <c r="Q13" s="1033" t="str">
        <f>IF(O13="","",VLOOKUP(O13,所属コード!$A$2:$G$11,7,FALSE))</f>
        <v/>
      </c>
      <c r="R13" s="1035"/>
      <c r="S13" s="77"/>
      <c r="T13" s="77"/>
      <c r="U13" s="77"/>
      <c r="V13" s="15"/>
      <c r="X13" s="492"/>
      <c r="Y13" s="945" t="str">
        <f t="shared" si="6"/>
        <v/>
      </c>
      <c r="Z13" s="489" t="str">
        <f t="shared" si="7"/>
        <v/>
      </c>
      <c r="AA13" s="488"/>
      <c r="AB13" s="488"/>
      <c r="AC13" s="488"/>
      <c r="AD13" s="488"/>
      <c r="AE13" s="488"/>
      <c r="AF13" s="488"/>
      <c r="AG13" s="491"/>
      <c r="AH13" s="591"/>
      <c r="AI13" s="592"/>
      <c r="AJ13" s="592"/>
      <c r="AK13" s="592"/>
      <c r="AL13" s="592"/>
      <c r="AM13" s="592"/>
      <c r="AN13" s="592"/>
      <c r="AO13" s="592"/>
      <c r="AP13" s="592"/>
      <c r="AQ13" s="592"/>
      <c r="AR13" s="592"/>
      <c r="AS13" s="592"/>
      <c r="AT13" s="592"/>
      <c r="AU13" s="592"/>
      <c r="AV13" s="592"/>
      <c r="AW13" s="1084"/>
      <c r="AX13" s="609">
        <f t="shared" si="8"/>
        <v>0</v>
      </c>
      <c r="AY13" s="602">
        <f t="shared" si="0"/>
        <v>0</v>
      </c>
      <c r="AZ13" s="593">
        <f t="shared" si="1"/>
        <v>0</v>
      </c>
      <c r="BA13" s="594">
        <f t="shared" si="2"/>
        <v>0</v>
      </c>
      <c r="BB13" s="593">
        <f t="shared" si="3"/>
        <v>0</v>
      </c>
      <c r="BC13" s="593">
        <f t="shared" si="9"/>
        <v>0</v>
      </c>
      <c r="BD13" s="593">
        <f t="shared" si="10"/>
        <v>0</v>
      </c>
      <c r="BE13" s="593">
        <f t="shared" si="11"/>
        <v>0</v>
      </c>
      <c r="BF13" s="593">
        <f t="shared" si="12"/>
        <v>0</v>
      </c>
      <c r="BG13" s="593">
        <f t="shared" si="13"/>
        <v>0</v>
      </c>
      <c r="BH13" s="593">
        <f t="shared" si="14"/>
        <v>0</v>
      </c>
      <c r="BI13" s="593">
        <f t="shared" si="15"/>
        <v>0</v>
      </c>
      <c r="BJ13" s="593">
        <f t="shared" si="16"/>
        <v>0</v>
      </c>
      <c r="BK13" s="593">
        <f t="shared" si="17"/>
        <v>0</v>
      </c>
      <c r="BL13" s="593">
        <f t="shared" si="18"/>
        <v>0</v>
      </c>
      <c r="BM13" s="593">
        <f t="shared" si="19"/>
        <v>0</v>
      </c>
      <c r="BN13" s="593">
        <f t="shared" si="20"/>
        <v>0</v>
      </c>
      <c r="BO13" s="593">
        <f t="shared" si="21"/>
        <v>0</v>
      </c>
      <c r="BP13" s="593">
        <f t="shared" si="22"/>
        <v>0</v>
      </c>
      <c r="BQ13" s="593">
        <f t="shared" si="23"/>
        <v>0</v>
      </c>
      <c r="BR13" s="593">
        <f t="shared" si="24"/>
        <v>0</v>
      </c>
      <c r="BS13" s="593">
        <f t="shared" si="25"/>
        <v>0</v>
      </c>
      <c r="BT13" s="593">
        <f t="shared" si="26"/>
        <v>0</v>
      </c>
      <c r="BU13" s="593">
        <f t="shared" si="27"/>
        <v>0</v>
      </c>
      <c r="BV13" s="593">
        <f t="shared" si="28"/>
        <v>0</v>
      </c>
      <c r="BW13" s="593">
        <f t="shared" si="29"/>
        <v>0</v>
      </c>
      <c r="BX13" s="593">
        <f t="shared" si="30"/>
        <v>0</v>
      </c>
      <c r="BY13" s="593">
        <f t="shared" si="31"/>
        <v>0</v>
      </c>
      <c r="BZ13" s="593">
        <f t="shared" si="32"/>
        <v>0</v>
      </c>
      <c r="CA13" s="593">
        <f t="shared" si="33"/>
        <v>0</v>
      </c>
      <c r="CB13" s="593">
        <f t="shared" si="34"/>
        <v>0</v>
      </c>
      <c r="CC13" s="593">
        <f t="shared" si="35"/>
        <v>0</v>
      </c>
      <c r="CD13" s="593">
        <f t="shared" si="36"/>
        <v>0</v>
      </c>
      <c r="CE13" s="593">
        <f t="shared" si="37"/>
        <v>0</v>
      </c>
      <c r="CF13" s="595">
        <f t="shared" si="38"/>
        <v>0</v>
      </c>
      <c r="CG13" s="555" t="str">
        <f t="shared" si="39"/>
        <v/>
      </c>
      <c r="CH13" s="530" t="str">
        <f t="shared" si="40"/>
        <v/>
      </c>
      <c r="CI13" s="530" t="str">
        <f t="shared" si="41"/>
        <v/>
      </c>
      <c r="CJ13" s="530" t="str">
        <f t="shared" si="42"/>
        <v/>
      </c>
      <c r="CK13" s="530" t="str">
        <f t="shared" si="43"/>
        <v/>
      </c>
      <c r="CL13" s="530" t="str">
        <f t="shared" si="44"/>
        <v/>
      </c>
      <c r="CM13" s="82" t="str">
        <f t="shared" si="45"/>
        <v/>
      </c>
      <c r="CN13" s="496" t="str">
        <f t="shared" si="4"/>
        <v/>
      </c>
      <c r="CO13" s="496" t="str">
        <f t="shared" si="46"/>
        <v>0</v>
      </c>
      <c r="CP13" s="491">
        <f t="shared" si="47"/>
        <v>0</v>
      </c>
      <c r="CS13" s="496">
        <f t="shared" si="48"/>
        <v>0</v>
      </c>
      <c r="CT13" s="496">
        <f t="shared" si="49"/>
        <v>0</v>
      </c>
      <c r="CU13" s="497" t="str">
        <f t="shared" si="50"/>
        <v>00</v>
      </c>
    </row>
    <row r="14" spans="1:101" ht="15" customHeight="1">
      <c r="A14" s="1073">
        <v>11</v>
      </c>
      <c r="B14" s="922"/>
      <c r="C14" s="924" t="str">
        <f t="shared" si="5"/>
        <v/>
      </c>
      <c r="D14" s="1246"/>
      <c r="E14" s="925"/>
      <c r="F14" s="926"/>
      <c r="G14" s="1249"/>
      <c r="H14" s="927"/>
      <c r="I14" s="928"/>
      <c r="J14" s="929"/>
      <c r="K14" s="1012"/>
      <c r="L14" s="1012"/>
      <c r="M14" s="1017"/>
      <c r="N14" s="947"/>
      <c r="O14" s="406" t="str">
        <f t="shared" si="51"/>
        <v/>
      </c>
      <c r="P14" s="407" t="str">
        <f>IF(O14="","",VLOOKUP(O14,所属コード!$A$2:$E$11,2,FALSE))</f>
        <v/>
      </c>
      <c r="Q14" s="1033" t="str">
        <f>IF(O14="","",VLOOKUP(O14,所属コード!$A$2:$G$11,7,FALSE))</f>
        <v/>
      </c>
      <c r="R14" s="1035"/>
      <c r="S14" s="77"/>
      <c r="T14" s="77"/>
      <c r="U14" s="77"/>
      <c r="V14" s="15"/>
      <c r="X14" s="492"/>
      <c r="Y14" s="945" t="str">
        <f t="shared" si="6"/>
        <v/>
      </c>
      <c r="Z14" s="489" t="str">
        <f t="shared" si="7"/>
        <v/>
      </c>
      <c r="AA14" s="488"/>
      <c r="AB14" s="488"/>
      <c r="AC14" s="488"/>
      <c r="AD14" s="488"/>
      <c r="AE14" s="488"/>
      <c r="AF14" s="488"/>
      <c r="AG14" s="491"/>
      <c r="AH14" s="591"/>
      <c r="AI14" s="592"/>
      <c r="AJ14" s="592"/>
      <c r="AK14" s="592"/>
      <c r="AL14" s="592"/>
      <c r="AM14" s="592"/>
      <c r="AN14" s="592"/>
      <c r="AO14" s="592"/>
      <c r="AP14" s="592"/>
      <c r="AQ14" s="592"/>
      <c r="AR14" s="592"/>
      <c r="AS14" s="592"/>
      <c r="AT14" s="592"/>
      <c r="AU14" s="592"/>
      <c r="AV14" s="592"/>
      <c r="AW14" s="1084"/>
      <c r="AX14" s="609">
        <f t="shared" si="8"/>
        <v>0</v>
      </c>
      <c r="AY14" s="602">
        <f t="shared" si="0"/>
        <v>0</v>
      </c>
      <c r="AZ14" s="593">
        <f t="shared" si="1"/>
        <v>0</v>
      </c>
      <c r="BA14" s="594">
        <f t="shared" si="2"/>
        <v>0</v>
      </c>
      <c r="BB14" s="593">
        <f t="shared" si="3"/>
        <v>0</v>
      </c>
      <c r="BC14" s="593">
        <f t="shared" si="9"/>
        <v>0</v>
      </c>
      <c r="BD14" s="593">
        <f t="shared" si="10"/>
        <v>0</v>
      </c>
      <c r="BE14" s="593">
        <f t="shared" si="11"/>
        <v>0</v>
      </c>
      <c r="BF14" s="593">
        <f t="shared" si="12"/>
        <v>0</v>
      </c>
      <c r="BG14" s="593">
        <f t="shared" si="13"/>
        <v>0</v>
      </c>
      <c r="BH14" s="593">
        <f t="shared" si="14"/>
        <v>0</v>
      </c>
      <c r="BI14" s="593">
        <f t="shared" si="15"/>
        <v>0</v>
      </c>
      <c r="BJ14" s="593">
        <f t="shared" si="16"/>
        <v>0</v>
      </c>
      <c r="BK14" s="593">
        <f t="shared" si="17"/>
        <v>0</v>
      </c>
      <c r="BL14" s="593">
        <f t="shared" si="18"/>
        <v>0</v>
      </c>
      <c r="BM14" s="593">
        <f t="shared" si="19"/>
        <v>0</v>
      </c>
      <c r="BN14" s="593">
        <f t="shared" si="20"/>
        <v>0</v>
      </c>
      <c r="BO14" s="593">
        <f t="shared" si="21"/>
        <v>0</v>
      </c>
      <c r="BP14" s="593">
        <f t="shared" si="22"/>
        <v>0</v>
      </c>
      <c r="BQ14" s="593">
        <f t="shared" si="23"/>
        <v>0</v>
      </c>
      <c r="BR14" s="593">
        <f t="shared" si="24"/>
        <v>0</v>
      </c>
      <c r="BS14" s="593">
        <f t="shared" si="25"/>
        <v>0</v>
      </c>
      <c r="BT14" s="593">
        <f t="shared" si="26"/>
        <v>0</v>
      </c>
      <c r="BU14" s="593">
        <f t="shared" si="27"/>
        <v>0</v>
      </c>
      <c r="BV14" s="593">
        <f t="shared" si="28"/>
        <v>0</v>
      </c>
      <c r="BW14" s="593">
        <f t="shared" si="29"/>
        <v>0</v>
      </c>
      <c r="BX14" s="593">
        <f t="shared" si="30"/>
        <v>0</v>
      </c>
      <c r="BY14" s="593">
        <f t="shared" si="31"/>
        <v>0</v>
      </c>
      <c r="BZ14" s="593">
        <f t="shared" si="32"/>
        <v>0</v>
      </c>
      <c r="CA14" s="593">
        <f t="shared" si="33"/>
        <v>0</v>
      </c>
      <c r="CB14" s="593">
        <f t="shared" si="34"/>
        <v>0</v>
      </c>
      <c r="CC14" s="593">
        <f t="shared" si="35"/>
        <v>0</v>
      </c>
      <c r="CD14" s="593">
        <f t="shared" si="36"/>
        <v>0</v>
      </c>
      <c r="CE14" s="593">
        <f t="shared" si="37"/>
        <v>0</v>
      </c>
      <c r="CF14" s="595">
        <f t="shared" si="38"/>
        <v>0</v>
      </c>
      <c r="CG14" s="555" t="str">
        <f t="shared" si="39"/>
        <v/>
      </c>
      <c r="CH14" s="530" t="str">
        <f t="shared" si="40"/>
        <v/>
      </c>
      <c r="CI14" s="530" t="str">
        <f t="shared" si="41"/>
        <v/>
      </c>
      <c r="CJ14" s="530" t="str">
        <f t="shared" si="42"/>
        <v/>
      </c>
      <c r="CK14" s="530" t="str">
        <f t="shared" si="43"/>
        <v/>
      </c>
      <c r="CL14" s="530" t="str">
        <f t="shared" si="44"/>
        <v/>
      </c>
      <c r="CM14" s="82" t="str">
        <f t="shared" si="45"/>
        <v/>
      </c>
      <c r="CN14" s="496" t="str">
        <f t="shared" si="4"/>
        <v/>
      </c>
      <c r="CO14" s="496" t="str">
        <f t="shared" ref="CO14:CO77" si="52">IF(M14&lt;10,CONCATENATE(0,M14),M14)</f>
        <v>0</v>
      </c>
      <c r="CP14" s="491">
        <f t="shared" si="47"/>
        <v>0</v>
      </c>
      <c r="CS14" s="496">
        <f t="shared" si="48"/>
        <v>0</v>
      </c>
      <c r="CT14" s="496">
        <f t="shared" si="49"/>
        <v>0</v>
      </c>
      <c r="CU14" s="497" t="str">
        <f t="shared" si="50"/>
        <v>00</v>
      </c>
    </row>
    <row r="15" spans="1:101" s="5" customFormat="1" ht="15" customHeight="1">
      <c r="A15" s="1073">
        <v>12</v>
      </c>
      <c r="B15" s="922"/>
      <c r="C15" s="924" t="str">
        <f t="shared" si="5"/>
        <v/>
      </c>
      <c r="D15" s="1246"/>
      <c r="E15" s="925"/>
      <c r="F15" s="926"/>
      <c r="G15" s="1249"/>
      <c r="H15" s="927"/>
      <c r="I15" s="928"/>
      <c r="J15" s="929"/>
      <c r="K15" s="1012"/>
      <c r="L15" s="1012"/>
      <c r="M15" s="1017"/>
      <c r="N15" s="947"/>
      <c r="O15" s="406" t="str">
        <f t="shared" si="51"/>
        <v/>
      </c>
      <c r="P15" s="407" t="str">
        <f>IF(O15="","",VLOOKUP(O15,所属コード!$A$2:$E$11,2,FALSE))</f>
        <v/>
      </c>
      <c r="Q15" s="1033" t="str">
        <f>IF(O15="","",VLOOKUP(O15,所属コード!$A$2:$G$11,7,FALSE))</f>
        <v/>
      </c>
      <c r="R15" s="1035"/>
      <c r="S15" s="77"/>
      <c r="T15" s="77"/>
      <c r="U15" s="77"/>
      <c r="V15" s="15"/>
      <c r="X15" s="492"/>
      <c r="Y15" s="945" t="str">
        <f t="shared" si="6"/>
        <v/>
      </c>
      <c r="Z15" s="489" t="str">
        <f t="shared" si="7"/>
        <v/>
      </c>
      <c r="AA15" s="488"/>
      <c r="AB15" s="488"/>
      <c r="AC15" s="488"/>
      <c r="AD15" s="488"/>
      <c r="AE15" s="488"/>
      <c r="AF15" s="488"/>
      <c r="AG15" s="491"/>
      <c r="AH15" s="591"/>
      <c r="AI15" s="592"/>
      <c r="AJ15" s="592"/>
      <c r="AK15" s="592"/>
      <c r="AL15" s="592"/>
      <c r="AM15" s="592"/>
      <c r="AN15" s="592"/>
      <c r="AO15" s="592"/>
      <c r="AP15" s="592"/>
      <c r="AQ15" s="592"/>
      <c r="AR15" s="592"/>
      <c r="AS15" s="592"/>
      <c r="AT15" s="592"/>
      <c r="AU15" s="592"/>
      <c r="AV15" s="592"/>
      <c r="AW15" s="1084"/>
      <c r="AX15" s="609">
        <f t="shared" si="8"/>
        <v>0</v>
      </c>
      <c r="AY15" s="602">
        <f t="shared" si="0"/>
        <v>0</v>
      </c>
      <c r="AZ15" s="593">
        <f t="shared" si="1"/>
        <v>0</v>
      </c>
      <c r="BA15" s="594">
        <f t="shared" si="2"/>
        <v>0</v>
      </c>
      <c r="BB15" s="593">
        <f t="shared" si="3"/>
        <v>0</v>
      </c>
      <c r="BC15" s="593">
        <f t="shared" si="9"/>
        <v>0</v>
      </c>
      <c r="BD15" s="593">
        <f t="shared" si="10"/>
        <v>0</v>
      </c>
      <c r="BE15" s="593">
        <f t="shared" si="11"/>
        <v>0</v>
      </c>
      <c r="BF15" s="593">
        <f t="shared" si="12"/>
        <v>0</v>
      </c>
      <c r="BG15" s="593">
        <f t="shared" si="13"/>
        <v>0</v>
      </c>
      <c r="BH15" s="593">
        <f t="shared" si="14"/>
        <v>0</v>
      </c>
      <c r="BI15" s="593">
        <f t="shared" si="15"/>
        <v>0</v>
      </c>
      <c r="BJ15" s="593">
        <f t="shared" si="16"/>
        <v>0</v>
      </c>
      <c r="BK15" s="593">
        <f t="shared" si="17"/>
        <v>0</v>
      </c>
      <c r="BL15" s="593">
        <f t="shared" si="18"/>
        <v>0</v>
      </c>
      <c r="BM15" s="593">
        <f t="shared" si="19"/>
        <v>0</v>
      </c>
      <c r="BN15" s="593">
        <f t="shared" si="20"/>
        <v>0</v>
      </c>
      <c r="BO15" s="593">
        <f t="shared" si="21"/>
        <v>0</v>
      </c>
      <c r="BP15" s="593">
        <f t="shared" si="22"/>
        <v>0</v>
      </c>
      <c r="BQ15" s="593">
        <f t="shared" si="23"/>
        <v>0</v>
      </c>
      <c r="BR15" s="593">
        <f t="shared" si="24"/>
        <v>0</v>
      </c>
      <c r="BS15" s="593">
        <f t="shared" si="25"/>
        <v>0</v>
      </c>
      <c r="BT15" s="593">
        <f t="shared" si="26"/>
        <v>0</v>
      </c>
      <c r="BU15" s="593">
        <f t="shared" si="27"/>
        <v>0</v>
      </c>
      <c r="BV15" s="593">
        <f t="shared" si="28"/>
        <v>0</v>
      </c>
      <c r="BW15" s="593">
        <f t="shared" si="29"/>
        <v>0</v>
      </c>
      <c r="BX15" s="593">
        <f t="shared" si="30"/>
        <v>0</v>
      </c>
      <c r="BY15" s="593">
        <f t="shared" si="31"/>
        <v>0</v>
      </c>
      <c r="BZ15" s="593">
        <f t="shared" si="32"/>
        <v>0</v>
      </c>
      <c r="CA15" s="593">
        <f t="shared" si="33"/>
        <v>0</v>
      </c>
      <c r="CB15" s="593">
        <f t="shared" si="34"/>
        <v>0</v>
      </c>
      <c r="CC15" s="593">
        <f t="shared" si="35"/>
        <v>0</v>
      </c>
      <c r="CD15" s="593">
        <f t="shared" si="36"/>
        <v>0</v>
      </c>
      <c r="CE15" s="593">
        <f t="shared" si="37"/>
        <v>0</v>
      </c>
      <c r="CF15" s="595">
        <f t="shared" si="38"/>
        <v>0</v>
      </c>
      <c r="CG15" s="555" t="str">
        <f t="shared" si="39"/>
        <v/>
      </c>
      <c r="CH15" s="530" t="str">
        <f t="shared" si="40"/>
        <v/>
      </c>
      <c r="CI15" s="530" t="str">
        <f t="shared" si="41"/>
        <v/>
      </c>
      <c r="CJ15" s="530" t="str">
        <f t="shared" si="42"/>
        <v/>
      </c>
      <c r="CK15" s="530" t="str">
        <f t="shared" si="43"/>
        <v/>
      </c>
      <c r="CL15" s="530" t="str">
        <f t="shared" si="44"/>
        <v/>
      </c>
      <c r="CM15" s="82" t="str">
        <f t="shared" si="45"/>
        <v/>
      </c>
      <c r="CN15" s="496" t="str">
        <f t="shared" si="4"/>
        <v/>
      </c>
      <c r="CO15" s="496" t="str">
        <f t="shared" si="52"/>
        <v>0</v>
      </c>
      <c r="CP15" s="491">
        <f t="shared" si="47"/>
        <v>0</v>
      </c>
      <c r="CQ15" s="906"/>
      <c r="CR15" s="935"/>
      <c r="CS15" s="496">
        <f t="shared" si="48"/>
        <v>0</v>
      </c>
      <c r="CT15" s="496">
        <f t="shared" si="49"/>
        <v>0</v>
      </c>
      <c r="CU15" s="497" t="str">
        <f t="shared" si="50"/>
        <v>00</v>
      </c>
    </row>
    <row r="16" spans="1:101" s="5" customFormat="1" ht="15" customHeight="1">
      <c r="A16" s="1073">
        <v>13</v>
      </c>
      <c r="B16" s="922"/>
      <c r="C16" s="924" t="str">
        <f t="shared" si="5"/>
        <v/>
      </c>
      <c r="D16" s="1246"/>
      <c r="E16" s="925"/>
      <c r="F16" s="914"/>
      <c r="G16" s="1249"/>
      <c r="H16" s="915"/>
      <c r="I16" s="916"/>
      <c r="J16" s="917"/>
      <c r="K16" s="1012"/>
      <c r="L16" s="1012"/>
      <c r="M16" s="1017"/>
      <c r="N16" s="947"/>
      <c r="O16" s="406" t="str">
        <f t="shared" si="51"/>
        <v/>
      </c>
      <c r="P16" s="407" t="str">
        <f>IF(O16="","",VLOOKUP(O16,所属コード!$A$2:$E$11,2,FALSE))</f>
        <v/>
      </c>
      <c r="Q16" s="1033" t="str">
        <f>IF(O16="","",VLOOKUP(O16,所属コード!$A$2:$G$11,7,FALSE))</f>
        <v/>
      </c>
      <c r="R16" s="1035"/>
      <c r="S16" s="77"/>
      <c r="T16" s="77"/>
      <c r="U16" s="77"/>
      <c r="V16" s="15"/>
      <c r="X16" s="492"/>
      <c r="Y16" s="945" t="str">
        <f t="shared" si="6"/>
        <v/>
      </c>
      <c r="Z16" s="489" t="str">
        <f t="shared" si="7"/>
        <v/>
      </c>
      <c r="AA16" s="488"/>
      <c r="AB16" s="488"/>
      <c r="AC16" s="488"/>
      <c r="AD16" s="488"/>
      <c r="AE16" s="488"/>
      <c r="AF16" s="488"/>
      <c r="AG16" s="491"/>
      <c r="AH16" s="591"/>
      <c r="AI16" s="592"/>
      <c r="AJ16" s="592"/>
      <c r="AK16" s="592"/>
      <c r="AL16" s="592"/>
      <c r="AM16" s="592"/>
      <c r="AN16" s="592"/>
      <c r="AO16" s="592"/>
      <c r="AP16" s="592"/>
      <c r="AQ16" s="592"/>
      <c r="AR16" s="592"/>
      <c r="AS16" s="592"/>
      <c r="AT16" s="592"/>
      <c r="AU16" s="592"/>
      <c r="AV16" s="592"/>
      <c r="AW16" s="1084"/>
      <c r="AX16" s="609">
        <f t="shared" si="8"/>
        <v>0</v>
      </c>
      <c r="AY16" s="602">
        <f t="shared" si="0"/>
        <v>0</v>
      </c>
      <c r="AZ16" s="593">
        <f t="shared" si="1"/>
        <v>0</v>
      </c>
      <c r="BA16" s="594">
        <f t="shared" si="2"/>
        <v>0</v>
      </c>
      <c r="BB16" s="593">
        <f t="shared" si="3"/>
        <v>0</v>
      </c>
      <c r="BC16" s="593">
        <f t="shared" si="9"/>
        <v>0</v>
      </c>
      <c r="BD16" s="593">
        <f t="shared" si="10"/>
        <v>0</v>
      </c>
      <c r="BE16" s="593">
        <f t="shared" si="11"/>
        <v>0</v>
      </c>
      <c r="BF16" s="593">
        <f t="shared" si="12"/>
        <v>0</v>
      </c>
      <c r="BG16" s="593">
        <f t="shared" si="13"/>
        <v>0</v>
      </c>
      <c r="BH16" s="593">
        <f t="shared" si="14"/>
        <v>0</v>
      </c>
      <c r="BI16" s="593">
        <f t="shared" si="15"/>
        <v>0</v>
      </c>
      <c r="BJ16" s="593">
        <f t="shared" si="16"/>
        <v>0</v>
      </c>
      <c r="BK16" s="593">
        <f t="shared" si="17"/>
        <v>0</v>
      </c>
      <c r="BL16" s="593">
        <f t="shared" si="18"/>
        <v>0</v>
      </c>
      <c r="BM16" s="593">
        <f t="shared" si="19"/>
        <v>0</v>
      </c>
      <c r="BN16" s="593">
        <f t="shared" si="20"/>
        <v>0</v>
      </c>
      <c r="BO16" s="593">
        <f t="shared" si="21"/>
        <v>0</v>
      </c>
      <c r="BP16" s="593">
        <f t="shared" si="22"/>
        <v>0</v>
      </c>
      <c r="BQ16" s="593">
        <f t="shared" si="23"/>
        <v>0</v>
      </c>
      <c r="BR16" s="593">
        <f t="shared" si="24"/>
        <v>0</v>
      </c>
      <c r="BS16" s="593">
        <f t="shared" si="25"/>
        <v>0</v>
      </c>
      <c r="BT16" s="593">
        <f t="shared" si="26"/>
        <v>0</v>
      </c>
      <c r="BU16" s="593">
        <f t="shared" si="27"/>
        <v>0</v>
      </c>
      <c r="BV16" s="593">
        <f t="shared" si="28"/>
        <v>0</v>
      </c>
      <c r="BW16" s="593">
        <f t="shared" si="29"/>
        <v>0</v>
      </c>
      <c r="BX16" s="593">
        <f t="shared" si="30"/>
        <v>0</v>
      </c>
      <c r="BY16" s="593">
        <f t="shared" si="31"/>
        <v>0</v>
      </c>
      <c r="BZ16" s="593">
        <f t="shared" si="32"/>
        <v>0</v>
      </c>
      <c r="CA16" s="593">
        <f t="shared" si="33"/>
        <v>0</v>
      </c>
      <c r="CB16" s="593">
        <f t="shared" si="34"/>
        <v>0</v>
      </c>
      <c r="CC16" s="593">
        <f t="shared" si="35"/>
        <v>0</v>
      </c>
      <c r="CD16" s="593">
        <f t="shared" si="36"/>
        <v>0</v>
      </c>
      <c r="CE16" s="593">
        <f t="shared" si="37"/>
        <v>0</v>
      </c>
      <c r="CF16" s="595">
        <f t="shared" si="38"/>
        <v>0</v>
      </c>
      <c r="CG16" s="555" t="str">
        <f t="shared" si="39"/>
        <v/>
      </c>
      <c r="CH16" s="530" t="str">
        <f t="shared" si="40"/>
        <v/>
      </c>
      <c r="CI16" s="530" t="str">
        <f t="shared" si="41"/>
        <v/>
      </c>
      <c r="CJ16" s="530" t="str">
        <f t="shared" si="42"/>
        <v/>
      </c>
      <c r="CK16" s="530" t="str">
        <f t="shared" si="43"/>
        <v/>
      </c>
      <c r="CL16" s="530" t="str">
        <f t="shared" si="44"/>
        <v/>
      </c>
      <c r="CM16" s="82" t="str">
        <f t="shared" si="45"/>
        <v/>
      </c>
      <c r="CN16" s="496" t="str">
        <f t="shared" si="4"/>
        <v/>
      </c>
      <c r="CO16" s="496" t="str">
        <f t="shared" si="52"/>
        <v>0</v>
      </c>
      <c r="CP16" s="491">
        <f t="shared" si="47"/>
        <v>0</v>
      </c>
      <c r="CQ16" s="906"/>
      <c r="CR16" s="935"/>
      <c r="CS16" s="496">
        <f t="shared" si="48"/>
        <v>0</v>
      </c>
      <c r="CT16" s="496">
        <f t="shared" si="49"/>
        <v>0</v>
      </c>
      <c r="CU16" s="497" t="str">
        <f t="shared" si="50"/>
        <v>00</v>
      </c>
    </row>
    <row r="17" spans="1:99" s="5" customFormat="1" ht="15" customHeight="1">
      <c r="A17" s="1073">
        <v>14</v>
      </c>
      <c r="B17" s="922"/>
      <c r="C17" s="924" t="str">
        <f t="shared" si="5"/>
        <v/>
      </c>
      <c r="D17" s="1246"/>
      <c r="E17" s="925"/>
      <c r="F17" s="914"/>
      <c r="G17" s="1249"/>
      <c r="H17" s="915"/>
      <c r="I17" s="916"/>
      <c r="J17" s="917"/>
      <c r="K17" s="1012"/>
      <c r="L17" s="1012"/>
      <c r="M17" s="1017"/>
      <c r="N17" s="947"/>
      <c r="O17" s="406" t="str">
        <f t="shared" si="51"/>
        <v/>
      </c>
      <c r="P17" s="407" t="str">
        <f>IF(O17="","",VLOOKUP(O17,所属コード!$A$2:$E$11,2,FALSE))</f>
        <v/>
      </c>
      <c r="Q17" s="1033" t="str">
        <f>IF(O17="","",VLOOKUP(O17,所属コード!$A$2:$G$11,7,FALSE))</f>
        <v/>
      </c>
      <c r="R17" s="1035"/>
      <c r="S17" s="77"/>
      <c r="T17" s="77"/>
      <c r="U17" s="77"/>
      <c r="V17" s="15"/>
      <c r="X17" s="492"/>
      <c r="Y17" s="945" t="str">
        <f t="shared" si="6"/>
        <v/>
      </c>
      <c r="Z17" s="489" t="str">
        <f t="shared" si="7"/>
        <v/>
      </c>
      <c r="AA17" s="488"/>
      <c r="AB17" s="488"/>
      <c r="AC17" s="488"/>
      <c r="AD17" s="488"/>
      <c r="AE17" s="488"/>
      <c r="AF17" s="488"/>
      <c r="AG17" s="491"/>
      <c r="AH17" s="591"/>
      <c r="AI17" s="592"/>
      <c r="AJ17" s="592"/>
      <c r="AK17" s="592"/>
      <c r="AL17" s="592"/>
      <c r="AM17" s="592"/>
      <c r="AN17" s="592"/>
      <c r="AO17" s="592"/>
      <c r="AP17" s="592"/>
      <c r="AQ17" s="592"/>
      <c r="AR17" s="592"/>
      <c r="AS17" s="592"/>
      <c r="AT17" s="592"/>
      <c r="AU17" s="592"/>
      <c r="AV17" s="592"/>
      <c r="AW17" s="1084"/>
      <c r="AX17" s="609">
        <f t="shared" si="8"/>
        <v>0</v>
      </c>
      <c r="AY17" s="602">
        <f t="shared" si="0"/>
        <v>0</v>
      </c>
      <c r="AZ17" s="593">
        <f t="shared" si="1"/>
        <v>0</v>
      </c>
      <c r="BA17" s="594">
        <f t="shared" si="2"/>
        <v>0</v>
      </c>
      <c r="BB17" s="593">
        <f t="shared" si="3"/>
        <v>0</v>
      </c>
      <c r="BC17" s="593">
        <f t="shared" si="9"/>
        <v>0</v>
      </c>
      <c r="BD17" s="593">
        <f t="shared" si="10"/>
        <v>0</v>
      </c>
      <c r="BE17" s="593">
        <f t="shared" si="11"/>
        <v>0</v>
      </c>
      <c r="BF17" s="593">
        <f t="shared" si="12"/>
        <v>0</v>
      </c>
      <c r="BG17" s="593">
        <f t="shared" si="13"/>
        <v>0</v>
      </c>
      <c r="BH17" s="593">
        <f t="shared" si="14"/>
        <v>0</v>
      </c>
      <c r="BI17" s="593">
        <f t="shared" si="15"/>
        <v>0</v>
      </c>
      <c r="BJ17" s="593">
        <f t="shared" si="16"/>
        <v>0</v>
      </c>
      <c r="BK17" s="593">
        <f t="shared" si="17"/>
        <v>0</v>
      </c>
      <c r="BL17" s="593">
        <f t="shared" si="18"/>
        <v>0</v>
      </c>
      <c r="BM17" s="593">
        <f t="shared" si="19"/>
        <v>0</v>
      </c>
      <c r="BN17" s="593">
        <f t="shared" si="20"/>
        <v>0</v>
      </c>
      <c r="BO17" s="593">
        <f t="shared" si="21"/>
        <v>0</v>
      </c>
      <c r="BP17" s="593">
        <f t="shared" si="22"/>
        <v>0</v>
      </c>
      <c r="BQ17" s="593">
        <f t="shared" si="23"/>
        <v>0</v>
      </c>
      <c r="BR17" s="593">
        <f t="shared" si="24"/>
        <v>0</v>
      </c>
      <c r="BS17" s="593">
        <f t="shared" si="25"/>
        <v>0</v>
      </c>
      <c r="BT17" s="593">
        <f t="shared" si="26"/>
        <v>0</v>
      </c>
      <c r="BU17" s="593">
        <f t="shared" si="27"/>
        <v>0</v>
      </c>
      <c r="BV17" s="593">
        <f t="shared" si="28"/>
        <v>0</v>
      </c>
      <c r="BW17" s="593">
        <f t="shared" si="29"/>
        <v>0</v>
      </c>
      <c r="BX17" s="593">
        <f t="shared" si="30"/>
        <v>0</v>
      </c>
      <c r="BY17" s="593">
        <f t="shared" si="31"/>
        <v>0</v>
      </c>
      <c r="BZ17" s="593">
        <f t="shared" si="32"/>
        <v>0</v>
      </c>
      <c r="CA17" s="593">
        <f t="shared" si="33"/>
        <v>0</v>
      </c>
      <c r="CB17" s="593">
        <f t="shared" si="34"/>
        <v>0</v>
      </c>
      <c r="CC17" s="593">
        <f t="shared" si="35"/>
        <v>0</v>
      </c>
      <c r="CD17" s="593">
        <f t="shared" si="36"/>
        <v>0</v>
      </c>
      <c r="CE17" s="593">
        <f t="shared" si="37"/>
        <v>0</v>
      </c>
      <c r="CF17" s="595">
        <f t="shared" si="38"/>
        <v>0</v>
      </c>
      <c r="CG17" s="555" t="str">
        <f t="shared" si="39"/>
        <v/>
      </c>
      <c r="CH17" s="530" t="str">
        <f t="shared" si="40"/>
        <v/>
      </c>
      <c r="CI17" s="530" t="str">
        <f t="shared" si="41"/>
        <v/>
      </c>
      <c r="CJ17" s="530" t="str">
        <f t="shared" si="42"/>
        <v/>
      </c>
      <c r="CK17" s="530" t="str">
        <f t="shared" si="43"/>
        <v/>
      </c>
      <c r="CL17" s="530" t="str">
        <f t="shared" si="44"/>
        <v/>
      </c>
      <c r="CM17" s="82" t="str">
        <f t="shared" si="45"/>
        <v/>
      </c>
      <c r="CN17" s="496" t="str">
        <f t="shared" si="4"/>
        <v/>
      </c>
      <c r="CO17" s="496" t="str">
        <f t="shared" si="52"/>
        <v>0</v>
      </c>
      <c r="CP17" s="491">
        <f t="shared" si="47"/>
        <v>0</v>
      </c>
      <c r="CQ17" s="906"/>
      <c r="CR17" s="935"/>
      <c r="CS17" s="496">
        <f t="shared" si="48"/>
        <v>0</v>
      </c>
      <c r="CT17" s="496">
        <f t="shared" si="49"/>
        <v>0</v>
      </c>
      <c r="CU17" s="497" t="str">
        <f t="shared" si="50"/>
        <v>00</v>
      </c>
    </row>
    <row r="18" spans="1:99" s="5" customFormat="1" ht="15" customHeight="1">
      <c r="A18" s="1073">
        <v>15</v>
      </c>
      <c r="B18" s="922"/>
      <c r="C18" s="924" t="str">
        <f t="shared" si="5"/>
        <v/>
      </c>
      <c r="D18" s="1246"/>
      <c r="E18" s="913"/>
      <c r="F18" s="914"/>
      <c r="G18" s="1249"/>
      <c r="H18" s="915"/>
      <c r="I18" s="916"/>
      <c r="J18" s="917"/>
      <c r="K18" s="1012"/>
      <c r="L18" s="1012"/>
      <c r="M18" s="1017"/>
      <c r="N18" s="947"/>
      <c r="O18" s="406" t="str">
        <f t="shared" si="51"/>
        <v/>
      </c>
      <c r="P18" s="407" t="str">
        <f>IF(O18="","",VLOOKUP(O18,所属コード!$A$2:$E$11,2,FALSE))</f>
        <v/>
      </c>
      <c r="Q18" s="1033" t="str">
        <f>IF(O18="","",VLOOKUP(O18,所属コード!$A$2:$G$11,7,FALSE))</f>
        <v/>
      </c>
      <c r="R18" s="1035"/>
      <c r="S18" s="77"/>
      <c r="T18" s="77"/>
      <c r="U18" s="77"/>
      <c r="V18" s="15"/>
      <c r="X18" s="492"/>
      <c r="Y18" s="945" t="str">
        <f t="shared" si="6"/>
        <v/>
      </c>
      <c r="Z18" s="489" t="str">
        <f t="shared" si="7"/>
        <v/>
      </c>
      <c r="AA18" s="488"/>
      <c r="AB18" s="488"/>
      <c r="AC18" s="488"/>
      <c r="AD18" s="488"/>
      <c r="AE18" s="488"/>
      <c r="AF18" s="488"/>
      <c r="AG18" s="491"/>
      <c r="AH18" s="591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1084"/>
      <c r="AX18" s="609">
        <f t="shared" si="8"/>
        <v>0</v>
      </c>
      <c r="AY18" s="602">
        <f t="shared" si="0"/>
        <v>0</v>
      </c>
      <c r="AZ18" s="593">
        <f t="shared" si="1"/>
        <v>0</v>
      </c>
      <c r="BA18" s="594">
        <f t="shared" si="2"/>
        <v>0</v>
      </c>
      <c r="BB18" s="593">
        <f t="shared" si="3"/>
        <v>0</v>
      </c>
      <c r="BC18" s="593">
        <f t="shared" si="9"/>
        <v>0</v>
      </c>
      <c r="BD18" s="593">
        <f t="shared" si="10"/>
        <v>0</v>
      </c>
      <c r="BE18" s="593">
        <f t="shared" si="11"/>
        <v>0</v>
      </c>
      <c r="BF18" s="593">
        <f t="shared" si="12"/>
        <v>0</v>
      </c>
      <c r="BG18" s="593">
        <f t="shared" si="13"/>
        <v>0</v>
      </c>
      <c r="BH18" s="593">
        <f t="shared" si="14"/>
        <v>0</v>
      </c>
      <c r="BI18" s="593">
        <f t="shared" si="15"/>
        <v>0</v>
      </c>
      <c r="BJ18" s="593">
        <f t="shared" si="16"/>
        <v>0</v>
      </c>
      <c r="BK18" s="593">
        <f t="shared" si="17"/>
        <v>0</v>
      </c>
      <c r="BL18" s="593">
        <f t="shared" si="18"/>
        <v>0</v>
      </c>
      <c r="BM18" s="593">
        <f t="shared" si="19"/>
        <v>0</v>
      </c>
      <c r="BN18" s="593">
        <f t="shared" si="20"/>
        <v>0</v>
      </c>
      <c r="BO18" s="593">
        <f t="shared" si="21"/>
        <v>0</v>
      </c>
      <c r="BP18" s="593">
        <f t="shared" si="22"/>
        <v>0</v>
      </c>
      <c r="BQ18" s="593">
        <f t="shared" si="23"/>
        <v>0</v>
      </c>
      <c r="BR18" s="593">
        <f t="shared" si="24"/>
        <v>0</v>
      </c>
      <c r="BS18" s="593">
        <f t="shared" si="25"/>
        <v>0</v>
      </c>
      <c r="BT18" s="593">
        <f t="shared" si="26"/>
        <v>0</v>
      </c>
      <c r="BU18" s="593">
        <f t="shared" si="27"/>
        <v>0</v>
      </c>
      <c r="BV18" s="593">
        <f t="shared" si="28"/>
        <v>0</v>
      </c>
      <c r="BW18" s="593">
        <f t="shared" si="29"/>
        <v>0</v>
      </c>
      <c r="BX18" s="593">
        <f t="shared" si="30"/>
        <v>0</v>
      </c>
      <c r="BY18" s="593">
        <f t="shared" si="31"/>
        <v>0</v>
      </c>
      <c r="BZ18" s="593">
        <f t="shared" si="32"/>
        <v>0</v>
      </c>
      <c r="CA18" s="593">
        <f t="shared" si="33"/>
        <v>0</v>
      </c>
      <c r="CB18" s="593">
        <f t="shared" si="34"/>
        <v>0</v>
      </c>
      <c r="CC18" s="593">
        <f t="shared" si="35"/>
        <v>0</v>
      </c>
      <c r="CD18" s="593">
        <f t="shared" si="36"/>
        <v>0</v>
      </c>
      <c r="CE18" s="593">
        <f t="shared" si="37"/>
        <v>0</v>
      </c>
      <c r="CF18" s="595">
        <f t="shared" si="38"/>
        <v>0</v>
      </c>
      <c r="CG18" s="555" t="str">
        <f t="shared" si="39"/>
        <v/>
      </c>
      <c r="CH18" s="530" t="str">
        <f t="shared" si="40"/>
        <v/>
      </c>
      <c r="CI18" s="530" t="str">
        <f t="shared" si="41"/>
        <v/>
      </c>
      <c r="CJ18" s="530" t="str">
        <f t="shared" si="42"/>
        <v/>
      </c>
      <c r="CK18" s="530" t="str">
        <f t="shared" si="43"/>
        <v/>
      </c>
      <c r="CL18" s="530" t="str">
        <f t="shared" si="44"/>
        <v/>
      </c>
      <c r="CM18" s="82" t="str">
        <f t="shared" si="45"/>
        <v/>
      </c>
      <c r="CN18" s="496" t="str">
        <f t="shared" si="4"/>
        <v/>
      </c>
      <c r="CO18" s="496" t="str">
        <f t="shared" si="52"/>
        <v>0</v>
      </c>
      <c r="CP18" s="491">
        <f t="shared" si="47"/>
        <v>0</v>
      </c>
      <c r="CQ18" s="906"/>
      <c r="CR18" s="935"/>
      <c r="CS18" s="496">
        <f t="shared" si="48"/>
        <v>0</v>
      </c>
      <c r="CT18" s="496">
        <f t="shared" si="49"/>
        <v>0</v>
      </c>
      <c r="CU18" s="497" t="str">
        <f t="shared" si="50"/>
        <v>00</v>
      </c>
    </row>
    <row r="19" spans="1:99" s="5" customFormat="1" ht="15" customHeight="1">
      <c r="A19" s="1073">
        <v>16</v>
      </c>
      <c r="B19" s="922"/>
      <c r="C19" s="924" t="str">
        <f t="shared" si="5"/>
        <v/>
      </c>
      <c r="D19" s="1246"/>
      <c r="E19" s="913"/>
      <c r="F19" s="914"/>
      <c r="G19" s="1249"/>
      <c r="H19" s="915"/>
      <c r="I19" s="916"/>
      <c r="J19" s="917"/>
      <c r="K19" s="1012"/>
      <c r="L19" s="1012"/>
      <c r="M19" s="1017"/>
      <c r="N19" s="947"/>
      <c r="O19" s="406" t="str">
        <f t="shared" si="51"/>
        <v/>
      </c>
      <c r="P19" s="407" t="str">
        <f>IF(O19="","",VLOOKUP(O19,所属コード!$A$2:$E$11,2,FALSE))</f>
        <v/>
      </c>
      <c r="Q19" s="1033" t="str">
        <f>IF(O19="","",VLOOKUP(O19,所属コード!$A$2:$G$11,7,FALSE))</f>
        <v/>
      </c>
      <c r="R19" s="1035"/>
      <c r="S19" s="77"/>
      <c r="T19" s="77"/>
      <c r="U19" s="77"/>
      <c r="V19" s="15"/>
      <c r="X19" s="492"/>
      <c r="Y19" s="945" t="str">
        <f t="shared" si="6"/>
        <v/>
      </c>
      <c r="Z19" s="489" t="str">
        <f t="shared" si="7"/>
        <v/>
      </c>
      <c r="AA19" s="488"/>
      <c r="AB19" s="488"/>
      <c r="AC19" s="488"/>
      <c r="AD19" s="488"/>
      <c r="AE19" s="488"/>
      <c r="AF19" s="488"/>
      <c r="AG19" s="491"/>
      <c r="AH19" s="591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1084"/>
      <c r="AX19" s="609">
        <f t="shared" si="8"/>
        <v>0</v>
      </c>
      <c r="AY19" s="602">
        <f t="shared" si="0"/>
        <v>0</v>
      </c>
      <c r="AZ19" s="593">
        <f t="shared" si="1"/>
        <v>0</v>
      </c>
      <c r="BA19" s="594">
        <f t="shared" si="2"/>
        <v>0</v>
      </c>
      <c r="BB19" s="593">
        <f t="shared" si="3"/>
        <v>0</v>
      </c>
      <c r="BC19" s="593">
        <f t="shared" si="9"/>
        <v>0</v>
      </c>
      <c r="BD19" s="593">
        <f t="shared" si="10"/>
        <v>0</v>
      </c>
      <c r="BE19" s="593">
        <f t="shared" si="11"/>
        <v>0</v>
      </c>
      <c r="BF19" s="593">
        <f t="shared" si="12"/>
        <v>0</v>
      </c>
      <c r="BG19" s="593">
        <f t="shared" si="13"/>
        <v>0</v>
      </c>
      <c r="BH19" s="593">
        <f t="shared" si="14"/>
        <v>0</v>
      </c>
      <c r="BI19" s="593">
        <f t="shared" si="15"/>
        <v>0</v>
      </c>
      <c r="BJ19" s="593">
        <f t="shared" si="16"/>
        <v>0</v>
      </c>
      <c r="BK19" s="593">
        <f t="shared" si="17"/>
        <v>0</v>
      </c>
      <c r="BL19" s="593">
        <f t="shared" si="18"/>
        <v>0</v>
      </c>
      <c r="BM19" s="593">
        <f t="shared" si="19"/>
        <v>0</v>
      </c>
      <c r="BN19" s="593">
        <f t="shared" si="20"/>
        <v>0</v>
      </c>
      <c r="BO19" s="593">
        <f t="shared" si="21"/>
        <v>0</v>
      </c>
      <c r="BP19" s="593">
        <f t="shared" si="22"/>
        <v>0</v>
      </c>
      <c r="BQ19" s="593">
        <f t="shared" si="23"/>
        <v>0</v>
      </c>
      <c r="BR19" s="593">
        <f t="shared" si="24"/>
        <v>0</v>
      </c>
      <c r="BS19" s="593">
        <f t="shared" si="25"/>
        <v>0</v>
      </c>
      <c r="BT19" s="593">
        <f t="shared" si="26"/>
        <v>0</v>
      </c>
      <c r="BU19" s="593">
        <f t="shared" si="27"/>
        <v>0</v>
      </c>
      <c r="BV19" s="593">
        <f t="shared" si="28"/>
        <v>0</v>
      </c>
      <c r="BW19" s="593">
        <f t="shared" si="29"/>
        <v>0</v>
      </c>
      <c r="BX19" s="593">
        <f t="shared" si="30"/>
        <v>0</v>
      </c>
      <c r="BY19" s="593">
        <f t="shared" si="31"/>
        <v>0</v>
      </c>
      <c r="BZ19" s="593">
        <f t="shared" si="32"/>
        <v>0</v>
      </c>
      <c r="CA19" s="593">
        <f t="shared" si="33"/>
        <v>0</v>
      </c>
      <c r="CB19" s="593">
        <f t="shared" si="34"/>
        <v>0</v>
      </c>
      <c r="CC19" s="593">
        <f t="shared" si="35"/>
        <v>0</v>
      </c>
      <c r="CD19" s="593">
        <f t="shared" si="36"/>
        <v>0</v>
      </c>
      <c r="CE19" s="593">
        <f t="shared" si="37"/>
        <v>0</v>
      </c>
      <c r="CF19" s="595">
        <f t="shared" si="38"/>
        <v>0</v>
      </c>
      <c r="CG19" s="555" t="str">
        <f t="shared" si="39"/>
        <v/>
      </c>
      <c r="CH19" s="530" t="str">
        <f t="shared" si="40"/>
        <v/>
      </c>
      <c r="CI19" s="530" t="str">
        <f t="shared" si="41"/>
        <v/>
      </c>
      <c r="CJ19" s="530" t="str">
        <f t="shared" si="42"/>
        <v/>
      </c>
      <c r="CK19" s="530" t="str">
        <f t="shared" si="43"/>
        <v/>
      </c>
      <c r="CL19" s="530" t="str">
        <f t="shared" si="44"/>
        <v/>
      </c>
      <c r="CM19" s="82" t="str">
        <f t="shared" si="45"/>
        <v/>
      </c>
      <c r="CN19" s="496" t="str">
        <f t="shared" si="4"/>
        <v/>
      </c>
      <c r="CO19" s="496" t="str">
        <f t="shared" si="52"/>
        <v>0</v>
      </c>
      <c r="CP19" s="491">
        <f t="shared" si="47"/>
        <v>0</v>
      </c>
      <c r="CQ19" s="906"/>
      <c r="CR19" s="935"/>
      <c r="CS19" s="496">
        <f t="shared" si="48"/>
        <v>0</v>
      </c>
      <c r="CT19" s="496">
        <f t="shared" si="49"/>
        <v>0</v>
      </c>
      <c r="CU19" s="497" t="str">
        <f t="shared" si="50"/>
        <v>00</v>
      </c>
    </row>
    <row r="20" spans="1:99" s="5" customFormat="1" ht="15" customHeight="1">
      <c r="A20" s="1073">
        <v>17</v>
      </c>
      <c r="B20" s="922"/>
      <c r="C20" s="924" t="str">
        <f t="shared" si="5"/>
        <v/>
      </c>
      <c r="D20" s="1246"/>
      <c r="E20" s="913"/>
      <c r="F20" s="914"/>
      <c r="G20" s="1249"/>
      <c r="H20" s="915"/>
      <c r="I20" s="916"/>
      <c r="J20" s="917"/>
      <c r="K20" s="1012"/>
      <c r="L20" s="1012"/>
      <c r="M20" s="1017"/>
      <c r="N20" s="947"/>
      <c r="O20" s="406" t="str">
        <f t="shared" si="51"/>
        <v/>
      </c>
      <c r="P20" s="407" t="str">
        <f>IF(O20="","",VLOOKUP(O20,所属コード!$A$2:$E$11,2,FALSE))</f>
        <v/>
      </c>
      <c r="Q20" s="1033" t="str">
        <f>IF(O20="","",VLOOKUP(O20,所属コード!$A$2:$G$11,7,FALSE))</f>
        <v/>
      </c>
      <c r="R20" s="1035"/>
      <c r="S20" s="77"/>
      <c r="T20" s="77"/>
      <c r="U20" s="77"/>
      <c r="V20" s="15"/>
      <c r="X20" s="492"/>
      <c r="Y20" s="945" t="str">
        <f t="shared" si="6"/>
        <v/>
      </c>
      <c r="Z20" s="489" t="str">
        <f t="shared" si="7"/>
        <v/>
      </c>
      <c r="AA20" s="488"/>
      <c r="AB20" s="488"/>
      <c r="AC20" s="488"/>
      <c r="AD20" s="488"/>
      <c r="AE20" s="488"/>
      <c r="AF20" s="488"/>
      <c r="AG20" s="491"/>
      <c r="AH20" s="591"/>
      <c r="AI20" s="592"/>
      <c r="AJ20" s="592"/>
      <c r="AK20" s="592"/>
      <c r="AL20" s="592"/>
      <c r="AM20" s="592"/>
      <c r="AN20" s="592"/>
      <c r="AO20" s="592"/>
      <c r="AP20" s="592"/>
      <c r="AQ20" s="592"/>
      <c r="AR20" s="592"/>
      <c r="AS20" s="592"/>
      <c r="AT20" s="592"/>
      <c r="AU20" s="592"/>
      <c r="AV20" s="592"/>
      <c r="AW20" s="1084"/>
      <c r="AX20" s="609">
        <f t="shared" si="8"/>
        <v>0</v>
      </c>
      <c r="AY20" s="602">
        <f t="shared" si="0"/>
        <v>0</v>
      </c>
      <c r="AZ20" s="593">
        <f t="shared" si="1"/>
        <v>0</v>
      </c>
      <c r="BA20" s="594">
        <f t="shared" si="2"/>
        <v>0</v>
      </c>
      <c r="BB20" s="593">
        <f t="shared" si="3"/>
        <v>0</v>
      </c>
      <c r="BC20" s="593">
        <f t="shared" si="9"/>
        <v>0</v>
      </c>
      <c r="BD20" s="593">
        <f t="shared" si="10"/>
        <v>0</v>
      </c>
      <c r="BE20" s="593">
        <f t="shared" si="11"/>
        <v>0</v>
      </c>
      <c r="BF20" s="593">
        <f t="shared" si="12"/>
        <v>0</v>
      </c>
      <c r="BG20" s="593">
        <f t="shared" si="13"/>
        <v>0</v>
      </c>
      <c r="BH20" s="593">
        <f t="shared" si="14"/>
        <v>0</v>
      </c>
      <c r="BI20" s="593">
        <f t="shared" si="15"/>
        <v>0</v>
      </c>
      <c r="BJ20" s="593">
        <f t="shared" si="16"/>
        <v>0</v>
      </c>
      <c r="BK20" s="593">
        <f t="shared" si="17"/>
        <v>0</v>
      </c>
      <c r="BL20" s="593">
        <f t="shared" si="18"/>
        <v>0</v>
      </c>
      <c r="BM20" s="593">
        <f t="shared" si="19"/>
        <v>0</v>
      </c>
      <c r="BN20" s="593">
        <f t="shared" si="20"/>
        <v>0</v>
      </c>
      <c r="BO20" s="593">
        <f t="shared" si="21"/>
        <v>0</v>
      </c>
      <c r="BP20" s="593">
        <f t="shared" si="22"/>
        <v>0</v>
      </c>
      <c r="BQ20" s="593">
        <f t="shared" si="23"/>
        <v>0</v>
      </c>
      <c r="BR20" s="593">
        <f t="shared" si="24"/>
        <v>0</v>
      </c>
      <c r="BS20" s="593">
        <f t="shared" si="25"/>
        <v>0</v>
      </c>
      <c r="BT20" s="593">
        <f t="shared" si="26"/>
        <v>0</v>
      </c>
      <c r="BU20" s="593">
        <f t="shared" si="27"/>
        <v>0</v>
      </c>
      <c r="BV20" s="593">
        <f t="shared" si="28"/>
        <v>0</v>
      </c>
      <c r="BW20" s="593">
        <f t="shared" si="29"/>
        <v>0</v>
      </c>
      <c r="BX20" s="593">
        <f t="shared" si="30"/>
        <v>0</v>
      </c>
      <c r="BY20" s="593">
        <f t="shared" si="31"/>
        <v>0</v>
      </c>
      <c r="BZ20" s="593">
        <f t="shared" si="32"/>
        <v>0</v>
      </c>
      <c r="CA20" s="593">
        <f t="shared" si="33"/>
        <v>0</v>
      </c>
      <c r="CB20" s="593">
        <f t="shared" si="34"/>
        <v>0</v>
      </c>
      <c r="CC20" s="593">
        <f t="shared" si="35"/>
        <v>0</v>
      </c>
      <c r="CD20" s="593">
        <f t="shared" si="36"/>
        <v>0</v>
      </c>
      <c r="CE20" s="593">
        <f t="shared" si="37"/>
        <v>0</v>
      </c>
      <c r="CF20" s="595">
        <f t="shared" si="38"/>
        <v>0</v>
      </c>
      <c r="CG20" s="555" t="str">
        <f t="shared" si="39"/>
        <v/>
      </c>
      <c r="CH20" s="530" t="str">
        <f t="shared" si="40"/>
        <v/>
      </c>
      <c r="CI20" s="530" t="str">
        <f t="shared" si="41"/>
        <v/>
      </c>
      <c r="CJ20" s="530" t="str">
        <f t="shared" si="42"/>
        <v/>
      </c>
      <c r="CK20" s="530" t="str">
        <f t="shared" si="43"/>
        <v/>
      </c>
      <c r="CL20" s="530" t="str">
        <f t="shared" si="44"/>
        <v/>
      </c>
      <c r="CM20" s="82" t="str">
        <f t="shared" si="45"/>
        <v/>
      </c>
      <c r="CN20" s="496" t="str">
        <f t="shared" si="4"/>
        <v/>
      </c>
      <c r="CO20" s="496" t="str">
        <f t="shared" si="52"/>
        <v>0</v>
      </c>
      <c r="CP20" s="491">
        <f t="shared" si="47"/>
        <v>0</v>
      </c>
      <c r="CQ20" s="906"/>
      <c r="CR20" s="935"/>
      <c r="CS20" s="496">
        <f t="shared" si="48"/>
        <v>0</v>
      </c>
      <c r="CT20" s="496">
        <f t="shared" si="49"/>
        <v>0</v>
      </c>
      <c r="CU20" s="497" t="str">
        <f t="shared" si="50"/>
        <v>00</v>
      </c>
    </row>
    <row r="21" spans="1:99" s="5" customFormat="1" ht="15" customHeight="1">
      <c r="A21" s="1073">
        <v>18</v>
      </c>
      <c r="B21" s="922"/>
      <c r="C21" s="924" t="str">
        <f t="shared" si="5"/>
        <v/>
      </c>
      <c r="D21" s="1246"/>
      <c r="E21" s="913"/>
      <c r="F21" s="914"/>
      <c r="G21" s="1249"/>
      <c r="H21" s="915"/>
      <c r="I21" s="916"/>
      <c r="J21" s="917"/>
      <c r="K21" s="1012"/>
      <c r="L21" s="1012"/>
      <c r="M21" s="1017"/>
      <c r="N21" s="947"/>
      <c r="O21" s="406" t="str">
        <f t="shared" si="51"/>
        <v/>
      </c>
      <c r="P21" s="407" t="str">
        <f>IF(O21="","",VLOOKUP(O21,所属コード!$A$2:$E$11,2,FALSE))</f>
        <v/>
      </c>
      <c r="Q21" s="1033" t="str">
        <f>IF(O21="","",VLOOKUP(O21,所属コード!$A$2:$G$11,7,FALSE))</f>
        <v/>
      </c>
      <c r="R21" s="1035"/>
      <c r="S21" s="77"/>
      <c r="T21" s="77"/>
      <c r="U21" s="77"/>
      <c r="V21" s="15"/>
      <c r="X21" s="492"/>
      <c r="Y21" s="945" t="str">
        <f t="shared" si="6"/>
        <v/>
      </c>
      <c r="Z21" s="489" t="str">
        <f t="shared" si="7"/>
        <v/>
      </c>
      <c r="AA21" s="488"/>
      <c r="AB21" s="488"/>
      <c r="AC21" s="488"/>
      <c r="AD21" s="488"/>
      <c r="AE21" s="488"/>
      <c r="AF21" s="488"/>
      <c r="AG21" s="491"/>
      <c r="AH21" s="591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1084"/>
      <c r="AX21" s="609">
        <f t="shared" si="8"/>
        <v>0</v>
      </c>
      <c r="AY21" s="602">
        <f t="shared" si="0"/>
        <v>0</v>
      </c>
      <c r="AZ21" s="593">
        <f t="shared" si="1"/>
        <v>0</v>
      </c>
      <c r="BA21" s="594">
        <f t="shared" si="2"/>
        <v>0</v>
      </c>
      <c r="BB21" s="593">
        <f t="shared" si="3"/>
        <v>0</v>
      </c>
      <c r="BC21" s="593">
        <f t="shared" si="9"/>
        <v>0</v>
      </c>
      <c r="BD21" s="593">
        <f t="shared" si="10"/>
        <v>0</v>
      </c>
      <c r="BE21" s="593">
        <f t="shared" si="11"/>
        <v>0</v>
      </c>
      <c r="BF21" s="593">
        <f t="shared" si="12"/>
        <v>0</v>
      </c>
      <c r="BG21" s="593">
        <f t="shared" si="13"/>
        <v>0</v>
      </c>
      <c r="BH21" s="593">
        <f t="shared" si="14"/>
        <v>0</v>
      </c>
      <c r="BI21" s="593">
        <f t="shared" si="15"/>
        <v>0</v>
      </c>
      <c r="BJ21" s="593">
        <f t="shared" si="16"/>
        <v>0</v>
      </c>
      <c r="BK21" s="593">
        <f t="shared" si="17"/>
        <v>0</v>
      </c>
      <c r="BL21" s="593">
        <f t="shared" si="18"/>
        <v>0</v>
      </c>
      <c r="BM21" s="593">
        <f t="shared" si="19"/>
        <v>0</v>
      </c>
      <c r="BN21" s="593">
        <f t="shared" si="20"/>
        <v>0</v>
      </c>
      <c r="BO21" s="593">
        <f t="shared" si="21"/>
        <v>0</v>
      </c>
      <c r="BP21" s="593">
        <f t="shared" si="22"/>
        <v>0</v>
      </c>
      <c r="BQ21" s="593">
        <f t="shared" si="23"/>
        <v>0</v>
      </c>
      <c r="BR21" s="593">
        <f t="shared" si="24"/>
        <v>0</v>
      </c>
      <c r="BS21" s="593">
        <f t="shared" si="25"/>
        <v>0</v>
      </c>
      <c r="BT21" s="593">
        <f t="shared" si="26"/>
        <v>0</v>
      </c>
      <c r="BU21" s="593">
        <f t="shared" si="27"/>
        <v>0</v>
      </c>
      <c r="BV21" s="593">
        <f t="shared" si="28"/>
        <v>0</v>
      </c>
      <c r="BW21" s="593">
        <f t="shared" si="29"/>
        <v>0</v>
      </c>
      <c r="BX21" s="593">
        <f t="shared" si="30"/>
        <v>0</v>
      </c>
      <c r="BY21" s="593">
        <f t="shared" si="31"/>
        <v>0</v>
      </c>
      <c r="BZ21" s="593">
        <f t="shared" si="32"/>
        <v>0</v>
      </c>
      <c r="CA21" s="593">
        <f t="shared" si="33"/>
        <v>0</v>
      </c>
      <c r="CB21" s="593">
        <f t="shared" si="34"/>
        <v>0</v>
      </c>
      <c r="CC21" s="593">
        <f t="shared" si="35"/>
        <v>0</v>
      </c>
      <c r="CD21" s="593">
        <f t="shared" si="36"/>
        <v>0</v>
      </c>
      <c r="CE21" s="593">
        <f t="shared" si="37"/>
        <v>0</v>
      </c>
      <c r="CF21" s="595">
        <f t="shared" si="38"/>
        <v>0</v>
      </c>
      <c r="CG21" s="555" t="str">
        <f t="shared" si="39"/>
        <v/>
      </c>
      <c r="CH21" s="530" t="str">
        <f t="shared" si="40"/>
        <v/>
      </c>
      <c r="CI21" s="530" t="str">
        <f t="shared" si="41"/>
        <v/>
      </c>
      <c r="CJ21" s="530" t="str">
        <f t="shared" si="42"/>
        <v/>
      </c>
      <c r="CK21" s="530" t="str">
        <f t="shared" si="43"/>
        <v/>
      </c>
      <c r="CL21" s="530" t="str">
        <f t="shared" si="44"/>
        <v/>
      </c>
      <c r="CM21" s="82" t="str">
        <f t="shared" si="45"/>
        <v/>
      </c>
      <c r="CN21" s="496" t="str">
        <f t="shared" si="4"/>
        <v/>
      </c>
      <c r="CO21" s="496" t="str">
        <f t="shared" si="52"/>
        <v>0</v>
      </c>
      <c r="CP21" s="491">
        <f t="shared" si="47"/>
        <v>0</v>
      </c>
      <c r="CQ21" s="906"/>
      <c r="CR21" s="935"/>
      <c r="CS21" s="496">
        <f t="shared" si="48"/>
        <v>0</v>
      </c>
      <c r="CT21" s="496">
        <f t="shared" si="49"/>
        <v>0</v>
      </c>
      <c r="CU21" s="497" t="str">
        <f t="shared" si="50"/>
        <v>00</v>
      </c>
    </row>
    <row r="22" spans="1:99" s="5" customFormat="1" ht="15" customHeight="1">
      <c r="A22" s="1073">
        <v>19</v>
      </c>
      <c r="B22" s="922"/>
      <c r="C22" s="924" t="str">
        <f t="shared" si="5"/>
        <v/>
      </c>
      <c r="D22" s="1246"/>
      <c r="E22" s="913"/>
      <c r="F22" s="914"/>
      <c r="G22" s="1249"/>
      <c r="H22" s="915"/>
      <c r="I22" s="916"/>
      <c r="J22" s="917"/>
      <c r="K22" s="1012"/>
      <c r="L22" s="1012"/>
      <c r="M22" s="1017"/>
      <c r="N22" s="947"/>
      <c r="O22" s="406" t="str">
        <f t="shared" si="51"/>
        <v/>
      </c>
      <c r="P22" s="407" t="str">
        <f>IF(O22="","",VLOOKUP(O22,所属コード!$A$2:$E$11,2,FALSE))</f>
        <v/>
      </c>
      <c r="Q22" s="1033" t="str">
        <f>IF(O22="","",VLOOKUP(O22,所属コード!$A$2:$G$11,7,FALSE))</f>
        <v/>
      </c>
      <c r="R22" s="1035"/>
      <c r="S22" s="77"/>
      <c r="T22" s="77"/>
      <c r="U22" s="77"/>
      <c r="V22" s="15"/>
      <c r="X22" s="492"/>
      <c r="Y22" s="945" t="str">
        <f t="shared" si="6"/>
        <v/>
      </c>
      <c r="Z22" s="489" t="str">
        <f t="shared" si="7"/>
        <v/>
      </c>
      <c r="AA22" s="488"/>
      <c r="AB22" s="488"/>
      <c r="AC22" s="488"/>
      <c r="AD22" s="488"/>
      <c r="AE22" s="488"/>
      <c r="AF22" s="488"/>
      <c r="AG22" s="491"/>
      <c r="AH22" s="591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1084"/>
      <c r="AX22" s="609">
        <f t="shared" si="8"/>
        <v>0</v>
      </c>
      <c r="AY22" s="602">
        <f t="shared" si="0"/>
        <v>0</v>
      </c>
      <c r="AZ22" s="593">
        <f t="shared" si="1"/>
        <v>0</v>
      </c>
      <c r="BA22" s="594">
        <f t="shared" si="2"/>
        <v>0</v>
      </c>
      <c r="BB22" s="593">
        <f t="shared" si="3"/>
        <v>0</v>
      </c>
      <c r="BC22" s="593">
        <f t="shared" si="9"/>
        <v>0</v>
      </c>
      <c r="BD22" s="593">
        <f t="shared" si="10"/>
        <v>0</v>
      </c>
      <c r="BE22" s="593">
        <f t="shared" si="11"/>
        <v>0</v>
      </c>
      <c r="BF22" s="593">
        <f t="shared" si="12"/>
        <v>0</v>
      </c>
      <c r="BG22" s="593">
        <f t="shared" si="13"/>
        <v>0</v>
      </c>
      <c r="BH22" s="593">
        <f t="shared" si="14"/>
        <v>0</v>
      </c>
      <c r="BI22" s="593">
        <f t="shared" si="15"/>
        <v>0</v>
      </c>
      <c r="BJ22" s="593">
        <f t="shared" si="16"/>
        <v>0</v>
      </c>
      <c r="BK22" s="593">
        <f t="shared" si="17"/>
        <v>0</v>
      </c>
      <c r="BL22" s="593">
        <f t="shared" si="18"/>
        <v>0</v>
      </c>
      <c r="BM22" s="593">
        <f t="shared" si="19"/>
        <v>0</v>
      </c>
      <c r="BN22" s="593">
        <f t="shared" si="20"/>
        <v>0</v>
      </c>
      <c r="BO22" s="593">
        <f t="shared" si="21"/>
        <v>0</v>
      </c>
      <c r="BP22" s="593">
        <f t="shared" si="22"/>
        <v>0</v>
      </c>
      <c r="BQ22" s="593">
        <f t="shared" si="23"/>
        <v>0</v>
      </c>
      <c r="BR22" s="593">
        <f t="shared" si="24"/>
        <v>0</v>
      </c>
      <c r="BS22" s="593">
        <f t="shared" si="25"/>
        <v>0</v>
      </c>
      <c r="BT22" s="593">
        <f t="shared" si="26"/>
        <v>0</v>
      </c>
      <c r="BU22" s="593">
        <f t="shared" si="27"/>
        <v>0</v>
      </c>
      <c r="BV22" s="593">
        <f t="shared" si="28"/>
        <v>0</v>
      </c>
      <c r="BW22" s="593">
        <f t="shared" si="29"/>
        <v>0</v>
      </c>
      <c r="BX22" s="593">
        <f t="shared" si="30"/>
        <v>0</v>
      </c>
      <c r="BY22" s="593">
        <f t="shared" si="31"/>
        <v>0</v>
      </c>
      <c r="BZ22" s="593">
        <f t="shared" si="32"/>
        <v>0</v>
      </c>
      <c r="CA22" s="593">
        <f t="shared" si="33"/>
        <v>0</v>
      </c>
      <c r="CB22" s="593">
        <f t="shared" si="34"/>
        <v>0</v>
      </c>
      <c r="CC22" s="593">
        <f t="shared" si="35"/>
        <v>0</v>
      </c>
      <c r="CD22" s="593">
        <f t="shared" si="36"/>
        <v>0</v>
      </c>
      <c r="CE22" s="593">
        <f t="shared" si="37"/>
        <v>0</v>
      </c>
      <c r="CF22" s="595">
        <f t="shared" si="38"/>
        <v>0</v>
      </c>
      <c r="CG22" s="555" t="str">
        <f t="shared" si="39"/>
        <v/>
      </c>
      <c r="CH22" s="530" t="str">
        <f t="shared" si="40"/>
        <v/>
      </c>
      <c r="CI22" s="530" t="str">
        <f t="shared" si="41"/>
        <v/>
      </c>
      <c r="CJ22" s="530" t="str">
        <f t="shared" si="42"/>
        <v/>
      </c>
      <c r="CK22" s="530" t="str">
        <f t="shared" si="43"/>
        <v/>
      </c>
      <c r="CL22" s="530" t="str">
        <f t="shared" si="44"/>
        <v/>
      </c>
      <c r="CM22" s="82" t="str">
        <f t="shared" si="45"/>
        <v/>
      </c>
      <c r="CN22" s="496" t="str">
        <f t="shared" si="4"/>
        <v/>
      </c>
      <c r="CO22" s="496" t="str">
        <f t="shared" si="52"/>
        <v>0</v>
      </c>
      <c r="CP22" s="491">
        <f t="shared" si="47"/>
        <v>0</v>
      </c>
      <c r="CQ22" s="906"/>
      <c r="CR22" s="935"/>
      <c r="CS22" s="496">
        <f t="shared" si="48"/>
        <v>0</v>
      </c>
      <c r="CT22" s="496">
        <f t="shared" si="49"/>
        <v>0</v>
      </c>
      <c r="CU22" s="497" t="str">
        <f t="shared" si="50"/>
        <v>00</v>
      </c>
    </row>
    <row r="23" spans="1:99" s="5" customFormat="1" ht="15" customHeight="1">
      <c r="A23" s="1073">
        <v>20</v>
      </c>
      <c r="B23" s="922"/>
      <c r="C23" s="924" t="str">
        <f t="shared" si="5"/>
        <v/>
      </c>
      <c r="D23" s="1246"/>
      <c r="E23" s="913"/>
      <c r="F23" s="914"/>
      <c r="G23" s="1249"/>
      <c r="H23" s="915"/>
      <c r="I23" s="916"/>
      <c r="J23" s="917"/>
      <c r="K23" s="1012"/>
      <c r="L23" s="1012"/>
      <c r="M23" s="1017"/>
      <c r="N23" s="947"/>
      <c r="O23" s="406" t="str">
        <f t="shared" si="51"/>
        <v/>
      </c>
      <c r="P23" s="407" t="str">
        <f>IF(O23="","",VLOOKUP(O23,所属コード!$A$2:$E$11,2,FALSE))</f>
        <v/>
      </c>
      <c r="Q23" s="1033" t="str">
        <f>IF(O23="","",VLOOKUP(O23,所属コード!$A$2:$G$11,7,FALSE))</f>
        <v/>
      </c>
      <c r="R23" s="1035"/>
      <c r="S23" s="77"/>
      <c r="T23" s="77"/>
      <c r="U23" s="77"/>
      <c r="V23" s="15"/>
      <c r="X23" s="492"/>
      <c r="Y23" s="945" t="str">
        <f t="shared" si="6"/>
        <v/>
      </c>
      <c r="Z23" s="489" t="str">
        <f t="shared" si="7"/>
        <v/>
      </c>
      <c r="AA23" s="488"/>
      <c r="AB23" s="488"/>
      <c r="AC23" s="488"/>
      <c r="AD23" s="488"/>
      <c r="AE23" s="488"/>
      <c r="AF23" s="488"/>
      <c r="AG23" s="491"/>
      <c r="AH23" s="591"/>
      <c r="AI23" s="592"/>
      <c r="AJ23" s="592"/>
      <c r="AK23" s="592"/>
      <c r="AL23" s="592"/>
      <c r="AM23" s="592"/>
      <c r="AN23" s="592"/>
      <c r="AO23" s="592"/>
      <c r="AP23" s="592"/>
      <c r="AQ23" s="592"/>
      <c r="AR23" s="592"/>
      <c r="AS23" s="592"/>
      <c r="AT23" s="592"/>
      <c r="AU23" s="592"/>
      <c r="AV23" s="592"/>
      <c r="AW23" s="1084"/>
      <c r="AX23" s="609">
        <f t="shared" si="8"/>
        <v>0</v>
      </c>
      <c r="AY23" s="602">
        <f t="shared" si="0"/>
        <v>0</v>
      </c>
      <c r="AZ23" s="593">
        <f t="shared" si="1"/>
        <v>0</v>
      </c>
      <c r="BA23" s="594">
        <f t="shared" si="2"/>
        <v>0</v>
      </c>
      <c r="BB23" s="593">
        <f t="shared" si="3"/>
        <v>0</v>
      </c>
      <c r="BC23" s="593">
        <f t="shared" si="9"/>
        <v>0</v>
      </c>
      <c r="BD23" s="593">
        <f t="shared" si="10"/>
        <v>0</v>
      </c>
      <c r="BE23" s="593">
        <f t="shared" si="11"/>
        <v>0</v>
      </c>
      <c r="BF23" s="593">
        <f t="shared" si="12"/>
        <v>0</v>
      </c>
      <c r="BG23" s="593">
        <f t="shared" si="13"/>
        <v>0</v>
      </c>
      <c r="BH23" s="593">
        <f t="shared" si="14"/>
        <v>0</v>
      </c>
      <c r="BI23" s="593">
        <f t="shared" si="15"/>
        <v>0</v>
      </c>
      <c r="BJ23" s="593">
        <f t="shared" si="16"/>
        <v>0</v>
      </c>
      <c r="BK23" s="593">
        <f t="shared" si="17"/>
        <v>0</v>
      </c>
      <c r="BL23" s="593">
        <f t="shared" si="18"/>
        <v>0</v>
      </c>
      <c r="BM23" s="593">
        <f t="shared" si="19"/>
        <v>0</v>
      </c>
      <c r="BN23" s="593">
        <f t="shared" si="20"/>
        <v>0</v>
      </c>
      <c r="BO23" s="593">
        <f t="shared" si="21"/>
        <v>0</v>
      </c>
      <c r="BP23" s="593">
        <f t="shared" si="22"/>
        <v>0</v>
      </c>
      <c r="BQ23" s="593">
        <f t="shared" si="23"/>
        <v>0</v>
      </c>
      <c r="BR23" s="593">
        <f t="shared" si="24"/>
        <v>0</v>
      </c>
      <c r="BS23" s="593">
        <f t="shared" si="25"/>
        <v>0</v>
      </c>
      <c r="BT23" s="593">
        <f t="shared" si="26"/>
        <v>0</v>
      </c>
      <c r="BU23" s="593">
        <f t="shared" si="27"/>
        <v>0</v>
      </c>
      <c r="BV23" s="593">
        <f t="shared" si="28"/>
        <v>0</v>
      </c>
      <c r="BW23" s="593">
        <f t="shared" si="29"/>
        <v>0</v>
      </c>
      <c r="BX23" s="593">
        <f t="shared" si="30"/>
        <v>0</v>
      </c>
      <c r="BY23" s="593">
        <f t="shared" si="31"/>
        <v>0</v>
      </c>
      <c r="BZ23" s="593">
        <f t="shared" si="32"/>
        <v>0</v>
      </c>
      <c r="CA23" s="593">
        <f t="shared" si="33"/>
        <v>0</v>
      </c>
      <c r="CB23" s="593">
        <f t="shared" si="34"/>
        <v>0</v>
      </c>
      <c r="CC23" s="593">
        <f t="shared" si="35"/>
        <v>0</v>
      </c>
      <c r="CD23" s="593">
        <f t="shared" si="36"/>
        <v>0</v>
      </c>
      <c r="CE23" s="593">
        <f t="shared" si="37"/>
        <v>0</v>
      </c>
      <c r="CF23" s="595">
        <f t="shared" si="38"/>
        <v>0</v>
      </c>
      <c r="CG23" s="555" t="str">
        <f t="shared" si="39"/>
        <v/>
      </c>
      <c r="CH23" s="530" t="str">
        <f t="shared" si="40"/>
        <v/>
      </c>
      <c r="CI23" s="530" t="str">
        <f t="shared" si="41"/>
        <v/>
      </c>
      <c r="CJ23" s="530" t="str">
        <f t="shared" si="42"/>
        <v/>
      </c>
      <c r="CK23" s="530" t="str">
        <f t="shared" si="43"/>
        <v/>
      </c>
      <c r="CL23" s="530" t="str">
        <f t="shared" si="44"/>
        <v/>
      </c>
      <c r="CM23" s="82" t="str">
        <f t="shared" si="45"/>
        <v/>
      </c>
      <c r="CN23" s="496" t="str">
        <f t="shared" si="4"/>
        <v/>
      </c>
      <c r="CO23" s="496" t="str">
        <f t="shared" si="52"/>
        <v>0</v>
      </c>
      <c r="CP23" s="491">
        <f t="shared" si="47"/>
        <v>0</v>
      </c>
      <c r="CQ23" s="906"/>
      <c r="CR23" s="935"/>
      <c r="CS23" s="496">
        <f t="shared" si="48"/>
        <v>0</v>
      </c>
      <c r="CT23" s="496">
        <f t="shared" si="49"/>
        <v>0</v>
      </c>
      <c r="CU23" s="497" t="str">
        <f t="shared" si="50"/>
        <v>00</v>
      </c>
    </row>
    <row r="24" spans="1:99" s="5" customFormat="1" ht="15" customHeight="1">
      <c r="A24" s="1073">
        <v>21</v>
      </c>
      <c r="B24" s="922"/>
      <c r="C24" s="924" t="str">
        <f t="shared" si="5"/>
        <v/>
      </c>
      <c r="D24" s="1246"/>
      <c r="E24" s="913"/>
      <c r="F24" s="914"/>
      <c r="G24" s="1249"/>
      <c r="H24" s="915"/>
      <c r="I24" s="916"/>
      <c r="J24" s="917"/>
      <c r="K24" s="1012"/>
      <c r="L24" s="1012"/>
      <c r="M24" s="1017"/>
      <c r="N24" s="947"/>
      <c r="O24" s="406" t="str">
        <f t="shared" si="51"/>
        <v/>
      </c>
      <c r="P24" s="407" t="str">
        <f>IF(O24="","",VLOOKUP(O24,所属コード!$A$2:$E$11,2,FALSE))</f>
        <v/>
      </c>
      <c r="Q24" s="1033" t="str">
        <f>IF(O24="","",VLOOKUP(O24,所属コード!$A$2:$G$11,7,FALSE))</f>
        <v/>
      </c>
      <c r="R24" s="1035"/>
      <c r="S24" s="77"/>
      <c r="T24" s="77"/>
      <c r="U24" s="77"/>
      <c r="V24" s="15"/>
      <c r="X24" s="492"/>
      <c r="Y24" s="945" t="str">
        <f t="shared" si="6"/>
        <v/>
      </c>
      <c r="Z24" s="489" t="str">
        <f t="shared" si="7"/>
        <v/>
      </c>
      <c r="AA24" s="488"/>
      <c r="AB24" s="488"/>
      <c r="AC24" s="488"/>
      <c r="AD24" s="488"/>
      <c r="AE24" s="488"/>
      <c r="AF24" s="488"/>
      <c r="AG24" s="491"/>
      <c r="AH24" s="591"/>
      <c r="AI24" s="592"/>
      <c r="AJ24" s="592"/>
      <c r="AK24" s="592"/>
      <c r="AL24" s="592"/>
      <c r="AM24" s="592"/>
      <c r="AN24" s="592"/>
      <c r="AO24" s="592"/>
      <c r="AP24" s="592"/>
      <c r="AQ24" s="592"/>
      <c r="AR24" s="592"/>
      <c r="AS24" s="592"/>
      <c r="AT24" s="592"/>
      <c r="AU24" s="592"/>
      <c r="AV24" s="592"/>
      <c r="AW24" s="1084"/>
      <c r="AX24" s="609">
        <f t="shared" si="8"/>
        <v>0</v>
      </c>
      <c r="AY24" s="602">
        <f t="shared" si="0"/>
        <v>0</v>
      </c>
      <c r="AZ24" s="593">
        <f t="shared" si="1"/>
        <v>0</v>
      </c>
      <c r="BA24" s="594">
        <f t="shared" si="2"/>
        <v>0</v>
      </c>
      <c r="BB24" s="593">
        <f t="shared" si="3"/>
        <v>0</v>
      </c>
      <c r="BC24" s="593">
        <f t="shared" si="9"/>
        <v>0</v>
      </c>
      <c r="BD24" s="593">
        <f t="shared" si="10"/>
        <v>0</v>
      </c>
      <c r="BE24" s="593">
        <f t="shared" si="11"/>
        <v>0</v>
      </c>
      <c r="BF24" s="593">
        <f t="shared" si="12"/>
        <v>0</v>
      </c>
      <c r="BG24" s="593">
        <f t="shared" si="13"/>
        <v>0</v>
      </c>
      <c r="BH24" s="593">
        <f t="shared" si="14"/>
        <v>0</v>
      </c>
      <c r="BI24" s="593">
        <f t="shared" si="15"/>
        <v>0</v>
      </c>
      <c r="BJ24" s="593">
        <f t="shared" si="16"/>
        <v>0</v>
      </c>
      <c r="BK24" s="593">
        <f t="shared" si="17"/>
        <v>0</v>
      </c>
      <c r="BL24" s="593">
        <f t="shared" si="18"/>
        <v>0</v>
      </c>
      <c r="BM24" s="593">
        <f t="shared" si="19"/>
        <v>0</v>
      </c>
      <c r="BN24" s="593">
        <f t="shared" si="20"/>
        <v>0</v>
      </c>
      <c r="BO24" s="593">
        <f t="shared" si="21"/>
        <v>0</v>
      </c>
      <c r="BP24" s="593">
        <f t="shared" si="22"/>
        <v>0</v>
      </c>
      <c r="BQ24" s="593">
        <f t="shared" si="23"/>
        <v>0</v>
      </c>
      <c r="BR24" s="593">
        <f t="shared" si="24"/>
        <v>0</v>
      </c>
      <c r="BS24" s="593">
        <f t="shared" si="25"/>
        <v>0</v>
      </c>
      <c r="BT24" s="593">
        <f t="shared" si="26"/>
        <v>0</v>
      </c>
      <c r="BU24" s="593">
        <f t="shared" si="27"/>
        <v>0</v>
      </c>
      <c r="BV24" s="593">
        <f t="shared" si="28"/>
        <v>0</v>
      </c>
      <c r="BW24" s="593">
        <f t="shared" si="29"/>
        <v>0</v>
      </c>
      <c r="BX24" s="593">
        <f t="shared" si="30"/>
        <v>0</v>
      </c>
      <c r="BY24" s="593">
        <f t="shared" si="31"/>
        <v>0</v>
      </c>
      <c r="BZ24" s="593">
        <f t="shared" si="32"/>
        <v>0</v>
      </c>
      <c r="CA24" s="593">
        <f t="shared" si="33"/>
        <v>0</v>
      </c>
      <c r="CB24" s="593">
        <f t="shared" si="34"/>
        <v>0</v>
      </c>
      <c r="CC24" s="593">
        <f t="shared" si="35"/>
        <v>0</v>
      </c>
      <c r="CD24" s="593">
        <f t="shared" si="36"/>
        <v>0</v>
      </c>
      <c r="CE24" s="593">
        <f t="shared" si="37"/>
        <v>0</v>
      </c>
      <c r="CF24" s="595">
        <f t="shared" si="38"/>
        <v>0</v>
      </c>
      <c r="CG24" s="555" t="str">
        <f t="shared" si="39"/>
        <v/>
      </c>
      <c r="CH24" s="530" t="str">
        <f t="shared" si="40"/>
        <v/>
      </c>
      <c r="CI24" s="530" t="str">
        <f t="shared" si="41"/>
        <v/>
      </c>
      <c r="CJ24" s="530" t="str">
        <f t="shared" si="42"/>
        <v/>
      </c>
      <c r="CK24" s="530" t="str">
        <f t="shared" si="43"/>
        <v/>
      </c>
      <c r="CL24" s="530" t="str">
        <f t="shared" si="44"/>
        <v/>
      </c>
      <c r="CM24" s="82" t="str">
        <f t="shared" si="45"/>
        <v/>
      </c>
      <c r="CN24" s="496" t="str">
        <f t="shared" si="4"/>
        <v/>
      </c>
      <c r="CO24" s="496" t="str">
        <f t="shared" si="52"/>
        <v>0</v>
      </c>
      <c r="CP24" s="491">
        <f t="shared" si="47"/>
        <v>0</v>
      </c>
      <c r="CQ24" s="906"/>
      <c r="CR24" s="935"/>
      <c r="CS24" s="496">
        <f t="shared" si="48"/>
        <v>0</v>
      </c>
      <c r="CT24" s="496">
        <f t="shared" si="49"/>
        <v>0</v>
      </c>
      <c r="CU24" s="497" t="str">
        <f t="shared" si="50"/>
        <v>00</v>
      </c>
    </row>
    <row r="25" spans="1:99" s="5" customFormat="1" ht="15" customHeight="1">
      <c r="A25" s="1073">
        <v>22</v>
      </c>
      <c r="B25" s="922"/>
      <c r="C25" s="924" t="str">
        <f t="shared" si="5"/>
        <v/>
      </c>
      <c r="D25" s="1246"/>
      <c r="E25" s="913"/>
      <c r="F25" s="914"/>
      <c r="G25" s="1249"/>
      <c r="H25" s="915"/>
      <c r="I25" s="916"/>
      <c r="J25" s="917"/>
      <c r="K25" s="1012"/>
      <c r="L25" s="1012"/>
      <c r="M25" s="1017"/>
      <c r="N25" s="947"/>
      <c r="O25" s="406" t="str">
        <f t="shared" si="51"/>
        <v/>
      </c>
      <c r="P25" s="407" t="str">
        <f>IF(O25="","",VLOOKUP(O25,所属コード!$A$2:$E$11,2,FALSE))</f>
        <v/>
      </c>
      <c r="Q25" s="1033" t="str">
        <f>IF(O25="","",VLOOKUP(O25,所属コード!$A$2:$G$11,7,FALSE))</f>
        <v/>
      </c>
      <c r="R25" s="1035"/>
      <c r="S25" s="77"/>
      <c r="T25" s="77"/>
      <c r="U25" s="77"/>
      <c r="V25" s="15"/>
      <c r="X25" s="492"/>
      <c r="Y25" s="945" t="str">
        <f t="shared" si="6"/>
        <v/>
      </c>
      <c r="Z25" s="489" t="str">
        <f t="shared" si="7"/>
        <v/>
      </c>
      <c r="AA25" s="488"/>
      <c r="AB25" s="488"/>
      <c r="AC25" s="488"/>
      <c r="AD25" s="488"/>
      <c r="AE25" s="488"/>
      <c r="AF25" s="488"/>
      <c r="AG25" s="491"/>
      <c r="AH25" s="591"/>
      <c r="AI25" s="592"/>
      <c r="AJ25" s="592"/>
      <c r="AK25" s="592"/>
      <c r="AL25" s="592"/>
      <c r="AM25" s="592"/>
      <c r="AN25" s="592"/>
      <c r="AO25" s="592"/>
      <c r="AP25" s="592"/>
      <c r="AQ25" s="592"/>
      <c r="AR25" s="592"/>
      <c r="AS25" s="592"/>
      <c r="AT25" s="592"/>
      <c r="AU25" s="592"/>
      <c r="AV25" s="592"/>
      <c r="AW25" s="1084"/>
      <c r="AX25" s="609">
        <f t="shared" si="8"/>
        <v>0</v>
      </c>
      <c r="AY25" s="602">
        <f t="shared" si="0"/>
        <v>0</v>
      </c>
      <c r="AZ25" s="593">
        <f t="shared" si="1"/>
        <v>0</v>
      </c>
      <c r="BA25" s="594">
        <f t="shared" si="2"/>
        <v>0</v>
      </c>
      <c r="BB25" s="593">
        <f t="shared" si="3"/>
        <v>0</v>
      </c>
      <c r="BC25" s="593">
        <f t="shared" si="9"/>
        <v>0</v>
      </c>
      <c r="BD25" s="593">
        <f t="shared" si="10"/>
        <v>0</v>
      </c>
      <c r="BE25" s="593">
        <f t="shared" si="11"/>
        <v>0</v>
      </c>
      <c r="BF25" s="593">
        <f t="shared" si="12"/>
        <v>0</v>
      </c>
      <c r="BG25" s="593">
        <f t="shared" si="13"/>
        <v>0</v>
      </c>
      <c r="BH25" s="593">
        <f t="shared" si="14"/>
        <v>0</v>
      </c>
      <c r="BI25" s="593">
        <f t="shared" si="15"/>
        <v>0</v>
      </c>
      <c r="BJ25" s="593">
        <f t="shared" si="16"/>
        <v>0</v>
      </c>
      <c r="BK25" s="593">
        <f t="shared" si="17"/>
        <v>0</v>
      </c>
      <c r="BL25" s="593">
        <f t="shared" si="18"/>
        <v>0</v>
      </c>
      <c r="BM25" s="593">
        <f t="shared" si="19"/>
        <v>0</v>
      </c>
      <c r="BN25" s="593">
        <f t="shared" si="20"/>
        <v>0</v>
      </c>
      <c r="BO25" s="593">
        <f t="shared" si="21"/>
        <v>0</v>
      </c>
      <c r="BP25" s="593">
        <f t="shared" si="22"/>
        <v>0</v>
      </c>
      <c r="BQ25" s="593">
        <f t="shared" si="23"/>
        <v>0</v>
      </c>
      <c r="BR25" s="593">
        <f t="shared" si="24"/>
        <v>0</v>
      </c>
      <c r="BS25" s="593">
        <f t="shared" si="25"/>
        <v>0</v>
      </c>
      <c r="BT25" s="593">
        <f t="shared" si="26"/>
        <v>0</v>
      </c>
      <c r="BU25" s="593">
        <f t="shared" si="27"/>
        <v>0</v>
      </c>
      <c r="BV25" s="593">
        <f t="shared" si="28"/>
        <v>0</v>
      </c>
      <c r="BW25" s="593">
        <f t="shared" si="29"/>
        <v>0</v>
      </c>
      <c r="BX25" s="593">
        <f t="shared" si="30"/>
        <v>0</v>
      </c>
      <c r="BY25" s="593">
        <f t="shared" si="31"/>
        <v>0</v>
      </c>
      <c r="BZ25" s="593">
        <f t="shared" si="32"/>
        <v>0</v>
      </c>
      <c r="CA25" s="593">
        <f t="shared" si="33"/>
        <v>0</v>
      </c>
      <c r="CB25" s="593">
        <f t="shared" si="34"/>
        <v>0</v>
      </c>
      <c r="CC25" s="593">
        <f t="shared" si="35"/>
        <v>0</v>
      </c>
      <c r="CD25" s="593">
        <f t="shared" si="36"/>
        <v>0</v>
      </c>
      <c r="CE25" s="593">
        <f t="shared" si="37"/>
        <v>0</v>
      </c>
      <c r="CF25" s="595">
        <f t="shared" si="38"/>
        <v>0</v>
      </c>
      <c r="CG25" s="555" t="str">
        <f t="shared" si="39"/>
        <v/>
      </c>
      <c r="CH25" s="530" t="str">
        <f t="shared" si="40"/>
        <v/>
      </c>
      <c r="CI25" s="530" t="str">
        <f t="shared" si="41"/>
        <v/>
      </c>
      <c r="CJ25" s="530" t="str">
        <f t="shared" si="42"/>
        <v/>
      </c>
      <c r="CK25" s="530" t="str">
        <f t="shared" si="43"/>
        <v/>
      </c>
      <c r="CL25" s="530" t="str">
        <f t="shared" si="44"/>
        <v/>
      </c>
      <c r="CM25" s="82" t="str">
        <f t="shared" si="45"/>
        <v/>
      </c>
      <c r="CN25" s="496" t="str">
        <f t="shared" si="4"/>
        <v/>
      </c>
      <c r="CO25" s="496" t="str">
        <f t="shared" si="52"/>
        <v>0</v>
      </c>
      <c r="CP25" s="491">
        <f t="shared" si="47"/>
        <v>0</v>
      </c>
      <c r="CQ25" s="906"/>
      <c r="CR25" s="935"/>
      <c r="CS25" s="496">
        <f t="shared" si="48"/>
        <v>0</v>
      </c>
      <c r="CT25" s="496">
        <f t="shared" si="49"/>
        <v>0</v>
      </c>
      <c r="CU25" s="497" t="str">
        <f t="shared" si="50"/>
        <v>00</v>
      </c>
    </row>
    <row r="26" spans="1:99" s="5" customFormat="1" ht="15" customHeight="1">
      <c r="A26" s="1073">
        <v>23</v>
      </c>
      <c r="B26" s="922"/>
      <c r="C26" s="924" t="str">
        <f t="shared" si="5"/>
        <v/>
      </c>
      <c r="D26" s="1246"/>
      <c r="E26" s="913"/>
      <c r="F26" s="914"/>
      <c r="G26" s="1249"/>
      <c r="H26" s="915"/>
      <c r="I26" s="916"/>
      <c r="J26" s="917"/>
      <c r="K26" s="1012"/>
      <c r="L26" s="1012"/>
      <c r="M26" s="1017"/>
      <c r="N26" s="947"/>
      <c r="O26" s="406" t="str">
        <f t="shared" si="51"/>
        <v/>
      </c>
      <c r="P26" s="407" t="str">
        <f>IF(O26="","",VLOOKUP(O26,所属コード!$A$2:$E$11,2,FALSE))</f>
        <v/>
      </c>
      <c r="Q26" s="1033" t="str">
        <f>IF(O26="","",VLOOKUP(O26,所属コード!$A$2:$G$11,7,FALSE))</f>
        <v/>
      </c>
      <c r="R26" s="1035"/>
      <c r="S26" s="77"/>
      <c r="T26" s="77"/>
      <c r="U26" s="77"/>
      <c r="V26" s="15"/>
      <c r="X26" s="492"/>
      <c r="Y26" s="945" t="str">
        <f t="shared" si="6"/>
        <v/>
      </c>
      <c r="Z26" s="489" t="str">
        <f t="shared" si="7"/>
        <v/>
      </c>
      <c r="AA26" s="488"/>
      <c r="AB26" s="488"/>
      <c r="AC26" s="488"/>
      <c r="AD26" s="488"/>
      <c r="AE26" s="488"/>
      <c r="AF26" s="488"/>
      <c r="AG26" s="491"/>
      <c r="AH26" s="591"/>
      <c r="AI26" s="592"/>
      <c r="AJ26" s="592"/>
      <c r="AK26" s="592"/>
      <c r="AL26" s="592"/>
      <c r="AM26" s="592"/>
      <c r="AN26" s="592"/>
      <c r="AO26" s="592"/>
      <c r="AP26" s="592"/>
      <c r="AQ26" s="592"/>
      <c r="AR26" s="592"/>
      <c r="AS26" s="592"/>
      <c r="AT26" s="592"/>
      <c r="AU26" s="592"/>
      <c r="AV26" s="592"/>
      <c r="AW26" s="1084"/>
      <c r="AX26" s="609">
        <f t="shared" si="8"/>
        <v>0</v>
      </c>
      <c r="AY26" s="602">
        <f t="shared" si="0"/>
        <v>0</v>
      </c>
      <c r="AZ26" s="593">
        <f t="shared" si="1"/>
        <v>0</v>
      </c>
      <c r="BA26" s="594">
        <f t="shared" si="2"/>
        <v>0</v>
      </c>
      <c r="BB26" s="593">
        <f t="shared" si="3"/>
        <v>0</v>
      </c>
      <c r="BC26" s="593">
        <f t="shared" si="9"/>
        <v>0</v>
      </c>
      <c r="BD26" s="593">
        <f t="shared" si="10"/>
        <v>0</v>
      </c>
      <c r="BE26" s="593">
        <f t="shared" si="11"/>
        <v>0</v>
      </c>
      <c r="BF26" s="593">
        <f t="shared" si="12"/>
        <v>0</v>
      </c>
      <c r="BG26" s="593">
        <f t="shared" si="13"/>
        <v>0</v>
      </c>
      <c r="BH26" s="593">
        <f t="shared" si="14"/>
        <v>0</v>
      </c>
      <c r="BI26" s="593">
        <f t="shared" si="15"/>
        <v>0</v>
      </c>
      <c r="BJ26" s="593">
        <f t="shared" si="16"/>
        <v>0</v>
      </c>
      <c r="BK26" s="593">
        <f t="shared" si="17"/>
        <v>0</v>
      </c>
      <c r="BL26" s="593">
        <f t="shared" si="18"/>
        <v>0</v>
      </c>
      <c r="BM26" s="593">
        <f t="shared" si="19"/>
        <v>0</v>
      </c>
      <c r="BN26" s="593">
        <f t="shared" si="20"/>
        <v>0</v>
      </c>
      <c r="BO26" s="593">
        <f t="shared" si="21"/>
        <v>0</v>
      </c>
      <c r="BP26" s="593">
        <f t="shared" si="22"/>
        <v>0</v>
      </c>
      <c r="BQ26" s="593">
        <f t="shared" si="23"/>
        <v>0</v>
      </c>
      <c r="BR26" s="593">
        <f t="shared" si="24"/>
        <v>0</v>
      </c>
      <c r="BS26" s="593">
        <f t="shared" si="25"/>
        <v>0</v>
      </c>
      <c r="BT26" s="593">
        <f t="shared" si="26"/>
        <v>0</v>
      </c>
      <c r="BU26" s="593">
        <f t="shared" si="27"/>
        <v>0</v>
      </c>
      <c r="BV26" s="593">
        <f t="shared" si="28"/>
        <v>0</v>
      </c>
      <c r="BW26" s="593">
        <f t="shared" si="29"/>
        <v>0</v>
      </c>
      <c r="BX26" s="593">
        <f t="shared" si="30"/>
        <v>0</v>
      </c>
      <c r="BY26" s="593">
        <f t="shared" si="31"/>
        <v>0</v>
      </c>
      <c r="BZ26" s="593">
        <f t="shared" si="32"/>
        <v>0</v>
      </c>
      <c r="CA26" s="593">
        <f t="shared" si="33"/>
        <v>0</v>
      </c>
      <c r="CB26" s="593">
        <f t="shared" si="34"/>
        <v>0</v>
      </c>
      <c r="CC26" s="593">
        <f t="shared" si="35"/>
        <v>0</v>
      </c>
      <c r="CD26" s="593">
        <f t="shared" si="36"/>
        <v>0</v>
      </c>
      <c r="CE26" s="593">
        <f t="shared" si="37"/>
        <v>0</v>
      </c>
      <c r="CF26" s="595">
        <f t="shared" si="38"/>
        <v>0</v>
      </c>
      <c r="CG26" s="555" t="str">
        <f t="shared" si="39"/>
        <v/>
      </c>
      <c r="CH26" s="530" t="str">
        <f t="shared" si="40"/>
        <v/>
      </c>
      <c r="CI26" s="530" t="str">
        <f t="shared" si="41"/>
        <v/>
      </c>
      <c r="CJ26" s="530" t="str">
        <f t="shared" si="42"/>
        <v/>
      </c>
      <c r="CK26" s="530" t="str">
        <f t="shared" si="43"/>
        <v/>
      </c>
      <c r="CL26" s="530" t="str">
        <f t="shared" si="44"/>
        <v/>
      </c>
      <c r="CM26" s="82" t="str">
        <f t="shared" si="45"/>
        <v/>
      </c>
      <c r="CN26" s="496" t="str">
        <f t="shared" si="4"/>
        <v/>
      </c>
      <c r="CO26" s="496" t="str">
        <f t="shared" si="52"/>
        <v>0</v>
      </c>
      <c r="CP26" s="491">
        <f t="shared" si="47"/>
        <v>0</v>
      </c>
      <c r="CQ26" s="906"/>
      <c r="CR26" s="935"/>
      <c r="CS26" s="496">
        <f t="shared" si="48"/>
        <v>0</v>
      </c>
      <c r="CT26" s="496">
        <f t="shared" si="49"/>
        <v>0</v>
      </c>
      <c r="CU26" s="497" t="str">
        <f t="shared" si="50"/>
        <v>00</v>
      </c>
    </row>
    <row r="27" spans="1:99" s="5" customFormat="1" ht="15" customHeight="1">
      <c r="A27" s="1073">
        <v>24</v>
      </c>
      <c r="B27" s="922"/>
      <c r="C27" s="924" t="str">
        <f t="shared" si="5"/>
        <v/>
      </c>
      <c r="D27" s="1246"/>
      <c r="E27" s="913"/>
      <c r="F27" s="914"/>
      <c r="G27" s="1249"/>
      <c r="H27" s="915"/>
      <c r="I27" s="916"/>
      <c r="J27" s="917"/>
      <c r="K27" s="1012"/>
      <c r="L27" s="1012"/>
      <c r="M27" s="1017"/>
      <c r="N27" s="947"/>
      <c r="O27" s="406" t="str">
        <f t="shared" si="51"/>
        <v/>
      </c>
      <c r="P27" s="407" t="str">
        <f>IF(O27="","",VLOOKUP(O27,所属コード!$A$2:$E$11,2,FALSE))</f>
        <v/>
      </c>
      <c r="Q27" s="1033" t="str">
        <f>IF(O27="","",VLOOKUP(O27,所属コード!$A$2:$G$11,7,FALSE))</f>
        <v/>
      </c>
      <c r="R27" s="1035"/>
      <c r="S27" s="77"/>
      <c r="T27" s="77"/>
      <c r="U27" s="77"/>
      <c r="V27" s="15"/>
      <c r="X27" s="492"/>
      <c r="Y27" s="945" t="str">
        <f t="shared" si="6"/>
        <v/>
      </c>
      <c r="Z27" s="489" t="str">
        <f t="shared" si="7"/>
        <v/>
      </c>
      <c r="AA27" s="488"/>
      <c r="AB27" s="488"/>
      <c r="AC27" s="488"/>
      <c r="AD27" s="488"/>
      <c r="AE27" s="488"/>
      <c r="AF27" s="488"/>
      <c r="AG27" s="491"/>
      <c r="AH27" s="591"/>
      <c r="AI27" s="592"/>
      <c r="AJ27" s="592"/>
      <c r="AK27" s="592"/>
      <c r="AL27" s="592"/>
      <c r="AM27" s="592"/>
      <c r="AN27" s="592"/>
      <c r="AO27" s="592"/>
      <c r="AP27" s="592"/>
      <c r="AQ27" s="592"/>
      <c r="AR27" s="592"/>
      <c r="AS27" s="592"/>
      <c r="AT27" s="592"/>
      <c r="AU27" s="592"/>
      <c r="AV27" s="592"/>
      <c r="AW27" s="1084"/>
      <c r="AX27" s="609">
        <f t="shared" si="8"/>
        <v>0</v>
      </c>
      <c r="AY27" s="602">
        <f t="shared" si="0"/>
        <v>0</v>
      </c>
      <c r="AZ27" s="593">
        <f t="shared" si="1"/>
        <v>0</v>
      </c>
      <c r="BA27" s="594">
        <f t="shared" si="2"/>
        <v>0</v>
      </c>
      <c r="BB27" s="593">
        <f t="shared" si="3"/>
        <v>0</v>
      </c>
      <c r="BC27" s="593">
        <f t="shared" si="9"/>
        <v>0</v>
      </c>
      <c r="BD27" s="593">
        <f t="shared" si="10"/>
        <v>0</v>
      </c>
      <c r="BE27" s="593">
        <f t="shared" si="11"/>
        <v>0</v>
      </c>
      <c r="BF27" s="593">
        <f t="shared" si="12"/>
        <v>0</v>
      </c>
      <c r="BG27" s="593">
        <f t="shared" si="13"/>
        <v>0</v>
      </c>
      <c r="BH27" s="593">
        <f t="shared" si="14"/>
        <v>0</v>
      </c>
      <c r="BI27" s="593">
        <f t="shared" si="15"/>
        <v>0</v>
      </c>
      <c r="BJ27" s="593">
        <f t="shared" si="16"/>
        <v>0</v>
      </c>
      <c r="BK27" s="593">
        <f t="shared" si="17"/>
        <v>0</v>
      </c>
      <c r="BL27" s="593">
        <f t="shared" si="18"/>
        <v>0</v>
      </c>
      <c r="BM27" s="593">
        <f t="shared" si="19"/>
        <v>0</v>
      </c>
      <c r="BN27" s="593">
        <f t="shared" si="20"/>
        <v>0</v>
      </c>
      <c r="BO27" s="593">
        <f t="shared" si="21"/>
        <v>0</v>
      </c>
      <c r="BP27" s="593">
        <f t="shared" si="22"/>
        <v>0</v>
      </c>
      <c r="BQ27" s="593">
        <f t="shared" si="23"/>
        <v>0</v>
      </c>
      <c r="BR27" s="593">
        <f t="shared" si="24"/>
        <v>0</v>
      </c>
      <c r="BS27" s="593">
        <f t="shared" si="25"/>
        <v>0</v>
      </c>
      <c r="BT27" s="593">
        <f t="shared" si="26"/>
        <v>0</v>
      </c>
      <c r="BU27" s="593">
        <f t="shared" si="27"/>
        <v>0</v>
      </c>
      <c r="BV27" s="593">
        <f t="shared" si="28"/>
        <v>0</v>
      </c>
      <c r="BW27" s="593">
        <f t="shared" si="29"/>
        <v>0</v>
      </c>
      <c r="BX27" s="593">
        <f t="shared" si="30"/>
        <v>0</v>
      </c>
      <c r="BY27" s="593">
        <f t="shared" si="31"/>
        <v>0</v>
      </c>
      <c r="BZ27" s="593">
        <f t="shared" si="32"/>
        <v>0</v>
      </c>
      <c r="CA27" s="593">
        <f t="shared" si="33"/>
        <v>0</v>
      </c>
      <c r="CB27" s="593">
        <f t="shared" si="34"/>
        <v>0</v>
      </c>
      <c r="CC27" s="593">
        <f t="shared" si="35"/>
        <v>0</v>
      </c>
      <c r="CD27" s="593">
        <f t="shared" si="36"/>
        <v>0</v>
      </c>
      <c r="CE27" s="593">
        <f t="shared" si="37"/>
        <v>0</v>
      </c>
      <c r="CF27" s="595">
        <f t="shared" si="38"/>
        <v>0</v>
      </c>
      <c r="CG27" s="555" t="str">
        <f t="shared" si="39"/>
        <v/>
      </c>
      <c r="CH27" s="530" t="str">
        <f t="shared" si="40"/>
        <v/>
      </c>
      <c r="CI27" s="530" t="str">
        <f t="shared" si="41"/>
        <v/>
      </c>
      <c r="CJ27" s="530" t="str">
        <f t="shared" si="42"/>
        <v/>
      </c>
      <c r="CK27" s="530" t="str">
        <f t="shared" si="43"/>
        <v/>
      </c>
      <c r="CL27" s="530" t="str">
        <f t="shared" si="44"/>
        <v/>
      </c>
      <c r="CM27" s="82" t="str">
        <f t="shared" si="45"/>
        <v/>
      </c>
      <c r="CN27" s="496" t="str">
        <f t="shared" si="4"/>
        <v/>
      </c>
      <c r="CO27" s="496" t="str">
        <f t="shared" si="52"/>
        <v>0</v>
      </c>
      <c r="CP27" s="491">
        <f t="shared" si="47"/>
        <v>0</v>
      </c>
      <c r="CQ27" s="906"/>
      <c r="CR27" s="935"/>
      <c r="CS27" s="496">
        <f t="shared" si="48"/>
        <v>0</v>
      </c>
      <c r="CT27" s="496">
        <f t="shared" si="49"/>
        <v>0</v>
      </c>
      <c r="CU27" s="497" t="str">
        <f t="shared" si="50"/>
        <v>00</v>
      </c>
    </row>
    <row r="28" spans="1:99" s="5" customFormat="1" ht="15" customHeight="1">
      <c r="A28" s="1073">
        <v>25</v>
      </c>
      <c r="B28" s="922"/>
      <c r="C28" s="924" t="str">
        <f t="shared" si="5"/>
        <v/>
      </c>
      <c r="D28" s="1246"/>
      <c r="E28" s="913"/>
      <c r="F28" s="914"/>
      <c r="G28" s="1249"/>
      <c r="H28" s="915"/>
      <c r="I28" s="916"/>
      <c r="J28" s="917"/>
      <c r="K28" s="1012"/>
      <c r="L28" s="1012"/>
      <c r="M28" s="1017"/>
      <c r="N28" s="947"/>
      <c r="O28" s="406" t="str">
        <f t="shared" si="51"/>
        <v/>
      </c>
      <c r="P28" s="407" t="str">
        <f>IF(O28="","",VLOOKUP(O28,所属コード!$A$2:$E$11,2,FALSE))</f>
        <v/>
      </c>
      <c r="Q28" s="1033" t="str">
        <f>IF(O28="","",VLOOKUP(O28,所属コード!$A$2:$G$11,7,FALSE))</f>
        <v/>
      </c>
      <c r="R28" s="1035"/>
      <c r="S28" s="77"/>
      <c r="T28" s="77"/>
      <c r="U28" s="77"/>
      <c r="V28" s="15"/>
      <c r="X28" s="492"/>
      <c r="Y28" s="945" t="str">
        <f t="shared" si="6"/>
        <v/>
      </c>
      <c r="Z28" s="489" t="str">
        <f t="shared" si="7"/>
        <v/>
      </c>
      <c r="AA28" s="488"/>
      <c r="AB28" s="488"/>
      <c r="AC28" s="488"/>
      <c r="AD28" s="488"/>
      <c r="AE28" s="488"/>
      <c r="AF28" s="488"/>
      <c r="AG28" s="491"/>
      <c r="AH28" s="591"/>
      <c r="AI28" s="592"/>
      <c r="AJ28" s="592"/>
      <c r="AK28" s="592"/>
      <c r="AL28" s="592"/>
      <c r="AM28" s="592"/>
      <c r="AN28" s="592"/>
      <c r="AO28" s="592"/>
      <c r="AP28" s="592"/>
      <c r="AQ28" s="592"/>
      <c r="AR28" s="592"/>
      <c r="AS28" s="592"/>
      <c r="AT28" s="592"/>
      <c r="AU28" s="592"/>
      <c r="AV28" s="592"/>
      <c r="AW28" s="1084"/>
      <c r="AX28" s="609">
        <f t="shared" si="8"/>
        <v>0</v>
      </c>
      <c r="AY28" s="602">
        <f t="shared" si="0"/>
        <v>0</v>
      </c>
      <c r="AZ28" s="593">
        <f t="shared" si="1"/>
        <v>0</v>
      </c>
      <c r="BA28" s="594">
        <f t="shared" si="2"/>
        <v>0</v>
      </c>
      <c r="BB28" s="593">
        <f t="shared" si="3"/>
        <v>0</v>
      </c>
      <c r="BC28" s="593">
        <f t="shared" si="9"/>
        <v>0</v>
      </c>
      <c r="BD28" s="593">
        <f t="shared" si="10"/>
        <v>0</v>
      </c>
      <c r="BE28" s="593">
        <f t="shared" si="11"/>
        <v>0</v>
      </c>
      <c r="BF28" s="593">
        <f t="shared" si="12"/>
        <v>0</v>
      </c>
      <c r="BG28" s="593">
        <f t="shared" si="13"/>
        <v>0</v>
      </c>
      <c r="BH28" s="593">
        <f t="shared" si="14"/>
        <v>0</v>
      </c>
      <c r="BI28" s="593">
        <f t="shared" si="15"/>
        <v>0</v>
      </c>
      <c r="BJ28" s="593">
        <f t="shared" si="16"/>
        <v>0</v>
      </c>
      <c r="BK28" s="593">
        <f t="shared" si="17"/>
        <v>0</v>
      </c>
      <c r="BL28" s="593">
        <f t="shared" si="18"/>
        <v>0</v>
      </c>
      <c r="BM28" s="593">
        <f t="shared" si="19"/>
        <v>0</v>
      </c>
      <c r="BN28" s="593">
        <f t="shared" si="20"/>
        <v>0</v>
      </c>
      <c r="BO28" s="593">
        <f t="shared" si="21"/>
        <v>0</v>
      </c>
      <c r="BP28" s="593">
        <f t="shared" si="22"/>
        <v>0</v>
      </c>
      <c r="BQ28" s="593">
        <f t="shared" si="23"/>
        <v>0</v>
      </c>
      <c r="BR28" s="593">
        <f t="shared" si="24"/>
        <v>0</v>
      </c>
      <c r="BS28" s="593">
        <f t="shared" si="25"/>
        <v>0</v>
      </c>
      <c r="BT28" s="593">
        <f t="shared" si="26"/>
        <v>0</v>
      </c>
      <c r="BU28" s="593">
        <f t="shared" si="27"/>
        <v>0</v>
      </c>
      <c r="BV28" s="593">
        <f t="shared" si="28"/>
        <v>0</v>
      </c>
      <c r="BW28" s="593">
        <f t="shared" si="29"/>
        <v>0</v>
      </c>
      <c r="BX28" s="593">
        <f t="shared" si="30"/>
        <v>0</v>
      </c>
      <c r="BY28" s="593">
        <f t="shared" si="31"/>
        <v>0</v>
      </c>
      <c r="BZ28" s="593">
        <f t="shared" si="32"/>
        <v>0</v>
      </c>
      <c r="CA28" s="593">
        <f t="shared" si="33"/>
        <v>0</v>
      </c>
      <c r="CB28" s="593">
        <f t="shared" si="34"/>
        <v>0</v>
      </c>
      <c r="CC28" s="593">
        <f t="shared" si="35"/>
        <v>0</v>
      </c>
      <c r="CD28" s="593">
        <f t="shared" si="36"/>
        <v>0</v>
      </c>
      <c r="CE28" s="593">
        <f t="shared" si="37"/>
        <v>0</v>
      </c>
      <c r="CF28" s="595">
        <f t="shared" si="38"/>
        <v>0</v>
      </c>
      <c r="CG28" s="555" t="str">
        <f t="shared" si="39"/>
        <v/>
      </c>
      <c r="CH28" s="530" t="str">
        <f t="shared" si="40"/>
        <v/>
      </c>
      <c r="CI28" s="530" t="str">
        <f t="shared" si="41"/>
        <v/>
      </c>
      <c r="CJ28" s="530" t="str">
        <f t="shared" si="42"/>
        <v/>
      </c>
      <c r="CK28" s="530" t="str">
        <f t="shared" si="43"/>
        <v/>
      </c>
      <c r="CL28" s="530" t="str">
        <f t="shared" si="44"/>
        <v/>
      </c>
      <c r="CM28" s="82" t="str">
        <f t="shared" si="45"/>
        <v/>
      </c>
      <c r="CN28" s="496" t="str">
        <f t="shared" si="4"/>
        <v/>
      </c>
      <c r="CO28" s="496" t="str">
        <f t="shared" si="52"/>
        <v>0</v>
      </c>
      <c r="CP28" s="491">
        <f t="shared" si="47"/>
        <v>0</v>
      </c>
      <c r="CQ28" s="906"/>
      <c r="CR28" s="935"/>
      <c r="CS28" s="496">
        <f t="shared" si="48"/>
        <v>0</v>
      </c>
      <c r="CT28" s="496">
        <f t="shared" si="49"/>
        <v>0</v>
      </c>
      <c r="CU28" s="497" t="str">
        <f t="shared" si="50"/>
        <v>00</v>
      </c>
    </row>
    <row r="29" spans="1:99" s="5" customFormat="1" ht="15" customHeight="1">
      <c r="A29" s="1073">
        <v>26</v>
      </c>
      <c r="B29" s="922"/>
      <c r="C29" s="924" t="str">
        <f t="shared" si="5"/>
        <v/>
      </c>
      <c r="D29" s="1246"/>
      <c r="E29" s="913"/>
      <c r="F29" s="914"/>
      <c r="G29" s="1249"/>
      <c r="H29" s="915"/>
      <c r="I29" s="916"/>
      <c r="J29" s="917"/>
      <c r="K29" s="1012"/>
      <c r="L29" s="1012"/>
      <c r="M29" s="1017"/>
      <c r="N29" s="947"/>
      <c r="O29" s="406" t="str">
        <f t="shared" si="51"/>
        <v/>
      </c>
      <c r="P29" s="407" t="str">
        <f>IF(O29="","",VLOOKUP(O29,所属コード!$A$2:$E$11,2,FALSE))</f>
        <v/>
      </c>
      <c r="Q29" s="1033" t="str">
        <f>IF(O29="","",VLOOKUP(O29,所属コード!$A$2:$G$11,7,FALSE))</f>
        <v/>
      </c>
      <c r="R29" s="1035"/>
      <c r="S29" s="77"/>
      <c r="T29" s="77"/>
      <c r="U29" s="77"/>
      <c r="V29" s="15"/>
      <c r="X29" s="492"/>
      <c r="Y29" s="945" t="str">
        <f t="shared" si="6"/>
        <v/>
      </c>
      <c r="Z29" s="489" t="str">
        <f t="shared" si="7"/>
        <v/>
      </c>
      <c r="AA29" s="488"/>
      <c r="AB29" s="488"/>
      <c r="AC29" s="488"/>
      <c r="AD29" s="488"/>
      <c r="AE29" s="488"/>
      <c r="AF29" s="488"/>
      <c r="AG29" s="491"/>
      <c r="AH29" s="591"/>
      <c r="AI29" s="592"/>
      <c r="AJ29" s="592"/>
      <c r="AK29" s="592"/>
      <c r="AL29" s="592"/>
      <c r="AM29" s="592"/>
      <c r="AN29" s="592"/>
      <c r="AO29" s="592"/>
      <c r="AP29" s="592"/>
      <c r="AQ29" s="592"/>
      <c r="AR29" s="592"/>
      <c r="AS29" s="592"/>
      <c r="AT29" s="592"/>
      <c r="AU29" s="592"/>
      <c r="AV29" s="592"/>
      <c r="AW29" s="1084"/>
      <c r="AX29" s="609">
        <f t="shared" si="8"/>
        <v>0</v>
      </c>
      <c r="AY29" s="602">
        <f t="shared" si="0"/>
        <v>0</v>
      </c>
      <c r="AZ29" s="593">
        <f t="shared" si="1"/>
        <v>0</v>
      </c>
      <c r="BA29" s="594">
        <f t="shared" si="2"/>
        <v>0</v>
      </c>
      <c r="BB29" s="593">
        <f t="shared" si="3"/>
        <v>0</v>
      </c>
      <c r="BC29" s="593">
        <f t="shared" si="9"/>
        <v>0</v>
      </c>
      <c r="BD29" s="593">
        <f t="shared" si="10"/>
        <v>0</v>
      </c>
      <c r="BE29" s="593">
        <f t="shared" si="11"/>
        <v>0</v>
      </c>
      <c r="BF29" s="593">
        <f t="shared" si="12"/>
        <v>0</v>
      </c>
      <c r="BG29" s="593">
        <f t="shared" si="13"/>
        <v>0</v>
      </c>
      <c r="BH29" s="593">
        <f t="shared" si="14"/>
        <v>0</v>
      </c>
      <c r="BI29" s="593">
        <f t="shared" si="15"/>
        <v>0</v>
      </c>
      <c r="BJ29" s="593">
        <f t="shared" si="16"/>
        <v>0</v>
      </c>
      <c r="BK29" s="593">
        <f t="shared" si="17"/>
        <v>0</v>
      </c>
      <c r="BL29" s="593">
        <f t="shared" si="18"/>
        <v>0</v>
      </c>
      <c r="BM29" s="593">
        <f t="shared" si="19"/>
        <v>0</v>
      </c>
      <c r="BN29" s="593">
        <f t="shared" si="20"/>
        <v>0</v>
      </c>
      <c r="BO29" s="593">
        <f t="shared" si="21"/>
        <v>0</v>
      </c>
      <c r="BP29" s="593">
        <f t="shared" si="22"/>
        <v>0</v>
      </c>
      <c r="BQ29" s="593">
        <f t="shared" si="23"/>
        <v>0</v>
      </c>
      <c r="BR29" s="593">
        <f t="shared" si="24"/>
        <v>0</v>
      </c>
      <c r="BS29" s="593">
        <f t="shared" si="25"/>
        <v>0</v>
      </c>
      <c r="BT29" s="593">
        <f t="shared" si="26"/>
        <v>0</v>
      </c>
      <c r="BU29" s="593">
        <f t="shared" si="27"/>
        <v>0</v>
      </c>
      <c r="BV29" s="593">
        <f t="shared" si="28"/>
        <v>0</v>
      </c>
      <c r="BW29" s="593">
        <f t="shared" si="29"/>
        <v>0</v>
      </c>
      <c r="BX29" s="593">
        <f t="shared" si="30"/>
        <v>0</v>
      </c>
      <c r="BY29" s="593">
        <f t="shared" si="31"/>
        <v>0</v>
      </c>
      <c r="BZ29" s="593">
        <f t="shared" si="32"/>
        <v>0</v>
      </c>
      <c r="CA29" s="593">
        <f t="shared" si="33"/>
        <v>0</v>
      </c>
      <c r="CB29" s="593">
        <f t="shared" si="34"/>
        <v>0</v>
      </c>
      <c r="CC29" s="593">
        <f t="shared" si="35"/>
        <v>0</v>
      </c>
      <c r="CD29" s="593">
        <f t="shared" si="36"/>
        <v>0</v>
      </c>
      <c r="CE29" s="593">
        <f t="shared" si="37"/>
        <v>0</v>
      </c>
      <c r="CF29" s="595">
        <f t="shared" si="38"/>
        <v>0</v>
      </c>
      <c r="CG29" s="555" t="str">
        <f t="shared" si="39"/>
        <v/>
      </c>
      <c r="CH29" s="530" t="str">
        <f t="shared" si="40"/>
        <v/>
      </c>
      <c r="CI29" s="530" t="str">
        <f t="shared" si="41"/>
        <v/>
      </c>
      <c r="CJ29" s="530" t="str">
        <f t="shared" si="42"/>
        <v/>
      </c>
      <c r="CK29" s="530" t="str">
        <f t="shared" si="43"/>
        <v/>
      </c>
      <c r="CL29" s="530" t="str">
        <f t="shared" si="44"/>
        <v/>
      </c>
      <c r="CM29" s="82" t="str">
        <f t="shared" si="45"/>
        <v/>
      </c>
      <c r="CN29" s="496" t="str">
        <f t="shared" si="4"/>
        <v/>
      </c>
      <c r="CO29" s="496" t="str">
        <f t="shared" si="52"/>
        <v>0</v>
      </c>
      <c r="CP29" s="491">
        <f t="shared" si="47"/>
        <v>0</v>
      </c>
      <c r="CQ29" s="906"/>
      <c r="CR29" s="935"/>
      <c r="CS29" s="496">
        <f t="shared" si="48"/>
        <v>0</v>
      </c>
      <c r="CT29" s="496">
        <f t="shared" si="49"/>
        <v>0</v>
      </c>
      <c r="CU29" s="497" t="str">
        <f t="shared" si="50"/>
        <v>00</v>
      </c>
    </row>
    <row r="30" spans="1:99" s="5" customFormat="1" ht="15" customHeight="1">
      <c r="A30" s="1073">
        <v>27</v>
      </c>
      <c r="B30" s="922"/>
      <c r="C30" s="924" t="str">
        <f t="shared" si="5"/>
        <v/>
      </c>
      <c r="D30" s="1246"/>
      <c r="E30" s="913"/>
      <c r="F30" s="914"/>
      <c r="G30" s="1249"/>
      <c r="H30" s="915"/>
      <c r="I30" s="916"/>
      <c r="J30" s="917"/>
      <c r="K30" s="1012"/>
      <c r="L30" s="1012"/>
      <c r="M30" s="1017"/>
      <c r="N30" s="947"/>
      <c r="O30" s="406" t="str">
        <f t="shared" si="51"/>
        <v/>
      </c>
      <c r="P30" s="407" t="str">
        <f>IF(O30="","",VLOOKUP(O30,所属コード!$A$2:$E$11,2,FALSE))</f>
        <v/>
      </c>
      <c r="Q30" s="1033" t="str">
        <f>IF(O30="","",VLOOKUP(O30,所属コード!$A$2:$G$11,7,FALSE))</f>
        <v/>
      </c>
      <c r="R30" s="1035"/>
      <c r="S30" s="77"/>
      <c r="T30" s="77"/>
      <c r="U30" s="77"/>
      <c r="V30" s="15"/>
      <c r="X30" s="492"/>
      <c r="Y30" s="945" t="str">
        <f t="shared" si="6"/>
        <v/>
      </c>
      <c r="Z30" s="489" t="str">
        <f t="shared" si="7"/>
        <v/>
      </c>
      <c r="AA30" s="488"/>
      <c r="AB30" s="488"/>
      <c r="AC30" s="488"/>
      <c r="AD30" s="488"/>
      <c r="AE30" s="488"/>
      <c r="AF30" s="488"/>
      <c r="AG30" s="491"/>
      <c r="AH30" s="591"/>
      <c r="AI30" s="592"/>
      <c r="AJ30" s="592"/>
      <c r="AK30" s="592"/>
      <c r="AL30" s="592"/>
      <c r="AM30" s="592"/>
      <c r="AN30" s="592"/>
      <c r="AO30" s="592"/>
      <c r="AP30" s="592"/>
      <c r="AQ30" s="592"/>
      <c r="AR30" s="592"/>
      <c r="AS30" s="592"/>
      <c r="AT30" s="592"/>
      <c r="AU30" s="592"/>
      <c r="AV30" s="592"/>
      <c r="AW30" s="1084"/>
      <c r="AX30" s="609">
        <f t="shared" si="8"/>
        <v>0</v>
      </c>
      <c r="AY30" s="602">
        <f t="shared" si="0"/>
        <v>0</v>
      </c>
      <c r="AZ30" s="593">
        <f t="shared" si="1"/>
        <v>0</v>
      </c>
      <c r="BA30" s="594">
        <f t="shared" si="2"/>
        <v>0</v>
      </c>
      <c r="BB30" s="593">
        <f t="shared" si="3"/>
        <v>0</v>
      </c>
      <c r="BC30" s="593">
        <f t="shared" si="9"/>
        <v>0</v>
      </c>
      <c r="BD30" s="593">
        <f t="shared" si="10"/>
        <v>0</v>
      </c>
      <c r="BE30" s="593">
        <f t="shared" si="11"/>
        <v>0</v>
      </c>
      <c r="BF30" s="593">
        <f t="shared" si="12"/>
        <v>0</v>
      </c>
      <c r="BG30" s="593">
        <f t="shared" si="13"/>
        <v>0</v>
      </c>
      <c r="BH30" s="593">
        <f t="shared" si="14"/>
        <v>0</v>
      </c>
      <c r="BI30" s="593">
        <f t="shared" si="15"/>
        <v>0</v>
      </c>
      <c r="BJ30" s="593">
        <f t="shared" si="16"/>
        <v>0</v>
      </c>
      <c r="BK30" s="593">
        <f t="shared" si="17"/>
        <v>0</v>
      </c>
      <c r="BL30" s="593">
        <f t="shared" si="18"/>
        <v>0</v>
      </c>
      <c r="BM30" s="593">
        <f t="shared" si="19"/>
        <v>0</v>
      </c>
      <c r="BN30" s="593">
        <f t="shared" si="20"/>
        <v>0</v>
      </c>
      <c r="BO30" s="593">
        <f t="shared" si="21"/>
        <v>0</v>
      </c>
      <c r="BP30" s="593">
        <f t="shared" si="22"/>
        <v>0</v>
      </c>
      <c r="BQ30" s="593">
        <f t="shared" si="23"/>
        <v>0</v>
      </c>
      <c r="BR30" s="593">
        <f t="shared" si="24"/>
        <v>0</v>
      </c>
      <c r="BS30" s="593">
        <f t="shared" si="25"/>
        <v>0</v>
      </c>
      <c r="BT30" s="593">
        <f t="shared" si="26"/>
        <v>0</v>
      </c>
      <c r="BU30" s="593">
        <f t="shared" si="27"/>
        <v>0</v>
      </c>
      <c r="BV30" s="593">
        <f t="shared" si="28"/>
        <v>0</v>
      </c>
      <c r="BW30" s="593">
        <f t="shared" si="29"/>
        <v>0</v>
      </c>
      <c r="BX30" s="593">
        <f t="shared" si="30"/>
        <v>0</v>
      </c>
      <c r="BY30" s="593">
        <f t="shared" si="31"/>
        <v>0</v>
      </c>
      <c r="BZ30" s="593">
        <f t="shared" si="32"/>
        <v>0</v>
      </c>
      <c r="CA30" s="593">
        <f t="shared" si="33"/>
        <v>0</v>
      </c>
      <c r="CB30" s="593">
        <f t="shared" si="34"/>
        <v>0</v>
      </c>
      <c r="CC30" s="593">
        <f t="shared" si="35"/>
        <v>0</v>
      </c>
      <c r="CD30" s="593">
        <f t="shared" si="36"/>
        <v>0</v>
      </c>
      <c r="CE30" s="593">
        <f t="shared" si="37"/>
        <v>0</v>
      </c>
      <c r="CF30" s="595">
        <f t="shared" si="38"/>
        <v>0</v>
      </c>
      <c r="CG30" s="555" t="str">
        <f t="shared" si="39"/>
        <v/>
      </c>
      <c r="CH30" s="530" t="str">
        <f t="shared" si="40"/>
        <v/>
      </c>
      <c r="CI30" s="530" t="str">
        <f t="shared" si="41"/>
        <v/>
      </c>
      <c r="CJ30" s="530" t="str">
        <f t="shared" si="42"/>
        <v/>
      </c>
      <c r="CK30" s="530" t="str">
        <f t="shared" si="43"/>
        <v/>
      </c>
      <c r="CL30" s="530" t="str">
        <f t="shared" si="44"/>
        <v/>
      </c>
      <c r="CM30" s="82" t="str">
        <f t="shared" si="45"/>
        <v/>
      </c>
      <c r="CN30" s="496" t="str">
        <f t="shared" si="4"/>
        <v/>
      </c>
      <c r="CO30" s="496" t="str">
        <f t="shared" si="52"/>
        <v>0</v>
      </c>
      <c r="CP30" s="491">
        <f t="shared" si="47"/>
        <v>0</v>
      </c>
      <c r="CQ30" s="906"/>
      <c r="CR30" s="935"/>
      <c r="CS30" s="496">
        <f t="shared" si="48"/>
        <v>0</v>
      </c>
      <c r="CT30" s="496">
        <f t="shared" si="49"/>
        <v>0</v>
      </c>
      <c r="CU30" s="497" t="str">
        <f t="shared" si="50"/>
        <v>00</v>
      </c>
    </row>
    <row r="31" spans="1:99" s="5" customFormat="1" ht="15" customHeight="1">
      <c r="A31" s="1073">
        <v>28</v>
      </c>
      <c r="B31" s="922"/>
      <c r="C31" s="924" t="str">
        <f t="shared" si="5"/>
        <v/>
      </c>
      <c r="D31" s="1246"/>
      <c r="E31" s="913"/>
      <c r="F31" s="914"/>
      <c r="G31" s="1249"/>
      <c r="H31" s="915"/>
      <c r="I31" s="916"/>
      <c r="J31" s="917"/>
      <c r="K31" s="1012"/>
      <c r="L31" s="1012"/>
      <c r="M31" s="1017"/>
      <c r="N31" s="947"/>
      <c r="O31" s="406" t="str">
        <f t="shared" si="51"/>
        <v/>
      </c>
      <c r="P31" s="407" t="str">
        <f>IF(O31="","",VLOOKUP(O31,所属コード!$A$2:$E$11,2,FALSE))</f>
        <v/>
      </c>
      <c r="Q31" s="1033" t="str">
        <f>IF(O31="","",VLOOKUP(O31,所属コード!$A$2:$G$11,7,FALSE))</f>
        <v/>
      </c>
      <c r="R31" s="1035"/>
      <c r="S31" s="77"/>
      <c r="T31" s="77"/>
      <c r="U31" s="77"/>
      <c r="V31" s="15"/>
      <c r="X31" s="492"/>
      <c r="Y31" s="945" t="str">
        <f t="shared" si="6"/>
        <v/>
      </c>
      <c r="Z31" s="489" t="str">
        <f t="shared" si="7"/>
        <v/>
      </c>
      <c r="AA31" s="488"/>
      <c r="AB31" s="488"/>
      <c r="AC31" s="488"/>
      <c r="AD31" s="488"/>
      <c r="AE31" s="488"/>
      <c r="AF31" s="488"/>
      <c r="AG31" s="491"/>
      <c r="AH31" s="591"/>
      <c r="AI31" s="592"/>
      <c r="AJ31" s="592"/>
      <c r="AK31" s="592"/>
      <c r="AL31" s="592"/>
      <c r="AM31" s="592"/>
      <c r="AN31" s="592"/>
      <c r="AO31" s="592"/>
      <c r="AP31" s="592"/>
      <c r="AQ31" s="592"/>
      <c r="AR31" s="592"/>
      <c r="AS31" s="592"/>
      <c r="AT31" s="592"/>
      <c r="AU31" s="592"/>
      <c r="AV31" s="592"/>
      <c r="AW31" s="1084"/>
      <c r="AX31" s="609">
        <f t="shared" si="8"/>
        <v>0</v>
      </c>
      <c r="AY31" s="602">
        <f t="shared" si="0"/>
        <v>0</v>
      </c>
      <c r="AZ31" s="593">
        <f t="shared" si="1"/>
        <v>0</v>
      </c>
      <c r="BA31" s="594">
        <f t="shared" si="2"/>
        <v>0</v>
      </c>
      <c r="BB31" s="593">
        <f t="shared" si="3"/>
        <v>0</v>
      </c>
      <c r="BC31" s="593">
        <f t="shared" si="9"/>
        <v>0</v>
      </c>
      <c r="BD31" s="593">
        <f t="shared" si="10"/>
        <v>0</v>
      </c>
      <c r="BE31" s="593">
        <f t="shared" si="11"/>
        <v>0</v>
      </c>
      <c r="BF31" s="593">
        <f t="shared" si="12"/>
        <v>0</v>
      </c>
      <c r="BG31" s="593">
        <f t="shared" si="13"/>
        <v>0</v>
      </c>
      <c r="BH31" s="593">
        <f t="shared" si="14"/>
        <v>0</v>
      </c>
      <c r="BI31" s="593">
        <f t="shared" si="15"/>
        <v>0</v>
      </c>
      <c r="BJ31" s="593">
        <f t="shared" si="16"/>
        <v>0</v>
      </c>
      <c r="BK31" s="593">
        <f t="shared" si="17"/>
        <v>0</v>
      </c>
      <c r="BL31" s="593">
        <f t="shared" si="18"/>
        <v>0</v>
      </c>
      <c r="BM31" s="593">
        <f t="shared" si="19"/>
        <v>0</v>
      </c>
      <c r="BN31" s="593">
        <f t="shared" si="20"/>
        <v>0</v>
      </c>
      <c r="BO31" s="593">
        <f t="shared" si="21"/>
        <v>0</v>
      </c>
      <c r="BP31" s="593">
        <f t="shared" si="22"/>
        <v>0</v>
      </c>
      <c r="BQ31" s="593">
        <f t="shared" si="23"/>
        <v>0</v>
      </c>
      <c r="BR31" s="593">
        <f t="shared" si="24"/>
        <v>0</v>
      </c>
      <c r="BS31" s="593">
        <f t="shared" si="25"/>
        <v>0</v>
      </c>
      <c r="BT31" s="593">
        <f t="shared" si="26"/>
        <v>0</v>
      </c>
      <c r="BU31" s="593">
        <f t="shared" si="27"/>
        <v>0</v>
      </c>
      <c r="BV31" s="593">
        <f t="shared" si="28"/>
        <v>0</v>
      </c>
      <c r="BW31" s="593">
        <f t="shared" si="29"/>
        <v>0</v>
      </c>
      <c r="BX31" s="593">
        <f t="shared" si="30"/>
        <v>0</v>
      </c>
      <c r="BY31" s="593">
        <f t="shared" si="31"/>
        <v>0</v>
      </c>
      <c r="BZ31" s="593">
        <f t="shared" si="32"/>
        <v>0</v>
      </c>
      <c r="CA31" s="593">
        <f t="shared" si="33"/>
        <v>0</v>
      </c>
      <c r="CB31" s="593">
        <f t="shared" si="34"/>
        <v>0</v>
      </c>
      <c r="CC31" s="593">
        <f t="shared" si="35"/>
        <v>0</v>
      </c>
      <c r="CD31" s="593">
        <f t="shared" si="36"/>
        <v>0</v>
      </c>
      <c r="CE31" s="593">
        <f t="shared" si="37"/>
        <v>0</v>
      </c>
      <c r="CF31" s="595">
        <f t="shared" si="38"/>
        <v>0</v>
      </c>
      <c r="CG31" s="555" t="str">
        <f t="shared" si="39"/>
        <v/>
      </c>
      <c r="CH31" s="530" t="str">
        <f t="shared" si="40"/>
        <v/>
      </c>
      <c r="CI31" s="530" t="str">
        <f t="shared" si="41"/>
        <v/>
      </c>
      <c r="CJ31" s="530" t="str">
        <f t="shared" si="42"/>
        <v/>
      </c>
      <c r="CK31" s="530" t="str">
        <f t="shared" si="43"/>
        <v/>
      </c>
      <c r="CL31" s="530" t="str">
        <f t="shared" si="44"/>
        <v/>
      </c>
      <c r="CM31" s="82" t="str">
        <f t="shared" si="45"/>
        <v/>
      </c>
      <c r="CN31" s="496" t="str">
        <f t="shared" si="4"/>
        <v/>
      </c>
      <c r="CO31" s="496" t="str">
        <f t="shared" si="52"/>
        <v>0</v>
      </c>
      <c r="CP31" s="491">
        <f t="shared" si="47"/>
        <v>0</v>
      </c>
      <c r="CQ31" s="906"/>
      <c r="CR31" s="935"/>
      <c r="CS31" s="496">
        <f t="shared" si="48"/>
        <v>0</v>
      </c>
      <c r="CT31" s="496">
        <f t="shared" si="49"/>
        <v>0</v>
      </c>
      <c r="CU31" s="497" t="str">
        <f t="shared" si="50"/>
        <v>00</v>
      </c>
    </row>
    <row r="32" spans="1:99" s="5" customFormat="1" ht="15" customHeight="1">
      <c r="A32" s="1073">
        <v>29</v>
      </c>
      <c r="B32" s="922"/>
      <c r="C32" s="924" t="str">
        <f t="shared" si="5"/>
        <v/>
      </c>
      <c r="D32" s="1246"/>
      <c r="E32" s="913"/>
      <c r="F32" s="914"/>
      <c r="G32" s="1249"/>
      <c r="H32" s="915"/>
      <c r="I32" s="916"/>
      <c r="J32" s="917"/>
      <c r="K32" s="1012"/>
      <c r="L32" s="1012"/>
      <c r="M32" s="1017"/>
      <c r="N32" s="947"/>
      <c r="O32" s="406" t="str">
        <f t="shared" si="51"/>
        <v/>
      </c>
      <c r="P32" s="407" t="str">
        <f>IF(O32="","",VLOOKUP(O32,所属コード!$A$2:$E$11,2,FALSE))</f>
        <v/>
      </c>
      <c r="Q32" s="1033" t="str">
        <f>IF(O32="","",VLOOKUP(O32,所属コード!$A$2:$G$11,7,FALSE))</f>
        <v/>
      </c>
      <c r="R32" s="1035"/>
      <c r="S32" s="77"/>
      <c r="T32" s="77"/>
      <c r="U32" s="77"/>
      <c r="V32" s="15"/>
      <c r="X32" s="492"/>
      <c r="Y32" s="945" t="str">
        <f t="shared" si="6"/>
        <v/>
      </c>
      <c r="Z32" s="489" t="str">
        <f t="shared" si="7"/>
        <v/>
      </c>
      <c r="AA32" s="488"/>
      <c r="AB32" s="488"/>
      <c r="AC32" s="488"/>
      <c r="AD32" s="488"/>
      <c r="AE32" s="488"/>
      <c r="AF32" s="488"/>
      <c r="AG32" s="491"/>
      <c r="AH32" s="591"/>
      <c r="AI32" s="592"/>
      <c r="AJ32" s="592"/>
      <c r="AK32" s="592"/>
      <c r="AL32" s="592"/>
      <c r="AM32" s="592"/>
      <c r="AN32" s="592"/>
      <c r="AO32" s="592"/>
      <c r="AP32" s="592"/>
      <c r="AQ32" s="592"/>
      <c r="AR32" s="592"/>
      <c r="AS32" s="592"/>
      <c r="AT32" s="592"/>
      <c r="AU32" s="592"/>
      <c r="AV32" s="592"/>
      <c r="AW32" s="1084"/>
      <c r="AX32" s="609">
        <f t="shared" si="8"/>
        <v>0</v>
      </c>
      <c r="AY32" s="602">
        <f t="shared" si="0"/>
        <v>0</v>
      </c>
      <c r="AZ32" s="593">
        <f t="shared" si="1"/>
        <v>0</v>
      </c>
      <c r="BA32" s="594">
        <f t="shared" si="2"/>
        <v>0</v>
      </c>
      <c r="BB32" s="593">
        <f t="shared" si="3"/>
        <v>0</v>
      </c>
      <c r="BC32" s="593">
        <f t="shared" si="9"/>
        <v>0</v>
      </c>
      <c r="BD32" s="593">
        <f t="shared" si="10"/>
        <v>0</v>
      </c>
      <c r="BE32" s="593">
        <f t="shared" si="11"/>
        <v>0</v>
      </c>
      <c r="BF32" s="593">
        <f t="shared" si="12"/>
        <v>0</v>
      </c>
      <c r="BG32" s="593">
        <f t="shared" si="13"/>
        <v>0</v>
      </c>
      <c r="BH32" s="593">
        <f t="shared" si="14"/>
        <v>0</v>
      </c>
      <c r="BI32" s="593">
        <f t="shared" si="15"/>
        <v>0</v>
      </c>
      <c r="BJ32" s="593">
        <f t="shared" si="16"/>
        <v>0</v>
      </c>
      <c r="BK32" s="593">
        <f t="shared" si="17"/>
        <v>0</v>
      </c>
      <c r="BL32" s="593">
        <f t="shared" si="18"/>
        <v>0</v>
      </c>
      <c r="BM32" s="593">
        <f t="shared" si="19"/>
        <v>0</v>
      </c>
      <c r="BN32" s="593">
        <f t="shared" si="20"/>
        <v>0</v>
      </c>
      <c r="BO32" s="593">
        <f t="shared" si="21"/>
        <v>0</v>
      </c>
      <c r="BP32" s="593">
        <f t="shared" si="22"/>
        <v>0</v>
      </c>
      <c r="BQ32" s="593">
        <f t="shared" si="23"/>
        <v>0</v>
      </c>
      <c r="BR32" s="593">
        <f t="shared" si="24"/>
        <v>0</v>
      </c>
      <c r="BS32" s="593">
        <f t="shared" si="25"/>
        <v>0</v>
      </c>
      <c r="BT32" s="593">
        <f t="shared" si="26"/>
        <v>0</v>
      </c>
      <c r="BU32" s="593">
        <f t="shared" si="27"/>
        <v>0</v>
      </c>
      <c r="BV32" s="593">
        <f t="shared" si="28"/>
        <v>0</v>
      </c>
      <c r="BW32" s="593">
        <f t="shared" si="29"/>
        <v>0</v>
      </c>
      <c r="BX32" s="593">
        <f t="shared" si="30"/>
        <v>0</v>
      </c>
      <c r="BY32" s="593">
        <f t="shared" si="31"/>
        <v>0</v>
      </c>
      <c r="BZ32" s="593">
        <f t="shared" si="32"/>
        <v>0</v>
      </c>
      <c r="CA32" s="593">
        <f t="shared" si="33"/>
        <v>0</v>
      </c>
      <c r="CB32" s="593">
        <f t="shared" si="34"/>
        <v>0</v>
      </c>
      <c r="CC32" s="593">
        <f t="shared" si="35"/>
        <v>0</v>
      </c>
      <c r="CD32" s="593">
        <f t="shared" si="36"/>
        <v>0</v>
      </c>
      <c r="CE32" s="593">
        <f t="shared" si="37"/>
        <v>0</v>
      </c>
      <c r="CF32" s="595">
        <f t="shared" si="38"/>
        <v>0</v>
      </c>
      <c r="CG32" s="555" t="str">
        <f t="shared" si="39"/>
        <v/>
      </c>
      <c r="CH32" s="530" t="str">
        <f t="shared" si="40"/>
        <v/>
      </c>
      <c r="CI32" s="530" t="str">
        <f t="shared" si="41"/>
        <v/>
      </c>
      <c r="CJ32" s="530" t="str">
        <f t="shared" si="42"/>
        <v/>
      </c>
      <c r="CK32" s="530" t="str">
        <f t="shared" si="43"/>
        <v/>
      </c>
      <c r="CL32" s="530" t="str">
        <f t="shared" si="44"/>
        <v/>
      </c>
      <c r="CM32" s="82" t="str">
        <f t="shared" si="45"/>
        <v/>
      </c>
      <c r="CN32" s="496" t="str">
        <f t="shared" si="4"/>
        <v/>
      </c>
      <c r="CO32" s="496" t="str">
        <f t="shared" si="52"/>
        <v>0</v>
      </c>
      <c r="CP32" s="491">
        <f t="shared" si="47"/>
        <v>0</v>
      </c>
      <c r="CQ32" s="906"/>
      <c r="CR32" s="935"/>
      <c r="CS32" s="496">
        <f t="shared" si="48"/>
        <v>0</v>
      </c>
      <c r="CT32" s="496">
        <f t="shared" si="49"/>
        <v>0</v>
      </c>
      <c r="CU32" s="497" t="str">
        <f t="shared" si="50"/>
        <v>00</v>
      </c>
    </row>
    <row r="33" spans="1:99" s="5" customFormat="1" ht="15" customHeight="1" thickBot="1">
      <c r="A33" s="1074">
        <v>30</v>
      </c>
      <c r="B33" s="1019"/>
      <c r="C33" s="1077" t="str">
        <f t="shared" si="5"/>
        <v/>
      </c>
      <c r="D33" s="1255"/>
      <c r="E33" s="1021"/>
      <c r="F33" s="1022"/>
      <c r="G33" s="1256"/>
      <c r="H33" s="1076"/>
      <c r="I33" s="1025"/>
      <c r="J33" s="1024"/>
      <c r="K33" s="1014"/>
      <c r="L33" s="1014"/>
      <c r="M33" s="1026"/>
      <c r="N33" s="947"/>
      <c r="O33" s="406" t="str">
        <f t="shared" si="51"/>
        <v/>
      </c>
      <c r="P33" s="407" t="str">
        <f>IF(O33="","",VLOOKUP(O33,所属コード!$A$2:$E$11,2,FALSE))</f>
        <v/>
      </c>
      <c r="Q33" s="1033" t="str">
        <f>IF(O33="","",VLOOKUP(O33,所属コード!$A$2:$G$11,7,FALSE))</f>
        <v/>
      </c>
      <c r="R33" s="1035"/>
      <c r="S33" s="77"/>
      <c r="T33" s="77"/>
      <c r="U33" s="77"/>
      <c r="V33" s="15"/>
      <c r="X33" s="492"/>
      <c r="Y33" s="945" t="str">
        <f t="shared" si="6"/>
        <v/>
      </c>
      <c r="Z33" s="489" t="str">
        <f t="shared" si="7"/>
        <v/>
      </c>
      <c r="AA33" s="488"/>
      <c r="AB33" s="488"/>
      <c r="AC33" s="488"/>
      <c r="AD33" s="488"/>
      <c r="AE33" s="488"/>
      <c r="AF33" s="488"/>
      <c r="AG33" s="491"/>
      <c r="AH33" s="596"/>
      <c r="AI33" s="597"/>
      <c r="AJ33" s="597"/>
      <c r="AK33" s="597"/>
      <c r="AL33" s="597"/>
      <c r="AM33" s="597"/>
      <c r="AN33" s="597"/>
      <c r="AO33" s="597"/>
      <c r="AP33" s="597"/>
      <c r="AQ33" s="597"/>
      <c r="AR33" s="597"/>
      <c r="AS33" s="597"/>
      <c r="AT33" s="597"/>
      <c r="AU33" s="597"/>
      <c r="AV33" s="597"/>
      <c r="AW33" s="1085"/>
      <c r="AX33" s="609">
        <f t="shared" si="8"/>
        <v>0</v>
      </c>
      <c r="AY33" s="602">
        <f t="shared" si="0"/>
        <v>0</v>
      </c>
      <c r="AZ33" s="593">
        <f t="shared" si="1"/>
        <v>0</v>
      </c>
      <c r="BA33" s="594">
        <f t="shared" si="2"/>
        <v>0</v>
      </c>
      <c r="BB33" s="593">
        <f t="shared" si="3"/>
        <v>0</v>
      </c>
      <c r="BC33" s="593">
        <f t="shared" si="9"/>
        <v>0</v>
      </c>
      <c r="BD33" s="593">
        <f t="shared" si="10"/>
        <v>0</v>
      </c>
      <c r="BE33" s="593">
        <f t="shared" si="11"/>
        <v>0</v>
      </c>
      <c r="BF33" s="593">
        <f t="shared" si="12"/>
        <v>0</v>
      </c>
      <c r="BG33" s="593">
        <f t="shared" si="13"/>
        <v>0</v>
      </c>
      <c r="BH33" s="593">
        <f t="shared" si="14"/>
        <v>0</v>
      </c>
      <c r="BI33" s="593">
        <f t="shared" si="15"/>
        <v>0</v>
      </c>
      <c r="BJ33" s="593">
        <f t="shared" si="16"/>
        <v>0</v>
      </c>
      <c r="BK33" s="593">
        <f t="shared" si="17"/>
        <v>0</v>
      </c>
      <c r="BL33" s="593">
        <f t="shared" si="18"/>
        <v>0</v>
      </c>
      <c r="BM33" s="593">
        <f t="shared" si="19"/>
        <v>0</v>
      </c>
      <c r="BN33" s="593">
        <f t="shared" si="20"/>
        <v>0</v>
      </c>
      <c r="BO33" s="593">
        <f t="shared" si="21"/>
        <v>0</v>
      </c>
      <c r="BP33" s="593">
        <f t="shared" si="22"/>
        <v>0</v>
      </c>
      <c r="BQ33" s="593">
        <f t="shared" si="23"/>
        <v>0</v>
      </c>
      <c r="BR33" s="593">
        <f t="shared" si="24"/>
        <v>0</v>
      </c>
      <c r="BS33" s="593">
        <f t="shared" si="25"/>
        <v>0</v>
      </c>
      <c r="BT33" s="593">
        <f t="shared" si="26"/>
        <v>0</v>
      </c>
      <c r="BU33" s="593">
        <f t="shared" si="27"/>
        <v>0</v>
      </c>
      <c r="BV33" s="593">
        <f t="shared" si="28"/>
        <v>0</v>
      </c>
      <c r="BW33" s="593">
        <f t="shared" si="29"/>
        <v>0</v>
      </c>
      <c r="BX33" s="593">
        <f t="shared" si="30"/>
        <v>0</v>
      </c>
      <c r="BY33" s="593">
        <f t="shared" si="31"/>
        <v>0</v>
      </c>
      <c r="BZ33" s="593">
        <f t="shared" si="32"/>
        <v>0</v>
      </c>
      <c r="CA33" s="593">
        <f t="shared" si="33"/>
        <v>0</v>
      </c>
      <c r="CB33" s="593">
        <f t="shared" si="34"/>
        <v>0</v>
      </c>
      <c r="CC33" s="593">
        <f t="shared" si="35"/>
        <v>0</v>
      </c>
      <c r="CD33" s="593">
        <f t="shared" si="36"/>
        <v>0</v>
      </c>
      <c r="CE33" s="593">
        <f t="shared" si="37"/>
        <v>0</v>
      </c>
      <c r="CF33" s="595">
        <f t="shared" si="38"/>
        <v>0</v>
      </c>
      <c r="CG33" s="555" t="str">
        <f t="shared" si="39"/>
        <v/>
      </c>
      <c r="CH33" s="530" t="str">
        <f t="shared" si="40"/>
        <v/>
      </c>
      <c r="CI33" s="530" t="str">
        <f t="shared" si="41"/>
        <v/>
      </c>
      <c r="CJ33" s="530" t="str">
        <f t="shared" si="42"/>
        <v/>
      </c>
      <c r="CK33" s="530" t="str">
        <f t="shared" si="43"/>
        <v/>
      </c>
      <c r="CL33" s="530" t="str">
        <f t="shared" si="44"/>
        <v/>
      </c>
      <c r="CM33" s="82" t="str">
        <f t="shared" si="45"/>
        <v/>
      </c>
      <c r="CN33" s="496" t="str">
        <f t="shared" si="4"/>
        <v/>
      </c>
      <c r="CO33" s="496" t="str">
        <f t="shared" si="52"/>
        <v>0</v>
      </c>
      <c r="CP33" s="491">
        <f t="shared" si="47"/>
        <v>0</v>
      </c>
      <c r="CQ33" s="906"/>
      <c r="CR33" s="935"/>
      <c r="CS33" s="496">
        <f t="shared" si="48"/>
        <v>0</v>
      </c>
      <c r="CT33" s="496">
        <f t="shared" si="49"/>
        <v>0</v>
      </c>
      <c r="CU33" s="497" t="str">
        <f t="shared" si="50"/>
        <v>00</v>
      </c>
    </row>
    <row r="34" spans="1:99" s="5" customFormat="1" ht="15" hidden="1" customHeight="1">
      <c r="A34" s="1054">
        <v>31</v>
      </c>
      <c r="B34" s="1086"/>
      <c r="C34" s="1056"/>
      <c r="D34" s="1057"/>
      <c r="E34" s="1058"/>
      <c r="F34" s="1059"/>
      <c r="G34" s="1087"/>
      <c r="H34" s="918"/>
      <c r="I34" s="919"/>
      <c r="J34" s="920"/>
      <c r="K34" s="1061"/>
      <c r="L34" s="1061"/>
      <c r="M34" s="1088"/>
      <c r="N34" s="947"/>
      <c r="O34" s="406" t="str">
        <f t="shared" si="51"/>
        <v/>
      </c>
      <c r="P34" s="407" t="str">
        <f>IF(O34="","",VLOOKUP(O34,所属コード!$A$2:$E$11,2,FALSE))</f>
        <v/>
      </c>
      <c r="Q34" s="1033" t="str">
        <f>IF(O34="","",VLOOKUP(O34,所属コード!$A$2:$G$11,7,FALSE))</f>
        <v/>
      </c>
      <c r="R34" s="1035"/>
      <c r="S34" s="77"/>
      <c r="T34" s="77"/>
      <c r="U34" s="77"/>
      <c r="V34" s="15"/>
      <c r="X34" s="492"/>
      <c r="Y34" s="945" t="str">
        <f t="shared" si="6"/>
        <v/>
      </c>
      <c r="Z34" s="489" t="str">
        <f t="shared" si="7"/>
        <v/>
      </c>
      <c r="AA34" s="488"/>
      <c r="AB34" s="488"/>
      <c r="AC34" s="488"/>
      <c r="AD34" s="488"/>
      <c r="AE34" s="488"/>
      <c r="AF34" s="488"/>
      <c r="AG34" s="491"/>
      <c r="AH34" s="1078"/>
      <c r="AI34" s="1079"/>
      <c r="AJ34" s="1079"/>
      <c r="AK34" s="1079"/>
      <c r="AL34" s="1079"/>
      <c r="AM34" s="1079"/>
      <c r="AN34" s="1079"/>
      <c r="AO34" s="1079"/>
      <c r="AP34" s="1079"/>
      <c r="AQ34" s="1079"/>
      <c r="AR34" s="1079"/>
      <c r="AS34" s="1079"/>
      <c r="AT34" s="1079"/>
      <c r="AU34" s="1079"/>
      <c r="AV34" s="1079"/>
      <c r="AW34" s="1080"/>
      <c r="AX34" s="609">
        <f t="shared" si="8"/>
        <v>0</v>
      </c>
      <c r="AY34" s="602">
        <f t="shared" si="0"/>
        <v>0</v>
      </c>
      <c r="AZ34" s="593">
        <f t="shared" si="1"/>
        <v>0</v>
      </c>
      <c r="BA34" s="594">
        <f t="shared" si="2"/>
        <v>0</v>
      </c>
      <c r="BB34" s="593">
        <f t="shared" si="3"/>
        <v>0</v>
      </c>
      <c r="BC34" s="593">
        <f t="shared" si="9"/>
        <v>0</v>
      </c>
      <c r="BD34" s="593">
        <f t="shared" si="10"/>
        <v>0</v>
      </c>
      <c r="BE34" s="593">
        <f t="shared" si="11"/>
        <v>0</v>
      </c>
      <c r="BF34" s="593">
        <f t="shared" si="12"/>
        <v>0</v>
      </c>
      <c r="BG34" s="593">
        <f t="shared" si="13"/>
        <v>0</v>
      </c>
      <c r="BH34" s="593">
        <f t="shared" si="14"/>
        <v>0</v>
      </c>
      <c r="BI34" s="593">
        <f t="shared" si="15"/>
        <v>0</v>
      </c>
      <c r="BJ34" s="593">
        <f t="shared" si="16"/>
        <v>0</v>
      </c>
      <c r="BK34" s="593">
        <f t="shared" si="17"/>
        <v>0</v>
      </c>
      <c r="BL34" s="593">
        <f t="shared" si="18"/>
        <v>0</v>
      </c>
      <c r="BM34" s="593">
        <f t="shared" si="19"/>
        <v>0</v>
      </c>
      <c r="BN34" s="593">
        <f t="shared" si="20"/>
        <v>0</v>
      </c>
      <c r="BO34" s="593">
        <f t="shared" si="21"/>
        <v>0</v>
      </c>
      <c r="BP34" s="593">
        <f t="shared" si="22"/>
        <v>0</v>
      </c>
      <c r="BQ34" s="593">
        <f t="shared" si="23"/>
        <v>0</v>
      </c>
      <c r="BR34" s="593">
        <f t="shared" si="24"/>
        <v>0</v>
      </c>
      <c r="BS34" s="593">
        <f t="shared" si="25"/>
        <v>0</v>
      </c>
      <c r="BT34" s="593">
        <f t="shared" si="26"/>
        <v>0</v>
      </c>
      <c r="BU34" s="593">
        <f t="shared" si="27"/>
        <v>0</v>
      </c>
      <c r="BV34" s="593">
        <f t="shared" si="28"/>
        <v>0</v>
      </c>
      <c r="BW34" s="593">
        <f t="shared" si="29"/>
        <v>0</v>
      </c>
      <c r="BX34" s="593">
        <f t="shared" si="30"/>
        <v>0</v>
      </c>
      <c r="BY34" s="593">
        <f t="shared" si="31"/>
        <v>0</v>
      </c>
      <c r="BZ34" s="593">
        <f t="shared" si="32"/>
        <v>0</v>
      </c>
      <c r="CA34" s="593">
        <f t="shared" si="33"/>
        <v>0</v>
      </c>
      <c r="CB34" s="593">
        <f t="shared" si="34"/>
        <v>0</v>
      </c>
      <c r="CC34" s="593">
        <f t="shared" si="35"/>
        <v>0</v>
      </c>
      <c r="CD34" s="593">
        <f t="shared" si="36"/>
        <v>0</v>
      </c>
      <c r="CE34" s="593">
        <f t="shared" si="37"/>
        <v>0</v>
      </c>
      <c r="CF34" s="595">
        <f t="shared" si="38"/>
        <v>0</v>
      </c>
      <c r="CG34" s="555" t="str">
        <f t="shared" si="39"/>
        <v/>
      </c>
      <c r="CH34" s="530" t="str">
        <f t="shared" si="40"/>
        <v/>
      </c>
      <c r="CI34" s="530" t="str">
        <f t="shared" si="41"/>
        <v/>
      </c>
      <c r="CJ34" s="530" t="str">
        <f t="shared" si="42"/>
        <v/>
      </c>
      <c r="CK34" s="530" t="str">
        <f t="shared" si="43"/>
        <v/>
      </c>
      <c r="CL34" s="530" t="str">
        <f t="shared" si="44"/>
        <v/>
      </c>
      <c r="CM34" s="82" t="str">
        <f t="shared" si="45"/>
        <v/>
      </c>
      <c r="CN34" s="496" t="str">
        <f t="shared" si="4"/>
        <v/>
      </c>
      <c r="CO34" s="496" t="str">
        <f t="shared" si="52"/>
        <v>0</v>
      </c>
      <c r="CP34" s="491">
        <f t="shared" si="47"/>
        <v>0</v>
      </c>
      <c r="CQ34" s="906"/>
      <c r="CR34" s="935"/>
      <c r="CS34" s="496">
        <f t="shared" si="48"/>
        <v>0</v>
      </c>
      <c r="CT34" s="496">
        <f t="shared" si="49"/>
        <v>0</v>
      </c>
      <c r="CU34" s="497" t="str">
        <f t="shared" si="50"/>
        <v>00</v>
      </c>
    </row>
    <row r="35" spans="1:99" s="5" customFormat="1" ht="15" hidden="1" customHeight="1">
      <c r="A35" s="951">
        <v>32</v>
      </c>
      <c r="B35" s="1016"/>
      <c r="C35" s="922"/>
      <c r="D35" s="923"/>
      <c r="E35" s="913"/>
      <c r="F35" s="914"/>
      <c r="G35" s="1051"/>
      <c r="H35" s="915"/>
      <c r="I35" s="916"/>
      <c r="J35" s="917"/>
      <c r="K35" s="1012"/>
      <c r="L35" s="1012"/>
      <c r="M35" s="1017"/>
      <c r="N35" s="947"/>
      <c r="O35" s="406" t="str">
        <f t="shared" si="51"/>
        <v/>
      </c>
      <c r="P35" s="407" t="str">
        <f>IF(O35="","",VLOOKUP(O35,所属コード!$A$2:$E$11,2,FALSE))</f>
        <v/>
      </c>
      <c r="Q35" s="1033" t="str">
        <f>IF(O35="","",VLOOKUP(O35,所属コード!$A$2:$G$11,7,FALSE))</f>
        <v/>
      </c>
      <c r="R35" s="1035"/>
      <c r="S35" s="77"/>
      <c r="T35" s="77"/>
      <c r="U35" s="77"/>
      <c r="V35" s="15"/>
      <c r="X35" s="492"/>
      <c r="Y35" s="945" t="str">
        <f t="shared" si="6"/>
        <v/>
      </c>
      <c r="Z35" s="489" t="str">
        <f t="shared" si="7"/>
        <v/>
      </c>
      <c r="AA35" s="488"/>
      <c r="AB35" s="488"/>
      <c r="AC35" s="488"/>
      <c r="AD35" s="488"/>
      <c r="AE35" s="488"/>
      <c r="AF35" s="488"/>
      <c r="AG35" s="491"/>
      <c r="AH35" s="591"/>
      <c r="AI35" s="592"/>
      <c r="AJ35" s="592"/>
      <c r="AK35" s="592"/>
      <c r="AL35" s="592"/>
      <c r="AM35" s="592"/>
      <c r="AN35" s="592"/>
      <c r="AO35" s="592"/>
      <c r="AP35" s="592"/>
      <c r="AQ35" s="592"/>
      <c r="AR35" s="592"/>
      <c r="AS35" s="592"/>
      <c r="AT35" s="592"/>
      <c r="AU35" s="592"/>
      <c r="AV35" s="592"/>
      <c r="AW35" s="604"/>
      <c r="AX35" s="609">
        <f t="shared" si="8"/>
        <v>0</v>
      </c>
      <c r="AY35" s="602">
        <f t="shared" si="0"/>
        <v>0</v>
      </c>
      <c r="AZ35" s="593">
        <f t="shared" si="1"/>
        <v>0</v>
      </c>
      <c r="BA35" s="594">
        <f t="shared" si="2"/>
        <v>0</v>
      </c>
      <c r="BB35" s="593">
        <f t="shared" si="3"/>
        <v>0</v>
      </c>
      <c r="BC35" s="593">
        <f t="shared" si="9"/>
        <v>0</v>
      </c>
      <c r="BD35" s="593">
        <f t="shared" si="10"/>
        <v>0</v>
      </c>
      <c r="BE35" s="593">
        <f t="shared" si="11"/>
        <v>0</v>
      </c>
      <c r="BF35" s="593">
        <f t="shared" si="12"/>
        <v>0</v>
      </c>
      <c r="BG35" s="593">
        <f t="shared" si="13"/>
        <v>0</v>
      </c>
      <c r="BH35" s="593">
        <f t="shared" si="14"/>
        <v>0</v>
      </c>
      <c r="BI35" s="593">
        <f t="shared" si="15"/>
        <v>0</v>
      </c>
      <c r="BJ35" s="593">
        <f t="shared" si="16"/>
        <v>0</v>
      </c>
      <c r="BK35" s="593">
        <f t="shared" si="17"/>
        <v>0</v>
      </c>
      <c r="BL35" s="593">
        <f t="shared" si="18"/>
        <v>0</v>
      </c>
      <c r="BM35" s="593">
        <f t="shared" si="19"/>
        <v>0</v>
      </c>
      <c r="BN35" s="593">
        <f t="shared" si="20"/>
        <v>0</v>
      </c>
      <c r="BO35" s="593">
        <f t="shared" si="21"/>
        <v>0</v>
      </c>
      <c r="BP35" s="593">
        <f t="shared" si="22"/>
        <v>0</v>
      </c>
      <c r="BQ35" s="593">
        <f t="shared" si="23"/>
        <v>0</v>
      </c>
      <c r="BR35" s="593">
        <f t="shared" si="24"/>
        <v>0</v>
      </c>
      <c r="BS35" s="593">
        <f t="shared" si="25"/>
        <v>0</v>
      </c>
      <c r="BT35" s="593">
        <f t="shared" si="26"/>
        <v>0</v>
      </c>
      <c r="BU35" s="593">
        <f t="shared" si="27"/>
        <v>0</v>
      </c>
      <c r="BV35" s="593">
        <f t="shared" si="28"/>
        <v>0</v>
      </c>
      <c r="BW35" s="593">
        <f t="shared" si="29"/>
        <v>0</v>
      </c>
      <c r="BX35" s="593">
        <f t="shared" si="30"/>
        <v>0</v>
      </c>
      <c r="BY35" s="593">
        <f t="shared" si="31"/>
        <v>0</v>
      </c>
      <c r="BZ35" s="593">
        <f t="shared" si="32"/>
        <v>0</v>
      </c>
      <c r="CA35" s="593">
        <f t="shared" si="33"/>
        <v>0</v>
      </c>
      <c r="CB35" s="593">
        <f t="shared" si="34"/>
        <v>0</v>
      </c>
      <c r="CC35" s="593">
        <f t="shared" si="35"/>
        <v>0</v>
      </c>
      <c r="CD35" s="593">
        <f t="shared" si="36"/>
        <v>0</v>
      </c>
      <c r="CE35" s="593">
        <f t="shared" si="37"/>
        <v>0</v>
      </c>
      <c r="CF35" s="595">
        <f t="shared" si="38"/>
        <v>0</v>
      </c>
      <c r="CG35" s="555" t="str">
        <f t="shared" si="39"/>
        <v/>
      </c>
      <c r="CH35" s="530" t="str">
        <f t="shared" si="40"/>
        <v/>
      </c>
      <c r="CI35" s="530" t="str">
        <f t="shared" si="41"/>
        <v/>
      </c>
      <c r="CJ35" s="530" t="str">
        <f t="shared" si="42"/>
        <v/>
      </c>
      <c r="CK35" s="530" t="str">
        <f t="shared" si="43"/>
        <v/>
      </c>
      <c r="CL35" s="530" t="str">
        <f t="shared" si="44"/>
        <v/>
      </c>
      <c r="CM35" s="82" t="str">
        <f t="shared" si="45"/>
        <v/>
      </c>
      <c r="CN35" s="496" t="str">
        <f t="shared" si="4"/>
        <v/>
      </c>
      <c r="CO35" s="496" t="str">
        <f t="shared" si="52"/>
        <v>0</v>
      </c>
      <c r="CP35" s="491">
        <f t="shared" si="47"/>
        <v>0</v>
      </c>
      <c r="CQ35" s="906"/>
      <c r="CR35" s="935"/>
      <c r="CS35" s="496">
        <f t="shared" si="48"/>
        <v>0</v>
      </c>
      <c r="CT35" s="496">
        <f t="shared" si="49"/>
        <v>0</v>
      </c>
      <c r="CU35" s="497" t="str">
        <f t="shared" si="50"/>
        <v>00</v>
      </c>
    </row>
    <row r="36" spans="1:99" s="5" customFormat="1" ht="15" hidden="1" customHeight="1">
      <c r="A36" s="951">
        <v>33</v>
      </c>
      <c r="B36" s="1016"/>
      <c r="C36" s="922"/>
      <c r="D36" s="923"/>
      <c r="E36" s="913"/>
      <c r="F36" s="914"/>
      <c r="G36" s="1051"/>
      <c r="H36" s="915"/>
      <c r="I36" s="916"/>
      <c r="J36" s="917"/>
      <c r="K36" s="1012"/>
      <c r="L36" s="1012"/>
      <c r="M36" s="1017"/>
      <c r="N36" s="947"/>
      <c r="O36" s="406" t="str">
        <f t="shared" si="51"/>
        <v/>
      </c>
      <c r="P36" s="407" t="str">
        <f>IF(O36="","",VLOOKUP(O36,所属コード!$A$2:$E$11,2,FALSE))</f>
        <v/>
      </c>
      <c r="Q36" s="1033" t="str">
        <f>IF(O36="","",VLOOKUP(O36,所属コード!$A$2:$G$11,7,FALSE))</f>
        <v/>
      </c>
      <c r="R36" s="1035"/>
      <c r="S36" s="77"/>
      <c r="T36" s="77"/>
      <c r="U36" s="77"/>
      <c r="V36" s="15"/>
      <c r="X36" s="492"/>
      <c r="Y36" s="945" t="str">
        <f t="shared" si="6"/>
        <v/>
      </c>
      <c r="Z36" s="489" t="str">
        <f t="shared" si="7"/>
        <v/>
      </c>
      <c r="AA36" s="488"/>
      <c r="AB36" s="488"/>
      <c r="AC36" s="488"/>
      <c r="AD36" s="488"/>
      <c r="AE36" s="488"/>
      <c r="AF36" s="488"/>
      <c r="AG36" s="491"/>
      <c r="AH36" s="591"/>
      <c r="AI36" s="592"/>
      <c r="AJ36" s="592"/>
      <c r="AK36" s="592"/>
      <c r="AL36" s="592"/>
      <c r="AM36" s="592"/>
      <c r="AN36" s="592"/>
      <c r="AO36" s="592"/>
      <c r="AP36" s="592"/>
      <c r="AQ36" s="592"/>
      <c r="AR36" s="592"/>
      <c r="AS36" s="592"/>
      <c r="AT36" s="592"/>
      <c r="AU36" s="592"/>
      <c r="AV36" s="592"/>
      <c r="AW36" s="604"/>
      <c r="AX36" s="609">
        <f t="shared" si="8"/>
        <v>0</v>
      </c>
      <c r="AY36" s="602">
        <f t="shared" ref="AY36:AY67" si="53">AO36</f>
        <v>0</v>
      </c>
      <c r="AZ36" s="593">
        <f t="shared" ref="AZ36:AZ67" si="54">AO36</f>
        <v>0</v>
      </c>
      <c r="BA36" s="594">
        <f t="shared" ref="BA36:BA67" si="55">AO36</f>
        <v>0</v>
      </c>
      <c r="BB36" s="593">
        <f t="shared" ref="BB36:BB67" si="56">AP36</f>
        <v>0</v>
      </c>
      <c r="BC36" s="593">
        <f t="shared" si="9"/>
        <v>0</v>
      </c>
      <c r="BD36" s="593">
        <f t="shared" si="10"/>
        <v>0</v>
      </c>
      <c r="BE36" s="593">
        <f t="shared" si="11"/>
        <v>0</v>
      </c>
      <c r="BF36" s="593">
        <f t="shared" si="12"/>
        <v>0</v>
      </c>
      <c r="BG36" s="593">
        <f t="shared" si="13"/>
        <v>0</v>
      </c>
      <c r="BH36" s="593">
        <f t="shared" si="14"/>
        <v>0</v>
      </c>
      <c r="BI36" s="593">
        <f t="shared" si="15"/>
        <v>0</v>
      </c>
      <c r="BJ36" s="593">
        <f t="shared" si="16"/>
        <v>0</v>
      </c>
      <c r="BK36" s="593">
        <f t="shared" si="17"/>
        <v>0</v>
      </c>
      <c r="BL36" s="593">
        <f t="shared" si="18"/>
        <v>0</v>
      </c>
      <c r="BM36" s="593">
        <f t="shared" si="19"/>
        <v>0</v>
      </c>
      <c r="BN36" s="593">
        <f t="shared" si="20"/>
        <v>0</v>
      </c>
      <c r="BO36" s="593">
        <f t="shared" si="21"/>
        <v>0</v>
      </c>
      <c r="BP36" s="593">
        <f t="shared" si="22"/>
        <v>0</v>
      </c>
      <c r="BQ36" s="593">
        <f t="shared" si="23"/>
        <v>0</v>
      </c>
      <c r="BR36" s="593">
        <f t="shared" si="24"/>
        <v>0</v>
      </c>
      <c r="BS36" s="593">
        <f t="shared" si="25"/>
        <v>0</v>
      </c>
      <c r="BT36" s="593">
        <f t="shared" si="26"/>
        <v>0</v>
      </c>
      <c r="BU36" s="593">
        <f t="shared" si="27"/>
        <v>0</v>
      </c>
      <c r="BV36" s="593">
        <f t="shared" si="28"/>
        <v>0</v>
      </c>
      <c r="BW36" s="593">
        <f t="shared" si="29"/>
        <v>0</v>
      </c>
      <c r="BX36" s="593">
        <f t="shared" si="30"/>
        <v>0</v>
      </c>
      <c r="BY36" s="593">
        <f t="shared" si="31"/>
        <v>0</v>
      </c>
      <c r="BZ36" s="593">
        <f t="shared" si="32"/>
        <v>0</v>
      </c>
      <c r="CA36" s="593">
        <f t="shared" si="33"/>
        <v>0</v>
      </c>
      <c r="CB36" s="593">
        <f t="shared" si="34"/>
        <v>0</v>
      </c>
      <c r="CC36" s="593">
        <f t="shared" si="35"/>
        <v>0</v>
      </c>
      <c r="CD36" s="593">
        <f t="shared" si="36"/>
        <v>0</v>
      </c>
      <c r="CE36" s="593">
        <f t="shared" si="37"/>
        <v>0</v>
      </c>
      <c r="CF36" s="595">
        <f t="shared" si="38"/>
        <v>0</v>
      </c>
      <c r="CG36" s="555" t="str">
        <f t="shared" si="39"/>
        <v/>
      </c>
      <c r="CH36" s="530" t="str">
        <f t="shared" si="40"/>
        <v/>
      </c>
      <c r="CI36" s="530" t="str">
        <f t="shared" si="41"/>
        <v/>
      </c>
      <c r="CJ36" s="530" t="str">
        <f t="shared" si="42"/>
        <v/>
      </c>
      <c r="CK36" s="530" t="str">
        <f t="shared" si="43"/>
        <v/>
      </c>
      <c r="CL36" s="530" t="str">
        <f t="shared" si="44"/>
        <v/>
      </c>
      <c r="CM36" s="82" t="str">
        <f t="shared" si="45"/>
        <v/>
      </c>
      <c r="CN36" s="496" t="str">
        <f t="shared" ref="CN36:CN67" si="57">IF(I36="3",3,IF(I36="2",2,IF(I36="1",1,IF(I36=1,1,IF(I36=2,2,IF(I36=3,3,""))))))</f>
        <v/>
      </c>
      <c r="CO36" s="496" t="str">
        <f t="shared" si="52"/>
        <v>0</v>
      </c>
      <c r="CP36" s="491">
        <f t="shared" si="47"/>
        <v>0</v>
      </c>
      <c r="CQ36" s="906"/>
      <c r="CR36" s="935"/>
      <c r="CS36" s="496">
        <f t="shared" si="48"/>
        <v>0</v>
      </c>
      <c r="CT36" s="496">
        <f t="shared" si="49"/>
        <v>0</v>
      </c>
      <c r="CU36" s="497" t="str">
        <f t="shared" si="50"/>
        <v>00</v>
      </c>
    </row>
    <row r="37" spans="1:99" s="5" customFormat="1" ht="15" hidden="1" customHeight="1">
      <c r="A37" s="951">
        <v>34</v>
      </c>
      <c r="B37" s="1016"/>
      <c r="C37" s="922"/>
      <c r="D37" s="923"/>
      <c r="E37" s="913"/>
      <c r="F37" s="914"/>
      <c r="G37" s="1051"/>
      <c r="H37" s="915"/>
      <c r="I37" s="916"/>
      <c r="J37" s="917"/>
      <c r="K37" s="1012"/>
      <c r="L37" s="1012"/>
      <c r="M37" s="1017"/>
      <c r="N37" s="947"/>
      <c r="O37" s="406" t="str">
        <f t="shared" si="51"/>
        <v/>
      </c>
      <c r="P37" s="407" t="str">
        <f>IF(O37="","",VLOOKUP(O37,所属コード!$A$2:$E$11,2,FALSE))</f>
        <v/>
      </c>
      <c r="Q37" s="1033" t="str">
        <f>IF(O37="","",VLOOKUP(O37,所属コード!$A$2:$G$11,7,FALSE))</f>
        <v/>
      </c>
      <c r="R37" s="1035"/>
      <c r="S37" s="77"/>
      <c r="T37" s="77"/>
      <c r="U37" s="77"/>
      <c r="V37" s="15"/>
      <c r="X37" s="492"/>
      <c r="Y37" s="945" t="str">
        <f t="shared" si="6"/>
        <v/>
      </c>
      <c r="Z37" s="489" t="str">
        <f t="shared" si="7"/>
        <v/>
      </c>
      <c r="AA37" s="488"/>
      <c r="AB37" s="488"/>
      <c r="AC37" s="488"/>
      <c r="AD37" s="488"/>
      <c r="AE37" s="488"/>
      <c r="AF37" s="488"/>
      <c r="AG37" s="491"/>
      <c r="AH37" s="591"/>
      <c r="AI37" s="592"/>
      <c r="AJ37" s="592"/>
      <c r="AK37" s="592"/>
      <c r="AL37" s="592"/>
      <c r="AM37" s="592"/>
      <c r="AN37" s="592"/>
      <c r="AO37" s="592"/>
      <c r="AP37" s="592"/>
      <c r="AQ37" s="592"/>
      <c r="AR37" s="592"/>
      <c r="AS37" s="592"/>
      <c r="AT37" s="592"/>
      <c r="AU37" s="592"/>
      <c r="AV37" s="592"/>
      <c r="AW37" s="604"/>
      <c r="AX37" s="609">
        <f t="shared" si="8"/>
        <v>0</v>
      </c>
      <c r="AY37" s="602">
        <f t="shared" si="53"/>
        <v>0</v>
      </c>
      <c r="AZ37" s="593">
        <f t="shared" si="54"/>
        <v>0</v>
      </c>
      <c r="BA37" s="594">
        <f t="shared" si="55"/>
        <v>0</v>
      </c>
      <c r="BB37" s="593">
        <f t="shared" si="56"/>
        <v>0</v>
      </c>
      <c r="BC37" s="593">
        <f t="shared" si="9"/>
        <v>0</v>
      </c>
      <c r="BD37" s="593">
        <f t="shared" si="10"/>
        <v>0</v>
      </c>
      <c r="BE37" s="593">
        <f t="shared" si="11"/>
        <v>0</v>
      </c>
      <c r="BF37" s="593">
        <f t="shared" si="12"/>
        <v>0</v>
      </c>
      <c r="BG37" s="593">
        <f t="shared" si="13"/>
        <v>0</v>
      </c>
      <c r="BH37" s="593">
        <f t="shared" si="14"/>
        <v>0</v>
      </c>
      <c r="BI37" s="593">
        <f t="shared" si="15"/>
        <v>0</v>
      </c>
      <c r="BJ37" s="593">
        <f t="shared" si="16"/>
        <v>0</v>
      </c>
      <c r="BK37" s="593">
        <f t="shared" si="17"/>
        <v>0</v>
      </c>
      <c r="BL37" s="593">
        <f t="shared" si="18"/>
        <v>0</v>
      </c>
      <c r="BM37" s="593">
        <f t="shared" si="19"/>
        <v>0</v>
      </c>
      <c r="BN37" s="593">
        <f t="shared" si="20"/>
        <v>0</v>
      </c>
      <c r="BO37" s="593">
        <f t="shared" si="21"/>
        <v>0</v>
      </c>
      <c r="BP37" s="593">
        <f t="shared" si="22"/>
        <v>0</v>
      </c>
      <c r="BQ37" s="593">
        <f t="shared" si="23"/>
        <v>0</v>
      </c>
      <c r="BR37" s="593">
        <f t="shared" si="24"/>
        <v>0</v>
      </c>
      <c r="BS37" s="593">
        <f t="shared" si="25"/>
        <v>0</v>
      </c>
      <c r="BT37" s="593">
        <f t="shared" si="26"/>
        <v>0</v>
      </c>
      <c r="BU37" s="593">
        <f t="shared" si="27"/>
        <v>0</v>
      </c>
      <c r="BV37" s="593">
        <f t="shared" si="28"/>
        <v>0</v>
      </c>
      <c r="BW37" s="593">
        <f t="shared" si="29"/>
        <v>0</v>
      </c>
      <c r="BX37" s="593">
        <f t="shared" si="30"/>
        <v>0</v>
      </c>
      <c r="BY37" s="593">
        <f t="shared" si="31"/>
        <v>0</v>
      </c>
      <c r="BZ37" s="593">
        <f t="shared" si="32"/>
        <v>0</v>
      </c>
      <c r="CA37" s="593">
        <f t="shared" si="33"/>
        <v>0</v>
      </c>
      <c r="CB37" s="593">
        <f t="shared" si="34"/>
        <v>0</v>
      </c>
      <c r="CC37" s="593">
        <f t="shared" si="35"/>
        <v>0</v>
      </c>
      <c r="CD37" s="593">
        <f t="shared" si="36"/>
        <v>0</v>
      </c>
      <c r="CE37" s="593">
        <f t="shared" si="37"/>
        <v>0</v>
      </c>
      <c r="CF37" s="595">
        <f t="shared" si="38"/>
        <v>0</v>
      </c>
      <c r="CG37" s="555" t="str">
        <f t="shared" si="39"/>
        <v/>
      </c>
      <c r="CH37" s="530" t="str">
        <f t="shared" si="40"/>
        <v/>
      </c>
      <c r="CI37" s="530" t="str">
        <f t="shared" si="41"/>
        <v/>
      </c>
      <c r="CJ37" s="530" t="str">
        <f t="shared" si="42"/>
        <v/>
      </c>
      <c r="CK37" s="530" t="str">
        <f t="shared" si="43"/>
        <v/>
      </c>
      <c r="CL37" s="530" t="str">
        <f t="shared" si="44"/>
        <v/>
      </c>
      <c r="CM37" s="82" t="str">
        <f t="shared" si="45"/>
        <v/>
      </c>
      <c r="CN37" s="496" t="str">
        <f t="shared" si="57"/>
        <v/>
      </c>
      <c r="CO37" s="496" t="str">
        <f t="shared" si="52"/>
        <v>0</v>
      </c>
      <c r="CP37" s="491">
        <f t="shared" si="47"/>
        <v>0</v>
      </c>
      <c r="CQ37" s="906"/>
      <c r="CR37" s="935"/>
      <c r="CS37" s="496">
        <f t="shared" si="48"/>
        <v>0</v>
      </c>
      <c r="CT37" s="496">
        <f t="shared" si="49"/>
        <v>0</v>
      </c>
      <c r="CU37" s="497" t="str">
        <f t="shared" si="50"/>
        <v>00</v>
      </c>
    </row>
    <row r="38" spans="1:99" s="5" customFormat="1" ht="15" hidden="1" customHeight="1">
      <c r="A38" s="951">
        <v>35</v>
      </c>
      <c r="B38" s="1016"/>
      <c r="C38" s="922"/>
      <c r="D38" s="923"/>
      <c r="E38" s="913"/>
      <c r="F38" s="914"/>
      <c r="G38" s="1051"/>
      <c r="H38" s="915"/>
      <c r="I38" s="916"/>
      <c r="J38" s="917"/>
      <c r="K38" s="1012"/>
      <c r="L38" s="1012"/>
      <c r="M38" s="1017"/>
      <c r="N38" s="947"/>
      <c r="O38" s="406" t="str">
        <f t="shared" si="51"/>
        <v/>
      </c>
      <c r="P38" s="407" t="str">
        <f>IF(O38="","",VLOOKUP(O38,所属コード!$A$2:$E$11,2,FALSE))</f>
        <v/>
      </c>
      <c r="Q38" s="1033" t="str">
        <f>IF(O38="","",VLOOKUP(O38,所属コード!$A$2:$G$11,7,FALSE))</f>
        <v/>
      </c>
      <c r="R38" s="1035"/>
      <c r="S38" s="77"/>
      <c r="T38" s="77"/>
      <c r="U38" s="77"/>
      <c r="V38" s="15"/>
      <c r="X38" s="492"/>
      <c r="Y38" s="945" t="str">
        <f t="shared" si="6"/>
        <v/>
      </c>
      <c r="Z38" s="489" t="str">
        <f t="shared" si="7"/>
        <v/>
      </c>
      <c r="AA38" s="488"/>
      <c r="AB38" s="488"/>
      <c r="AC38" s="488"/>
      <c r="AD38" s="488"/>
      <c r="AE38" s="488"/>
      <c r="AF38" s="488"/>
      <c r="AG38" s="491"/>
      <c r="AH38" s="591"/>
      <c r="AI38" s="592"/>
      <c r="AJ38" s="592"/>
      <c r="AK38" s="592"/>
      <c r="AL38" s="592"/>
      <c r="AM38" s="592"/>
      <c r="AN38" s="592"/>
      <c r="AO38" s="592"/>
      <c r="AP38" s="592"/>
      <c r="AQ38" s="592"/>
      <c r="AR38" s="592"/>
      <c r="AS38" s="592"/>
      <c r="AT38" s="592"/>
      <c r="AU38" s="592"/>
      <c r="AV38" s="592"/>
      <c r="AW38" s="604"/>
      <c r="AX38" s="609">
        <f t="shared" si="8"/>
        <v>0</v>
      </c>
      <c r="AY38" s="602">
        <f t="shared" si="53"/>
        <v>0</v>
      </c>
      <c r="AZ38" s="593">
        <f t="shared" si="54"/>
        <v>0</v>
      </c>
      <c r="BA38" s="594">
        <f t="shared" si="55"/>
        <v>0</v>
      </c>
      <c r="BB38" s="593">
        <f t="shared" si="56"/>
        <v>0</v>
      </c>
      <c r="BC38" s="593">
        <f t="shared" si="9"/>
        <v>0</v>
      </c>
      <c r="BD38" s="593">
        <f t="shared" si="10"/>
        <v>0</v>
      </c>
      <c r="BE38" s="593">
        <f t="shared" si="11"/>
        <v>0</v>
      </c>
      <c r="BF38" s="593">
        <f t="shared" si="12"/>
        <v>0</v>
      </c>
      <c r="BG38" s="593">
        <f t="shared" si="13"/>
        <v>0</v>
      </c>
      <c r="BH38" s="593">
        <f t="shared" si="14"/>
        <v>0</v>
      </c>
      <c r="BI38" s="593">
        <f t="shared" si="15"/>
        <v>0</v>
      </c>
      <c r="BJ38" s="593">
        <f t="shared" si="16"/>
        <v>0</v>
      </c>
      <c r="BK38" s="593">
        <f t="shared" si="17"/>
        <v>0</v>
      </c>
      <c r="BL38" s="593">
        <f t="shared" si="18"/>
        <v>0</v>
      </c>
      <c r="BM38" s="593">
        <f t="shared" si="19"/>
        <v>0</v>
      </c>
      <c r="BN38" s="593">
        <f t="shared" si="20"/>
        <v>0</v>
      </c>
      <c r="BO38" s="593">
        <f t="shared" si="21"/>
        <v>0</v>
      </c>
      <c r="BP38" s="593">
        <f t="shared" si="22"/>
        <v>0</v>
      </c>
      <c r="BQ38" s="593">
        <f t="shared" si="23"/>
        <v>0</v>
      </c>
      <c r="BR38" s="593">
        <f t="shared" si="24"/>
        <v>0</v>
      </c>
      <c r="BS38" s="593">
        <f t="shared" si="25"/>
        <v>0</v>
      </c>
      <c r="BT38" s="593">
        <f t="shared" si="26"/>
        <v>0</v>
      </c>
      <c r="BU38" s="593">
        <f t="shared" si="27"/>
        <v>0</v>
      </c>
      <c r="BV38" s="593">
        <f t="shared" si="28"/>
        <v>0</v>
      </c>
      <c r="BW38" s="593">
        <f t="shared" si="29"/>
        <v>0</v>
      </c>
      <c r="BX38" s="593">
        <f t="shared" si="30"/>
        <v>0</v>
      </c>
      <c r="BY38" s="593">
        <f t="shared" si="31"/>
        <v>0</v>
      </c>
      <c r="BZ38" s="593">
        <f t="shared" si="32"/>
        <v>0</v>
      </c>
      <c r="CA38" s="593">
        <f t="shared" si="33"/>
        <v>0</v>
      </c>
      <c r="CB38" s="593">
        <f t="shared" si="34"/>
        <v>0</v>
      </c>
      <c r="CC38" s="593">
        <f t="shared" si="35"/>
        <v>0</v>
      </c>
      <c r="CD38" s="593">
        <f t="shared" si="36"/>
        <v>0</v>
      </c>
      <c r="CE38" s="593">
        <f t="shared" si="37"/>
        <v>0</v>
      </c>
      <c r="CF38" s="595">
        <f t="shared" si="38"/>
        <v>0</v>
      </c>
      <c r="CG38" s="555" t="str">
        <f t="shared" si="39"/>
        <v/>
      </c>
      <c r="CH38" s="530" t="str">
        <f t="shared" si="40"/>
        <v/>
      </c>
      <c r="CI38" s="530" t="str">
        <f t="shared" si="41"/>
        <v/>
      </c>
      <c r="CJ38" s="530" t="str">
        <f t="shared" si="42"/>
        <v/>
      </c>
      <c r="CK38" s="530" t="str">
        <f t="shared" si="43"/>
        <v/>
      </c>
      <c r="CL38" s="530" t="str">
        <f t="shared" si="44"/>
        <v/>
      </c>
      <c r="CM38" s="82" t="str">
        <f t="shared" si="45"/>
        <v/>
      </c>
      <c r="CN38" s="496" t="str">
        <f t="shared" si="57"/>
        <v/>
      </c>
      <c r="CO38" s="496" t="str">
        <f t="shared" si="52"/>
        <v>0</v>
      </c>
      <c r="CP38" s="491">
        <f t="shared" si="47"/>
        <v>0</v>
      </c>
      <c r="CQ38" s="906"/>
      <c r="CR38" s="935"/>
      <c r="CS38" s="496">
        <f t="shared" si="48"/>
        <v>0</v>
      </c>
      <c r="CT38" s="496">
        <f t="shared" si="49"/>
        <v>0</v>
      </c>
      <c r="CU38" s="497" t="str">
        <f t="shared" si="50"/>
        <v>00</v>
      </c>
    </row>
    <row r="39" spans="1:99" s="5" customFormat="1" ht="15" hidden="1" customHeight="1">
      <c r="A39" s="951">
        <v>36</v>
      </c>
      <c r="B39" s="1016"/>
      <c r="C39" s="922"/>
      <c r="D39" s="923"/>
      <c r="E39" s="913"/>
      <c r="F39" s="914"/>
      <c r="G39" s="1051"/>
      <c r="H39" s="915"/>
      <c r="I39" s="916"/>
      <c r="J39" s="917"/>
      <c r="K39" s="1012"/>
      <c r="L39" s="1012"/>
      <c r="M39" s="1017"/>
      <c r="N39" s="947"/>
      <c r="O39" s="406" t="str">
        <f t="shared" si="51"/>
        <v/>
      </c>
      <c r="P39" s="407" t="str">
        <f>IF(O39="","",VLOOKUP(O39,所属コード!$A$2:$E$11,2,FALSE))</f>
        <v/>
      </c>
      <c r="Q39" s="1033" t="str">
        <f>IF(O39="","",VLOOKUP(O39,所属コード!$A$2:$G$11,7,FALSE))</f>
        <v/>
      </c>
      <c r="R39" s="1035"/>
      <c r="S39" s="77"/>
      <c r="T39" s="77"/>
      <c r="U39" s="77"/>
      <c r="V39" s="15"/>
      <c r="X39" s="492"/>
      <c r="Y39" s="945" t="str">
        <f t="shared" si="6"/>
        <v/>
      </c>
      <c r="Z39" s="489" t="str">
        <f t="shared" si="7"/>
        <v/>
      </c>
      <c r="AA39" s="488"/>
      <c r="AB39" s="488"/>
      <c r="AC39" s="488"/>
      <c r="AD39" s="488"/>
      <c r="AE39" s="488"/>
      <c r="AF39" s="488"/>
      <c r="AG39" s="491"/>
      <c r="AH39" s="591"/>
      <c r="AI39" s="592"/>
      <c r="AJ39" s="592"/>
      <c r="AK39" s="592"/>
      <c r="AL39" s="592"/>
      <c r="AM39" s="592"/>
      <c r="AN39" s="592"/>
      <c r="AO39" s="592"/>
      <c r="AP39" s="592"/>
      <c r="AQ39" s="592"/>
      <c r="AR39" s="592"/>
      <c r="AS39" s="592"/>
      <c r="AT39" s="592"/>
      <c r="AU39" s="592"/>
      <c r="AV39" s="592"/>
      <c r="AW39" s="604"/>
      <c r="AX39" s="609">
        <f t="shared" si="8"/>
        <v>0</v>
      </c>
      <c r="AY39" s="602">
        <f t="shared" si="53"/>
        <v>0</v>
      </c>
      <c r="AZ39" s="593">
        <f t="shared" si="54"/>
        <v>0</v>
      </c>
      <c r="BA39" s="594">
        <f t="shared" si="55"/>
        <v>0</v>
      </c>
      <c r="BB39" s="593">
        <f t="shared" si="56"/>
        <v>0</v>
      </c>
      <c r="BC39" s="593">
        <f t="shared" si="9"/>
        <v>0</v>
      </c>
      <c r="BD39" s="593">
        <f t="shared" si="10"/>
        <v>0</v>
      </c>
      <c r="BE39" s="593">
        <f t="shared" si="11"/>
        <v>0</v>
      </c>
      <c r="BF39" s="593">
        <f t="shared" si="12"/>
        <v>0</v>
      </c>
      <c r="BG39" s="593">
        <f t="shared" si="13"/>
        <v>0</v>
      </c>
      <c r="BH39" s="593">
        <f t="shared" si="14"/>
        <v>0</v>
      </c>
      <c r="BI39" s="593">
        <f t="shared" si="15"/>
        <v>0</v>
      </c>
      <c r="BJ39" s="593">
        <f t="shared" si="16"/>
        <v>0</v>
      </c>
      <c r="BK39" s="593">
        <f t="shared" si="17"/>
        <v>0</v>
      </c>
      <c r="BL39" s="593">
        <f t="shared" si="18"/>
        <v>0</v>
      </c>
      <c r="BM39" s="593">
        <f t="shared" si="19"/>
        <v>0</v>
      </c>
      <c r="BN39" s="593">
        <f t="shared" si="20"/>
        <v>0</v>
      </c>
      <c r="BO39" s="593">
        <f t="shared" si="21"/>
        <v>0</v>
      </c>
      <c r="BP39" s="593">
        <f t="shared" si="22"/>
        <v>0</v>
      </c>
      <c r="BQ39" s="593">
        <f t="shared" si="23"/>
        <v>0</v>
      </c>
      <c r="BR39" s="593">
        <f t="shared" si="24"/>
        <v>0</v>
      </c>
      <c r="BS39" s="593">
        <f t="shared" si="25"/>
        <v>0</v>
      </c>
      <c r="BT39" s="593">
        <f t="shared" si="26"/>
        <v>0</v>
      </c>
      <c r="BU39" s="593">
        <f t="shared" si="27"/>
        <v>0</v>
      </c>
      <c r="BV39" s="593">
        <f t="shared" si="28"/>
        <v>0</v>
      </c>
      <c r="BW39" s="593">
        <f t="shared" si="29"/>
        <v>0</v>
      </c>
      <c r="BX39" s="593">
        <f t="shared" si="30"/>
        <v>0</v>
      </c>
      <c r="BY39" s="593">
        <f t="shared" si="31"/>
        <v>0</v>
      </c>
      <c r="BZ39" s="593">
        <f t="shared" si="32"/>
        <v>0</v>
      </c>
      <c r="CA39" s="593">
        <f t="shared" si="33"/>
        <v>0</v>
      </c>
      <c r="CB39" s="593">
        <f t="shared" si="34"/>
        <v>0</v>
      </c>
      <c r="CC39" s="593">
        <f t="shared" si="35"/>
        <v>0</v>
      </c>
      <c r="CD39" s="593">
        <f t="shared" si="36"/>
        <v>0</v>
      </c>
      <c r="CE39" s="593">
        <f t="shared" si="37"/>
        <v>0</v>
      </c>
      <c r="CF39" s="595">
        <f t="shared" si="38"/>
        <v>0</v>
      </c>
      <c r="CG39" s="555" t="str">
        <f t="shared" si="39"/>
        <v/>
      </c>
      <c r="CH39" s="530" t="str">
        <f t="shared" si="40"/>
        <v/>
      </c>
      <c r="CI39" s="530" t="str">
        <f t="shared" si="41"/>
        <v/>
      </c>
      <c r="CJ39" s="530" t="str">
        <f t="shared" si="42"/>
        <v/>
      </c>
      <c r="CK39" s="530" t="str">
        <f t="shared" si="43"/>
        <v/>
      </c>
      <c r="CL39" s="530" t="str">
        <f t="shared" si="44"/>
        <v/>
      </c>
      <c r="CM39" s="82" t="str">
        <f t="shared" si="45"/>
        <v/>
      </c>
      <c r="CN39" s="496" t="str">
        <f t="shared" si="57"/>
        <v/>
      </c>
      <c r="CO39" s="496" t="str">
        <f t="shared" si="52"/>
        <v>0</v>
      </c>
      <c r="CP39" s="491">
        <f t="shared" si="47"/>
        <v>0</v>
      </c>
      <c r="CQ39" s="906"/>
      <c r="CR39" s="935"/>
      <c r="CS39" s="496">
        <f t="shared" si="48"/>
        <v>0</v>
      </c>
      <c r="CT39" s="496">
        <f t="shared" si="49"/>
        <v>0</v>
      </c>
      <c r="CU39" s="497" t="str">
        <f t="shared" si="50"/>
        <v>00</v>
      </c>
    </row>
    <row r="40" spans="1:99" s="5" customFormat="1" ht="15" hidden="1" customHeight="1">
      <c r="A40" s="951">
        <v>37</v>
      </c>
      <c r="B40" s="1016"/>
      <c r="C40" s="922"/>
      <c r="D40" s="923"/>
      <c r="E40" s="913"/>
      <c r="F40" s="914"/>
      <c r="G40" s="1051"/>
      <c r="H40" s="915"/>
      <c r="I40" s="916"/>
      <c r="J40" s="917"/>
      <c r="K40" s="1012"/>
      <c r="L40" s="1012"/>
      <c r="M40" s="1017"/>
      <c r="N40" s="947"/>
      <c r="O40" s="406" t="str">
        <f t="shared" si="51"/>
        <v/>
      </c>
      <c r="P40" s="407" t="str">
        <f>IF(O40="","",VLOOKUP(O40,所属コード!$A$2:$E$11,2,FALSE))</f>
        <v/>
      </c>
      <c r="Q40" s="1033" t="str">
        <f>IF(O40="","",VLOOKUP(O40,所属コード!$A$2:$G$11,7,FALSE))</f>
        <v/>
      </c>
      <c r="R40" s="1035"/>
      <c r="S40" s="77"/>
      <c r="T40" s="77"/>
      <c r="U40" s="77"/>
      <c r="V40" s="15"/>
      <c r="X40" s="492"/>
      <c r="Y40" s="945" t="str">
        <f t="shared" si="6"/>
        <v/>
      </c>
      <c r="Z40" s="489" t="str">
        <f t="shared" si="7"/>
        <v/>
      </c>
      <c r="AA40" s="488"/>
      <c r="AB40" s="488"/>
      <c r="AC40" s="488"/>
      <c r="AD40" s="488"/>
      <c r="AE40" s="488"/>
      <c r="AF40" s="488"/>
      <c r="AG40" s="491"/>
      <c r="AH40" s="591"/>
      <c r="AI40" s="592"/>
      <c r="AJ40" s="592"/>
      <c r="AK40" s="592"/>
      <c r="AL40" s="592"/>
      <c r="AM40" s="592"/>
      <c r="AN40" s="592"/>
      <c r="AO40" s="592"/>
      <c r="AP40" s="592"/>
      <c r="AQ40" s="592"/>
      <c r="AR40" s="592"/>
      <c r="AS40" s="592"/>
      <c r="AT40" s="592"/>
      <c r="AU40" s="592"/>
      <c r="AV40" s="592"/>
      <c r="AW40" s="604"/>
      <c r="AX40" s="609">
        <f t="shared" si="8"/>
        <v>0</v>
      </c>
      <c r="AY40" s="602">
        <f t="shared" si="53"/>
        <v>0</v>
      </c>
      <c r="AZ40" s="593">
        <f t="shared" si="54"/>
        <v>0</v>
      </c>
      <c r="BA40" s="594">
        <f t="shared" si="55"/>
        <v>0</v>
      </c>
      <c r="BB40" s="593">
        <f t="shared" si="56"/>
        <v>0</v>
      </c>
      <c r="BC40" s="593">
        <f t="shared" si="9"/>
        <v>0</v>
      </c>
      <c r="BD40" s="593">
        <f t="shared" si="10"/>
        <v>0</v>
      </c>
      <c r="BE40" s="593">
        <f t="shared" si="11"/>
        <v>0</v>
      </c>
      <c r="BF40" s="593">
        <f t="shared" si="12"/>
        <v>0</v>
      </c>
      <c r="BG40" s="593">
        <f t="shared" si="13"/>
        <v>0</v>
      </c>
      <c r="BH40" s="593">
        <f t="shared" si="14"/>
        <v>0</v>
      </c>
      <c r="BI40" s="593">
        <f t="shared" si="15"/>
        <v>0</v>
      </c>
      <c r="BJ40" s="593">
        <f t="shared" si="16"/>
        <v>0</v>
      </c>
      <c r="BK40" s="593">
        <f t="shared" si="17"/>
        <v>0</v>
      </c>
      <c r="BL40" s="593">
        <f t="shared" si="18"/>
        <v>0</v>
      </c>
      <c r="BM40" s="593">
        <f t="shared" si="19"/>
        <v>0</v>
      </c>
      <c r="BN40" s="593">
        <f t="shared" si="20"/>
        <v>0</v>
      </c>
      <c r="BO40" s="593">
        <f t="shared" si="21"/>
        <v>0</v>
      </c>
      <c r="BP40" s="593">
        <f t="shared" si="22"/>
        <v>0</v>
      </c>
      <c r="BQ40" s="593">
        <f t="shared" si="23"/>
        <v>0</v>
      </c>
      <c r="BR40" s="593">
        <f t="shared" si="24"/>
        <v>0</v>
      </c>
      <c r="BS40" s="593">
        <f t="shared" si="25"/>
        <v>0</v>
      </c>
      <c r="BT40" s="593">
        <f t="shared" si="26"/>
        <v>0</v>
      </c>
      <c r="BU40" s="593">
        <f t="shared" si="27"/>
        <v>0</v>
      </c>
      <c r="BV40" s="593">
        <f t="shared" si="28"/>
        <v>0</v>
      </c>
      <c r="BW40" s="593">
        <f t="shared" si="29"/>
        <v>0</v>
      </c>
      <c r="BX40" s="593">
        <f t="shared" si="30"/>
        <v>0</v>
      </c>
      <c r="BY40" s="593">
        <f t="shared" si="31"/>
        <v>0</v>
      </c>
      <c r="BZ40" s="593">
        <f t="shared" si="32"/>
        <v>0</v>
      </c>
      <c r="CA40" s="593">
        <f t="shared" si="33"/>
        <v>0</v>
      </c>
      <c r="CB40" s="593">
        <f t="shared" si="34"/>
        <v>0</v>
      </c>
      <c r="CC40" s="593">
        <f t="shared" si="35"/>
        <v>0</v>
      </c>
      <c r="CD40" s="593">
        <f t="shared" si="36"/>
        <v>0</v>
      </c>
      <c r="CE40" s="593">
        <f t="shared" si="37"/>
        <v>0</v>
      </c>
      <c r="CF40" s="595">
        <f t="shared" si="38"/>
        <v>0</v>
      </c>
      <c r="CG40" s="555" t="str">
        <f t="shared" si="39"/>
        <v/>
      </c>
      <c r="CH40" s="530" t="str">
        <f t="shared" si="40"/>
        <v/>
      </c>
      <c r="CI40" s="530" t="str">
        <f t="shared" si="41"/>
        <v/>
      </c>
      <c r="CJ40" s="530" t="str">
        <f t="shared" si="42"/>
        <v/>
      </c>
      <c r="CK40" s="530" t="str">
        <f t="shared" si="43"/>
        <v/>
      </c>
      <c r="CL40" s="530" t="str">
        <f t="shared" si="44"/>
        <v/>
      </c>
      <c r="CM40" s="82" t="str">
        <f t="shared" si="45"/>
        <v/>
      </c>
      <c r="CN40" s="496" t="str">
        <f t="shared" si="57"/>
        <v/>
      </c>
      <c r="CO40" s="496" t="str">
        <f t="shared" si="52"/>
        <v>0</v>
      </c>
      <c r="CP40" s="491">
        <f t="shared" si="47"/>
        <v>0</v>
      </c>
      <c r="CQ40" s="906"/>
      <c r="CR40" s="935"/>
      <c r="CS40" s="496">
        <f t="shared" si="48"/>
        <v>0</v>
      </c>
      <c r="CT40" s="496">
        <f t="shared" si="49"/>
        <v>0</v>
      </c>
      <c r="CU40" s="497" t="str">
        <f t="shared" si="50"/>
        <v>00</v>
      </c>
    </row>
    <row r="41" spans="1:99" ht="15" hidden="1" customHeight="1">
      <c r="A41" s="951">
        <v>38</v>
      </c>
      <c r="B41" s="1016"/>
      <c r="C41" s="922"/>
      <c r="D41" s="923"/>
      <c r="E41" s="913"/>
      <c r="F41" s="914"/>
      <c r="G41" s="1051"/>
      <c r="H41" s="915"/>
      <c r="I41" s="916"/>
      <c r="J41" s="917"/>
      <c r="K41" s="1012"/>
      <c r="L41" s="1012"/>
      <c r="M41" s="1017"/>
      <c r="N41" s="947"/>
      <c r="O41" s="406" t="str">
        <f t="shared" si="51"/>
        <v/>
      </c>
      <c r="P41" s="407" t="str">
        <f>IF(O41="","",VLOOKUP(O41,所属コード!$A$2:$E$11,2,FALSE))</f>
        <v/>
      </c>
      <c r="Q41" s="1033" t="str">
        <f>IF(O41="","",VLOOKUP(O41,所属コード!$A$2:$G$11,7,FALSE))</f>
        <v/>
      </c>
      <c r="R41" s="1035"/>
      <c r="S41" s="77"/>
      <c r="T41" s="77"/>
      <c r="U41" s="77"/>
      <c r="V41" s="15"/>
      <c r="X41" s="492"/>
      <c r="Y41" s="945" t="str">
        <f t="shared" si="6"/>
        <v/>
      </c>
      <c r="Z41" s="489" t="str">
        <f t="shared" si="7"/>
        <v/>
      </c>
      <c r="AA41" s="488"/>
      <c r="AB41" s="488"/>
      <c r="AC41" s="488"/>
      <c r="AD41" s="488"/>
      <c r="AE41" s="488"/>
      <c r="AF41" s="488"/>
      <c r="AG41" s="491"/>
      <c r="AH41" s="591"/>
      <c r="AI41" s="592"/>
      <c r="AJ41" s="592"/>
      <c r="AK41" s="592"/>
      <c r="AL41" s="592"/>
      <c r="AM41" s="592"/>
      <c r="AN41" s="592"/>
      <c r="AO41" s="592"/>
      <c r="AP41" s="592"/>
      <c r="AQ41" s="592"/>
      <c r="AR41" s="592"/>
      <c r="AS41" s="592"/>
      <c r="AT41" s="592"/>
      <c r="AU41" s="592"/>
      <c r="AV41" s="592"/>
      <c r="AW41" s="604"/>
      <c r="AX41" s="609">
        <f t="shared" si="8"/>
        <v>0</v>
      </c>
      <c r="AY41" s="602">
        <f t="shared" si="53"/>
        <v>0</v>
      </c>
      <c r="AZ41" s="593">
        <f t="shared" si="54"/>
        <v>0</v>
      </c>
      <c r="BA41" s="594">
        <f t="shared" si="55"/>
        <v>0</v>
      </c>
      <c r="BB41" s="593">
        <f t="shared" si="56"/>
        <v>0</v>
      </c>
      <c r="BC41" s="593">
        <f t="shared" si="9"/>
        <v>0</v>
      </c>
      <c r="BD41" s="593">
        <f t="shared" si="10"/>
        <v>0</v>
      </c>
      <c r="BE41" s="593">
        <f t="shared" si="11"/>
        <v>0</v>
      </c>
      <c r="BF41" s="593">
        <f t="shared" si="12"/>
        <v>0</v>
      </c>
      <c r="BG41" s="593">
        <f t="shared" si="13"/>
        <v>0</v>
      </c>
      <c r="BH41" s="593">
        <f t="shared" si="14"/>
        <v>0</v>
      </c>
      <c r="BI41" s="593">
        <f t="shared" si="15"/>
        <v>0</v>
      </c>
      <c r="BJ41" s="593">
        <f t="shared" si="16"/>
        <v>0</v>
      </c>
      <c r="BK41" s="593">
        <f t="shared" si="17"/>
        <v>0</v>
      </c>
      <c r="BL41" s="593">
        <f t="shared" si="18"/>
        <v>0</v>
      </c>
      <c r="BM41" s="593">
        <f t="shared" si="19"/>
        <v>0</v>
      </c>
      <c r="BN41" s="593">
        <f t="shared" si="20"/>
        <v>0</v>
      </c>
      <c r="BO41" s="593">
        <f t="shared" si="21"/>
        <v>0</v>
      </c>
      <c r="BP41" s="593">
        <f t="shared" si="22"/>
        <v>0</v>
      </c>
      <c r="BQ41" s="593">
        <f t="shared" si="23"/>
        <v>0</v>
      </c>
      <c r="BR41" s="593">
        <f t="shared" si="24"/>
        <v>0</v>
      </c>
      <c r="BS41" s="593">
        <f t="shared" si="25"/>
        <v>0</v>
      </c>
      <c r="BT41" s="593">
        <f t="shared" si="26"/>
        <v>0</v>
      </c>
      <c r="BU41" s="593">
        <f t="shared" si="27"/>
        <v>0</v>
      </c>
      <c r="BV41" s="593">
        <f t="shared" si="28"/>
        <v>0</v>
      </c>
      <c r="BW41" s="593">
        <f t="shared" si="29"/>
        <v>0</v>
      </c>
      <c r="BX41" s="593">
        <f t="shared" si="30"/>
        <v>0</v>
      </c>
      <c r="BY41" s="593">
        <f t="shared" si="31"/>
        <v>0</v>
      </c>
      <c r="BZ41" s="593">
        <f t="shared" si="32"/>
        <v>0</v>
      </c>
      <c r="CA41" s="593">
        <f t="shared" si="33"/>
        <v>0</v>
      </c>
      <c r="CB41" s="593">
        <f t="shared" si="34"/>
        <v>0</v>
      </c>
      <c r="CC41" s="593">
        <f t="shared" si="35"/>
        <v>0</v>
      </c>
      <c r="CD41" s="593">
        <f t="shared" si="36"/>
        <v>0</v>
      </c>
      <c r="CE41" s="593">
        <f t="shared" si="37"/>
        <v>0</v>
      </c>
      <c r="CF41" s="595">
        <f t="shared" si="38"/>
        <v>0</v>
      </c>
      <c r="CG41" s="555" t="str">
        <f t="shared" si="39"/>
        <v/>
      </c>
      <c r="CH41" s="530" t="str">
        <f t="shared" si="40"/>
        <v/>
      </c>
      <c r="CI41" s="530" t="str">
        <f t="shared" si="41"/>
        <v/>
      </c>
      <c r="CJ41" s="530" t="str">
        <f t="shared" si="42"/>
        <v/>
      </c>
      <c r="CK41" s="530" t="str">
        <f t="shared" si="43"/>
        <v/>
      </c>
      <c r="CL41" s="530" t="str">
        <f t="shared" si="44"/>
        <v/>
      </c>
      <c r="CM41" s="82" t="str">
        <f t="shared" si="45"/>
        <v/>
      </c>
      <c r="CN41" s="496" t="str">
        <f t="shared" si="57"/>
        <v/>
      </c>
      <c r="CO41" s="496" t="str">
        <f t="shared" si="52"/>
        <v>0</v>
      </c>
      <c r="CP41" s="491">
        <f t="shared" si="47"/>
        <v>0</v>
      </c>
      <c r="CS41" s="496">
        <f t="shared" si="48"/>
        <v>0</v>
      </c>
      <c r="CT41" s="496">
        <f t="shared" si="49"/>
        <v>0</v>
      </c>
      <c r="CU41" s="497" t="str">
        <f t="shared" si="50"/>
        <v>00</v>
      </c>
    </row>
    <row r="42" spans="1:99" ht="15" hidden="1" customHeight="1">
      <c r="A42" s="951">
        <v>39</v>
      </c>
      <c r="B42" s="1016"/>
      <c r="C42" s="922"/>
      <c r="D42" s="923"/>
      <c r="E42" s="913"/>
      <c r="F42" s="914"/>
      <c r="G42" s="1051"/>
      <c r="H42" s="915"/>
      <c r="I42" s="916"/>
      <c r="J42" s="917"/>
      <c r="K42" s="1012"/>
      <c r="L42" s="1012"/>
      <c r="M42" s="1017"/>
      <c r="N42" s="947"/>
      <c r="O42" s="406" t="str">
        <f t="shared" si="51"/>
        <v/>
      </c>
      <c r="P42" s="407" t="str">
        <f>IF(O42="","",VLOOKUP(O42,所属コード!$A$2:$E$11,2,FALSE))</f>
        <v/>
      </c>
      <c r="Q42" s="1033" t="str">
        <f>IF(O42="","",VLOOKUP(O42,所属コード!$A$2:$G$11,7,FALSE))</f>
        <v/>
      </c>
      <c r="R42" s="1035"/>
      <c r="S42" s="77"/>
      <c r="T42" s="77"/>
      <c r="U42" s="77"/>
      <c r="V42" s="15"/>
      <c r="X42" s="492"/>
      <c r="Y42" s="945" t="str">
        <f t="shared" si="6"/>
        <v/>
      </c>
      <c r="Z42" s="489" t="str">
        <f t="shared" si="7"/>
        <v/>
      </c>
      <c r="AA42" s="488"/>
      <c r="AB42" s="488"/>
      <c r="AC42" s="488"/>
      <c r="AD42" s="488"/>
      <c r="AE42" s="488"/>
      <c r="AF42" s="488"/>
      <c r="AG42" s="491"/>
      <c r="AH42" s="591"/>
      <c r="AI42" s="592"/>
      <c r="AJ42" s="592"/>
      <c r="AK42" s="592"/>
      <c r="AL42" s="592"/>
      <c r="AM42" s="592"/>
      <c r="AN42" s="592"/>
      <c r="AO42" s="592"/>
      <c r="AP42" s="592"/>
      <c r="AQ42" s="592"/>
      <c r="AR42" s="592"/>
      <c r="AS42" s="592"/>
      <c r="AT42" s="592"/>
      <c r="AU42" s="592"/>
      <c r="AV42" s="592"/>
      <c r="AW42" s="604"/>
      <c r="AX42" s="609">
        <f t="shared" si="8"/>
        <v>0</v>
      </c>
      <c r="AY42" s="602">
        <f t="shared" si="53"/>
        <v>0</v>
      </c>
      <c r="AZ42" s="593">
        <f t="shared" si="54"/>
        <v>0</v>
      </c>
      <c r="BA42" s="594">
        <f t="shared" si="55"/>
        <v>0</v>
      </c>
      <c r="BB42" s="593">
        <f t="shared" si="56"/>
        <v>0</v>
      </c>
      <c r="BC42" s="593">
        <f t="shared" si="9"/>
        <v>0</v>
      </c>
      <c r="BD42" s="593">
        <f t="shared" si="10"/>
        <v>0</v>
      </c>
      <c r="BE42" s="593">
        <f t="shared" si="11"/>
        <v>0</v>
      </c>
      <c r="BF42" s="593">
        <f t="shared" si="12"/>
        <v>0</v>
      </c>
      <c r="BG42" s="593">
        <f t="shared" si="13"/>
        <v>0</v>
      </c>
      <c r="BH42" s="593">
        <f t="shared" si="14"/>
        <v>0</v>
      </c>
      <c r="BI42" s="593">
        <f t="shared" si="15"/>
        <v>0</v>
      </c>
      <c r="BJ42" s="593">
        <f t="shared" si="16"/>
        <v>0</v>
      </c>
      <c r="BK42" s="593">
        <f t="shared" si="17"/>
        <v>0</v>
      </c>
      <c r="BL42" s="593">
        <f t="shared" si="18"/>
        <v>0</v>
      </c>
      <c r="BM42" s="593">
        <f t="shared" si="19"/>
        <v>0</v>
      </c>
      <c r="BN42" s="593">
        <f t="shared" si="20"/>
        <v>0</v>
      </c>
      <c r="BO42" s="593">
        <f t="shared" si="21"/>
        <v>0</v>
      </c>
      <c r="BP42" s="593">
        <f t="shared" si="22"/>
        <v>0</v>
      </c>
      <c r="BQ42" s="593">
        <f t="shared" si="23"/>
        <v>0</v>
      </c>
      <c r="BR42" s="593">
        <f t="shared" si="24"/>
        <v>0</v>
      </c>
      <c r="BS42" s="593">
        <f t="shared" si="25"/>
        <v>0</v>
      </c>
      <c r="BT42" s="593">
        <f t="shared" si="26"/>
        <v>0</v>
      </c>
      <c r="BU42" s="593">
        <f t="shared" si="27"/>
        <v>0</v>
      </c>
      <c r="BV42" s="593">
        <f t="shared" si="28"/>
        <v>0</v>
      </c>
      <c r="BW42" s="593">
        <f t="shared" si="29"/>
        <v>0</v>
      </c>
      <c r="BX42" s="593">
        <f t="shared" si="30"/>
        <v>0</v>
      </c>
      <c r="BY42" s="593">
        <f t="shared" si="31"/>
        <v>0</v>
      </c>
      <c r="BZ42" s="593">
        <f t="shared" si="32"/>
        <v>0</v>
      </c>
      <c r="CA42" s="593">
        <f t="shared" si="33"/>
        <v>0</v>
      </c>
      <c r="CB42" s="593">
        <f t="shared" si="34"/>
        <v>0</v>
      </c>
      <c r="CC42" s="593">
        <f t="shared" si="35"/>
        <v>0</v>
      </c>
      <c r="CD42" s="593">
        <f t="shared" si="36"/>
        <v>0</v>
      </c>
      <c r="CE42" s="593">
        <f t="shared" si="37"/>
        <v>0</v>
      </c>
      <c r="CF42" s="595">
        <f t="shared" si="38"/>
        <v>0</v>
      </c>
      <c r="CG42" s="555" t="str">
        <f t="shared" si="39"/>
        <v/>
      </c>
      <c r="CH42" s="530" t="str">
        <f t="shared" si="40"/>
        <v/>
      </c>
      <c r="CI42" s="530" t="str">
        <f t="shared" si="41"/>
        <v/>
      </c>
      <c r="CJ42" s="530" t="str">
        <f t="shared" si="42"/>
        <v/>
      </c>
      <c r="CK42" s="530" t="str">
        <f t="shared" si="43"/>
        <v/>
      </c>
      <c r="CL42" s="530" t="str">
        <f t="shared" si="44"/>
        <v/>
      </c>
      <c r="CM42" s="82" t="str">
        <f t="shared" si="45"/>
        <v/>
      </c>
      <c r="CN42" s="496" t="str">
        <f t="shared" si="57"/>
        <v/>
      </c>
      <c r="CO42" s="496" t="str">
        <f t="shared" si="52"/>
        <v>0</v>
      </c>
      <c r="CP42" s="491">
        <f t="shared" si="47"/>
        <v>0</v>
      </c>
      <c r="CS42" s="496">
        <f t="shared" si="48"/>
        <v>0</v>
      </c>
      <c r="CT42" s="496">
        <f t="shared" si="49"/>
        <v>0</v>
      </c>
      <c r="CU42" s="497" t="str">
        <f t="shared" si="50"/>
        <v>00</v>
      </c>
    </row>
    <row r="43" spans="1:99" ht="15" hidden="1" customHeight="1">
      <c r="A43" s="951">
        <v>40</v>
      </c>
      <c r="B43" s="1016"/>
      <c r="C43" s="922"/>
      <c r="D43" s="923"/>
      <c r="E43" s="913"/>
      <c r="F43" s="914"/>
      <c r="G43" s="1051"/>
      <c r="H43" s="915"/>
      <c r="I43" s="916"/>
      <c r="J43" s="917"/>
      <c r="K43" s="1012"/>
      <c r="L43" s="1012"/>
      <c r="M43" s="1017"/>
      <c r="N43" s="947"/>
      <c r="O43" s="406" t="str">
        <f t="shared" si="51"/>
        <v/>
      </c>
      <c r="P43" s="407" t="str">
        <f>IF(O43="","",VLOOKUP(O43,所属コード!$A$2:$E$11,2,FALSE))</f>
        <v/>
      </c>
      <c r="Q43" s="1033" t="str">
        <f>IF(O43="","",VLOOKUP(O43,所属コード!$A$2:$G$11,7,FALSE))</f>
        <v/>
      </c>
      <c r="R43" s="1035"/>
      <c r="S43" s="77"/>
      <c r="T43" s="77"/>
      <c r="U43" s="77"/>
      <c r="V43" s="15"/>
      <c r="X43" s="492"/>
      <c r="Y43" s="945" t="str">
        <f t="shared" si="6"/>
        <v/>
      </c>
      <c r="Z43" s="489" t="str">
        <f t="shared" si="7"/>
        <v/>
      </c>
      <c r="AA43" s="488"/>
      <c r="AB43" s="488"/>
      <c r="AC43" s="488"/>
      <c r="AD43" s="488"/>
      <c r="AE43" s="488"/>
      <c r="AF43" s="488"/>
      <c r="AG43" s="491"/>
      <c r="AH43" s="591"/>
      <c r="AI43" s="592"/>
      <c r="AJ43" s="592"/>
      <c r="AK43" s="592"/>
      <c r="AL43" s="592"/>
      <c r="AM43" s="592"/>
      <c r="AN43" s="592"/>
      <c r="AO43" s="592"/>
      <c r="AP43" s="592"/>
      <c r="AQ43" s="592"/>
      <c r="AR43" s="592"/>
      <c r="AS43" s="592"/>
      <c r="AT43" s="592"/>
      <c r="AU43" s="592"/>
      <c r="AV43" s="592"/>
      <c r="AW43" s="604"/>
      <c r="AX43" s="609">
        <f t="shared" si="8"/>
        <v>0</v>
      </c>
      <c r="AY43" s="602">
        <f t="shared" si="53"/>
        <v>0</v>
      </c>
      <c r="AZ43" s="593">
        <f t="shared" si="54"/>
        <v>0</v>
      </c>
      <c r="BA43" s="594">
        <f t="shared" si="55"/>
        <v>0</v>
      </c>
      <c r="BB43" s="593">
        <f t="shared" si="56"/>
        <v>0</v>
      </c>
      <c r="BC43" s="593">
        <f t="shared" si="9"/>
        <v>0</v>
      </c>
      <c r="BD43" s="593">
        <f t="shared" si="10"/>
        <v>0</v>
      </c>
      <c r="BE43" s="593">
        <f t="shared" si="11"/>
        <v>0</v>
      </c>
      <c r="BF43" s="593">
        <f t="shared" si="12"/>
        <v>0</v>
      </c>
      <c r="BG43" s="593">
        <f t="shared" si="13"/>
        <v>0</v>
      </c>
      <c r="BH43" s="593">
        <f t="shared" si="14"/>
        <v>0</v>
      </c>
      <c r="BI43" s="593">
        <f t="shared" si="15"/>
        <v>0</v>
      </c>
      <c r="BJ43" s="593">
        <f t="shared" si="16"/>
        <v>0</v>
      </c>
      <c r="BK43" s="593">
        <f t="shared" si="17"/>
        <v>0</v>
      </c>
      <c r="BL43" s="593">
        <f t="shared" si="18"/>
        <v>0</v>
      </c>
      <c r="BM43" s="593">
        <f t="shared" si="19"/>
        <v>0</v>
      </c>
      <c r="BN43" s="593">
        <f t="shared" si="20"/>
        <v>0</v>
      </c>
      <c r="BO43" s="593">
        <f t="shared" si="21"/>
        <v>0</v>
      </c>
      <c r="BP43" s="593">
        <f t="shared" si="22"/>
        <v>0</v>
      </c>
      <c r="BQ43" s="593">
        <f t="shared" si="23"/>
        <v>0</v>
      </c>
      <c r="BR43" s="593">
        <f t="shared" si="24"/>
        <v>0</v>
      </c>
      <c r="BS43" s="593">
        <f t="shared" si="25"/>
        <v>0</v>
      </c>
      <c r="BT43" s="593">
        <f t="shared" si="26"/>
        <v>0</v>
      </c>
      <c r="BU43" s="593">
        <f t="shared" si="27"/>
        <v>0</v>
      </c>
      <c r="BV43" s="593">
        <f t="shared" si="28"/>
        <v>0</v>
      </c>
      <c r="BW43" s="593">
        <f t="shared" si="29"/>
        <v>0</v>
      </c>
      <c r="BX43" s="593">
        <f t="shared" si="30"/>
        <v>0</v>
      </c>
      <c r="BY43" s="593">
        <f t="shared" si="31"/>
        <v>0</v>
      </c>
      <c r="BZ43" s="593">
        <f t="shared" si="32"/>
        <v>0</v>
      </c>
      <c r="CA43" s="593">
        <f t="shared" si="33"/>
        <v>0</v>
      </c>
      <c r="CB43" s="593">
        <f t="shared" si="34"/>
        <v>0</v>
      </c>
      <c r="CC43" s="593">
        <f t="shared" si="35"/>
        <v>0</v>
      </c>
      <c r="CD43" s="593">
        <f t="shared" si="36"/>
        <v>0</v>
      </c>
      <c r="CE43" s="593">
        <f t="shared" si="37"/>
        <v>0</v>
      </c>
      <c r="CF43" s="595">
        <f t="shared" si="38"/>
        <v>0</v>
      </c>
      <c r="CG43" s="555" t="str">
        <f t="shared" si="39"/>
        <v/>
      </c>
      <c r="CH43" s="530" t="str">
        <f t="shared" si="40"/>
        <v/>
      </c>
      <c r="CI43" s="530" t="str">
        <f t="shared" si="41"/>
        <v/>
      </c>
      <c r="CJ43" s="530" t="str">
        <f t="shared" si="42"/>
        <v/>
      </c>
      <c r="CK43" s="530" t="str">
        <f t="shared" si="43"/>
        <v/>
      </c>
      <c r="CL43" s="530" t="str">
        <f t="shared" si="44"/>
        <v/>
      </c>
      <c r="CM43" s="82" t="str">
        <f t="shared" si="45"/>
        <v/>
      </c>
      <c r="CN43" s="496" t="str">
        <f t="shared" si="57"/>
        <v/>
      </c>
      <c r="CO43" s="496" t="str">
        <f t="shared" si="52"/>
        <v>0</v>
      </c>
      <c r="CP43" s="491">
        <f t="shared" si="47"/>
        <v>0</v>
      </c>
      <c r="CS43" s="496">
        <f t="shared" si="48"/>
        <v>0</v>
      </c>
      <c r="CT43" s="496">
        <f t="shared" si="49"/>
        <v>0</v>
      </c>
      <c r="CU43" s="497" t="str">
        <f t="shared" si="50"/>
        <v>00</v>
      </c>
    </row>
    <row r="44" spans="1:99" ht="15" hidden="1" customHeight="1">
      <c r="A44" s="951">
        <v>41</v>
      </c>
      <c r="B44" s="1016"/>
      <c r="C44" s="922"/>
      <c r="D44" s="923"/>
      <c r="E44" s="913"/>
      <c r="F44" s="914"/>
      <c r="G44" s="1051"/>
      <c r="H44" s="915"/>
      <c r="I44" s="916"/>
      <c r="J44" s="917"/>
      <c r="K44" s="1012"/>
      <c r="L44" s="1012"/>
      <c r="M44" s="1017"/>
      <c r="N44" s="947"/>
      <c r="O44" s="406" t="str">
        <f t="shared" si="51"/>
        <v/>
      </c>
      <c r="P44" s="407" t="str">
        <f>IF(O44="","",VLOOKUP(O44,所属コード!$A$2:$E$11,2,FALSE))</f>
        <v/>
      </c>
      <c r="Q44" s="1033" t="str">
        <f>IF(O44="","",VLOOKUP(O44,所属コード!$A$2:$G$11,7,FALSE))</f>
        <v/>
      </c>
      <c r="R44" s="1035"/>
      <c r="S44" s="77"/>
      <c r="T44" s="77"/>
      <c r="U44" s="77"/>
      <c r="V44" s="15"/>
      <c r="X44" s="492"/>
      <c r="Y44" s="945" t="str">
        <f t="shared" si="6"/>
        <v/>
      </c>
      <c r="Z44" s="489" t="str">
        <f t="shared" si="7"/>
        <v/>
      </c>
      <c r="AA44" s="488"/>
      <c r="AB44" s="488"/>
      <c r="AC44" s="488"/>
      <c r="AD44" s="488"/>
      <c r="AE44" s="488"/>
      <c r="AF44" s="488"/>
      <c r="AG44" s="491"/>
      <c r="AH44" s="591"/>
      <c r="AI44" s="592"/>
      <c r="AJ44" s="592"/>
      <c r="AK44" s="592"/>
      <c r="AL44" s="592"/>
      <c r="AM44" s="592"/>
      <c r="AN44" s="592"/>
      <c r="AO44" s="592"/>
      <c r="AP44" s="592"/>
      <c r="AQ44" s="592"/>
      <c r="AR44" s="592"/>
      <c r="AS44" s="592"/>
      <c r="AT44" s="592"/>
      <c r="AU44" s="592"/>
      <c r="AV44" s="592"/>
      <c r="AW44" s="604"/>
      <c r="AX44" s="609">
        <f t="shared" si="8"/>
        <v>0</v>
      </c>
      <c r="AY44" s="602">
        <f t="shared" si="53"/>
        <v>0</v>
      </c>
      <c r="AZ44" s="593">
        <f t="shared" si="54"/>
        <v>0</v>
      </c>
      <c r="BA44" s="594">
        <f t="shared" si="55"/>
        <v>0</v>
      </c>
      <c r="BB44" s="593">
        <f t="shared" si="56"/>
        <v>0</v>
      </c>
      <c r="BC44" s="593">
        <f t="shared" si="9"/>
        <v>0</v>
      </c>
      <c r="BD44" s="593">
        <f t="shared" si="10"/>
        <v>0</v>
      </c>
      <c r="BE44" s="593">
        <f t="shared" si="11"/>
        <v>0</v>
      </c>
      <c r="BF44" s="593">
        <f t="shared" si="12"/>
        <v>0</v>
      </c>
      <c r="BG44" s="593">
        <f t="shared" si="13"/>
        <v>0</v>
      </c>
      <c r="BH44" s="593">
        <f t="shared" si="14"/>
        <v>0</v>
      </c>
      <c r="BI44" s="593">
        <f t="shared" si="15"/>
        <v>0</v>
      </c>
      <c r="BJ44" s="593">
        <f t="shared" si="16"/>
        <v>0</v>
      </c>
      <c r="BK44" s="593">
        <f t="shared" si="17"/>
        <v>0</v>
      </c>
      <c r="BL44" s="593">
        <f t="shared" si="18"/>
        <v>0</v>
      </c>
      <c r="BM44" s="593">
        <f t="shared" si="19"/>
        <v>0</v>
      </c>
      <c r="BN44" s="593">
        <f t="shared" si="20"/>
        <v>0</v>
      </c>
      <c r="BO44" s="593">
        <f t="shared" si="21"/>
        <v>0</v>
      </c>
      <c r="BP44" s="593">
        <f t="shared" si="22"/>
        <v>0</v>
      </c>
      <c r="BQ44" s="593">
        <f t="shared" si="23"/>
        <v>0</v>
      </c>
      <c r="BR44" s="593">
        <f t="shared" si="24"/>
        <v>0</v>
      </c>
      <c r="BS44" s="593">
        <f t="shared" si="25"/>
        <v>0</v>
      </c>
      <c r="BT44" s="593">
        <f t="shared" si="26"/>
        <v>0</v>
      </c>
      <c r="BU44" s="593">
        <f t="shared" si="27"/>
        <v>0</v>
      </c>
      <c r="BV44" s="593">
        <f t="shared" si="28"/>
        <v>0</v>
      </c>
      <c r="BW44" s="593">
        <f t="shared" si="29"/>
        <v>0</v>
      </c>
      <c r="BX44" s="593">
        <f t="shared" si="30"/>
        <v>0</v>
      </c>
      <c r="BY44" s="593">
        <f t="shared" si="31"/>
        <v>0</v>
      </c>
      <c r="BZ44" s="593">
        <f t="shared" si="32"/>
        <v>0</v>
      </c>
      <c r="CA44" s="593">
        <f t="shared" si="33"/>
        <v>0</v>
      </c>
      <c r="CB44" s="593">
        <f t="shared" si="34"/>
        <v>0</v>
      </c>
      <c r="CC44" s="593">
        <f t="shared" si="35"/>
        <v>0</v>
      </c>
      <c r="CD44" s="593">
        <f t="shared" si="36"/>
        <v>0</v>
      </c>
      <c r="CE44" s="593">
        <f t="shared" si="37"/>
        <v>0</v>
      </c>
      <c r="CF44" s="595">
        <f t="shared" si="38"/>
        <v>0</v>
      </c>
      <c r="CG44" s="555" t="str">
        <f t="shared" si="39"/>
        <v/>
      </c>
      <c r="CH44" s="530" t="str">
        <f t="shared" si="40"/>
        <v/>
      </c>
      <c r="CI44" s="530" t="str">
        <f t="shared" si="41"/>
        <v/>
      </c>
      <c r="CJ44" s="530" t="str">
        <f t="shared" si="42"/>
        <v/>
      </c>
      <c r="CK44" s="530" t="str">
        <f t="shared" si="43"/>
        <v/>
      </c>
      <c r="CL44" s="530" t="str">
        <f t="shared" si="44"/>
        <v/>
      </c>
      <c r="CM44" s="82" t="str">
        <f t="shared" si="45"/>
        <v/>
      </c>
      <c r="CN44" s="496" t="str">
        <f t="shared" si="57"/>
        <v/>
      </c>
      <c r="CO44" s="496" t="str">
        <f t="shared" si="52"/>
        <v>0</v>
      </c>
      <c r="CP44" s="491">
        <f t="shared" si="47"/>
        <v>0</v>
      </c>
      <c r="CS44" s="496">
        <f t="shared" si="48"/>
        <v>0</v>
      </c>
      <c r="CT44" s="496">
        <f t="shared" si="49"/>
        <v>0</v>
      </c>
      <c r="CU44" s="497" t="str">
        <f t="shared" si="50"/>
        <v>00</v>
      </c>
    </row>
    <row r="45" spans="1:99" ht="15" hidden="1" customHeight="1">
      <c r="A45" s="951">
        <v>42</v>
      </c>
      <c r="B45" s="1016"/>
      <c r="C45" s="922"/>
      <c r="D45" s="923"/>
      <c r="E45" s="913"/>
      <c r="F45" s="914"/>
      <c r="G45" s="1051"/>
      <c r="H45" s="915"/>
      <c r="I45" s="916"/>
      <c r="J45" s="917"/>
      <c r="K45" s="1012"/>
      <c r="L45" s="1012"/>
      <c r="M45" s="1017"/>
      <c r="N45" s="947"/>
      <c r="O45" s="406" t="str">
        <f t="shared" si="51"/>
        <v/>
      </c>
      <c r="P45" s="407" t="str">
        <f>IF(O45="","",VLOOKUP(O45,所属コード!$A$2:$E$11,2,FALSE))</f>
        <v/>
      </c>
      <c r="Q45" s="1033" t="str">
        <f>IF(O45="","",VLOOKUP(O45,所属コード!$A$2:$G$11,7,FALSE))</f>
        <v/>
      </c>
      <c r="R45" s="1035"/>
      <c r="S45" s="77"/>
      <c r="T45" s="77"/>
      <c r="U45" s="77"/>
      <c r="V45" s="15"/>
      <c r="X45" s="492"/>
      <c r="Y45" s="945" t="str">
        <f t="shared" si="6"/>
        <v/>
      </c>
      <c r="Z45" s="489" t="str">
        <f t="shared" si="7"/>
        <v/>
      </c>
      <c r="AA45" s="488"/>
      <c r="AB45" s="488"/>
      <c r="AC45" s="488"/>
      <c r="AD45" s="488"/>
      <c r="AE45" s="488"/>
      <c r="AF45" s="488"/>
      <c r="AG45" s="491"/>
      <c r="AH45" s="591"/>
      <c r="AI45" s="592"/>
      <c r="AJ45" s="592"/>
      <c r="AK45" s="592"/>
      <c r="AL45" s="592"/>
      <c r="AM45" s="592"/>
      <c r="AN45" s="592"/>
      <c r="AO45" s="592"/>
      <c r="AP45" s="592"/>
      <c r="AQ45" s="592"/>
      <c r="AR45" s="592"/>
      <c r="AS45" s="592"/>
      <c r="AT45" s="592"/>
      <c r="AU45" s="592"/>
      <c r="AV45" s="592"/>
      <c r="AW45" s="604"/>
      <c r="AX45" s="609">
        <f t="shared" si="8"/>
        <v>0</v>
      </c>
      <c r="AY45" s="602">
        <f t="shared" si="53"/>
        <v>0</v>
      </c>
      <c r="AZ45" s="593">
        <f t="shared" si="54"/>
        <v>0</v>
      </c>
      <c r="BA45" s="594">
        <f t="shared" si="55"/>
        <v>0</v>
      </c>
      <c r="BB45" s="593">
        <f t="shared" si="56"/>
        <v>0</v>
      </c>
      <c r="BC45" s="593">
        <f t="shared" si="9"/>
        <v>0</v>
      </c>
      <c r="BD45" s="593">
        <f t="shared" si="10"/>
        <v>0</v>
      </c>
      <c r="BE45" s="593">
        <f t="shared" si="11"/>
        <v>0</v>
      </c>
      <c r="BF45" s="593">
        <f t="shared" si="12"/>
        <v>0</v>
      </c>
      <c r="BG45" s="593">
        <f t="shared" si="13"/>
        <v>0</v>
      </c>
      <c r="BH45" s="593">
        <f t="shared" si="14"/>
        <v>0</v>
      </c>
      <c r="BI45" s="593">
        <f t="shared" si="15"/>
        <v>0</v>
      </c>
      <c r="BJ45" s="593">
        <f t="shared" si="16"/>
        <v>0</v>
      </c>
      <c r="BK45" s="593">
        <f t="shared" si="17"/>
        <v>0</v>
      </c>
      <c r="BL45" s="593">
        <f t="shared" si="18"/>
        <v>0</v>
      </c>
      <c r="BM45" s="593">
        <f t="shared" si="19"/>
        <v>0</v>
      </c>
      <c r="BN45" s="593">
        <f t="shared" si="20"/>
        <v>0</v>
      </c>
      <c r="BO45" s="593">
        <f t="shared" si="21"/>
        <v>0</v>
      </c>
      <c r="BP45" s="593">
        <f t="shared" si="22"/>
        <v>0</v>
      </c>
      <c r="BQ45" s="593">
        <f t="shared" si="23"/>
        <v>0</v>
      </c>
      <c r="BR45" s="593">
        <f t="shared" si="24"/>
        <v>0</v>
      </c>
      <c r="BS45" s="593">
        <f t="shared" si="25"/>
        <v>0</v>
      </c>
      <c r="BT45" s="593">
        <f t="shared" si="26"/>
        <v>0</v>
      </c>
      <c r="BU45" s="593">
        <f t="shared" si="27"/>
        <v>0</v>
      </c>
      <c r="BV45" s="593">
        <f t="shared" si="28"/>
        <v>0</v>
      </c>
      <c r="BW45" s="593">
        <f t="shared" si="29"/>
        <v>0</v>
      </c>
      <c r="BX45" s="593">
        <f t="shared" si="30"/>
        <v>0</v>
      </c>
      <c r="BY45" s="593">
        <f t="shared" si="31"/>
        <v>0</v>
      </c>
      <c r="BZ45" s="593">
        <f t="shared" si="32"/>
        <v>0</v>
      </c>
      <c r="CA45" s="593">
        <f t="shared" si="33"/>
        <v>0</v>
      </c>
      <c r="CB45" s="593">
        <f t="shared" si="34"/>
        <v>0</v>
      </c>
      <c r="CC45" s="593">
        <f t="shared" si="35"/>
        <v>0</v>
      </c>
      <c r="CD45" s="593">
        <f t="shared" si="36"/>
        <v>0</v>
      </c>
      <c r="CE45" s="593">
        <f t="shared" si="37"/>
        <v>0</v>
      </c>
      <c r="CF45" s="595">
        <f t="shared" si="38"/>
        <v>0</v>
      </c>
      <c r="CG45" s="555" t="str">
        <f t="shared" si="39"/>
        <v/>
      </c>
      <c r="CH45" s="530" t="str">
        <f t="shared" si="40"/>
        <v/>
      </c>
      <c r="CI45" s="530" t="str">
        <f t="shared" si="41"/>
        <v/>
      </c>
      <c r="CJ45" s="530" t="str">
        <f t="shared" si="42"/>
        <v/>
      </c>
      <c r="CK45" s="530" t="str">
        <f t="shared" si="43"/>
        <v/>
      </c>
      <c r="CL45" s="530" t="str">
        <f t="shared" si="44"/>
        <v/>
      </c>
      <c r="CM45" s="82" t="str">
        <f t="shared" si="45"/>
        <v/>
      </c>
      <c r="CN45" s="496" t="str">
        <f t="shared" si="57"/>
        <v/>
      </c>
      <c r="CO45" s="496" t="str">
        <f t="shared" si="52"/>
        <v>0</v>
      </c>
      <c r="CP45" s="491">
        <f t="shared" si="47"/>
        <v>0</v>
      </c>
      <c r="CS45" s="496">
        <f t="shared" si="48"/>
        <v>0</v>
      </c>
      <c r="CT45" s="496">
        <f t="shared" si="49"/>
        <v>0</v>
      </c>
      <c r="CU45" s="497" t="str">
        <f t="shared" si="50"/>
        <v>00</v>
      </c>
    </row>
    <row r="46" spans="1:99" ht="15" hidden="1" customHeight="1">
      <c r="A46" s="951">
        <v>43</v>
      </c>
      <c r="B46" s="1016"/>
      <c r="C46" s="922"/>
      <c r="D46" s="923"/>
      <c r="E46" s="913"/>
      <c r="F46" s="914"/>
      <c r="G46" s="1051"/>
      <c r="H46" s="915"/>
      <c r="I46" s="916"/>
      <c r="J46" s="917"/>
      <c r="K46" s="1012"/>
      <c r="L46" s="1012"/>
      <c r="M46" s="1017"/>
      <c r="N46" s="947"/>
      <c r="O46" s="406" t="str">
        <f t="shared" si="51"/>
        <v/>
      </c>
      <c r="P46" s="407" t="str">
        <f>IF(O46="","",VLOOKUP(O46,所属コード!$A$2:$E$11,2,FALSE))</f>
        <v/>
      </c>
      <c r="Q46" s="1033" t="str">
        <f>IF(O46="","",VLOOKUP(O46,所属コード!$A$2:$G$11,7,FALSE))</f>
        <v/>
      </c>
      <c r="R46" s="1035"/>
      <c r="S46" s="77"/>
      <c r="T46" s="77"/>
      <c r="U46" s="77"/>
      <c r="V46" s="15"/>
      <c r="X46" s="492"/>
      <c r="Y46" s="945" t="str">
        <f t="shared" si="6"/>
        <v/>
      </c>
      <c r="Z46" s="489" t="str">
        <f t="shared" si="7"/>
        <v/>
      </c>
      <c r="AA46" s="488"/>
      <c r="AB46" s="488"/>
      <c r="AC46" s="488"/>
      <c r="AD46" s="488"/>
      <c r="AE46" s="488"/>
      <c r="AF46" s="488"/>
      <c r="AG46" s="491"/>
      <c r="AH46" s="591"/>
      <c r="AI46" s="592"/>
      <c r="AJ46" s="592"/>
      <c r="AK46" s="592"/>
      <c r="AL46" s="592"/>
      <c r="AM46" s="592"/>
      <c r="AN46" s="592"/>
      <c r="AO46" s="592"/>
      <c r="AP46" s="592"/>
      <c r="AQ46" s="592"/>
      <c r="AR46" s="592"/>
      <c r="AS46" s="592"/>
      <c r="AT46" s="592"/>
      <c r="AU46" s="592"/>
      <c r="AV46" s="592"/>
      <c r="AW46" s="604"/>
      <c r="AX46" s="609">
        <f t="shared" si="8"/>
        <v>0</v>
      </c>
      <c r="AY46" s="602">
        <f t="shared" si="53"/>
        <v>0</v>
      </c>
      <c r="AZ46" s="593">
        <f t="shared" si="54"/>
        <v>0</v>
      </c>
      <c r="BA46" s="594">
        <f t="shared" si="55"/>
        <v>0</v>
      </c>
      <c r="BB46" s="593">
        <f t="shared" si="56"/>
        <v>0</v>
      </c>
      <c r="BC46" s="593">
        <f t="shared" si="9"/>
        <v>0</v>
      </c>
      <c r="BD46" s="593">
        <f t="shared" si="10"/>
        <v>0</v>
      </c>
      <c r="BE46" s="593">
        <f t="shared" si="11"/>
        <v>0</v>
      </c>
      <c r="BF46" s="593">
        <f t="shared" si="12"/>
        <v>0</v>
      </c>
      <c r="BG46" s="593">
        <f t="shared" si="13"/>
        <v>0</v>
      </c>
      <c r="BH46" s="593">
        <f t="shared" si="14"/>
        <v>0</v>
      </c>
      <c r="BI46" s="593">
        <f t="shared" si="15"/>
        <v>0</v>
      </c>
      <c r="BJ46" s="593">
        <f t="shared" si="16"/>
        <v>0</v>
      </c>
      <c r="BK46" s="593">
        <f t="shared" si="17"/>
        <v>0</v>
      </c>
      <c r="BL46" s="593">
        <f t="shared" si="18"/>
        <v>0</v>
      </c>
      <c r="BM46" s="593">
        <f t="shared" si="19"/>
        <v>0</v>
      </c>
      <c r="BN46" s="593">
        <f t="shared" si="20"/>
        <v>0</v>
      </c>
      <c r="BO46" s="593">
        <f t="shared" si="21"/>
        <v>0</v>
      </c>
      <c r="BP46" s="593">
        <f t="shared" si="22"/>
        <v>0</v>
      </c>
      <c r="BQ46" s="593">
        <f t="shared" si="23"/>
        <v>0</v>
      </c>
      <c r="BR46" s="593">
        <f t="shared" si="24"/>
        <v>0</v>
      </c>
      <c r="BS46" s="593">
        <f t="shared" si="25"/>
        <v>0</v>
      </c>
      <c r="BT46" s="593">
        <f t="shared" si="26"/>
        <v>0</v>
      </c>
      <c r="BU46" s="593">
        <f t="shared" si="27"/>
        <v>0</v>
      </c>
      <c r="BV46" s="593">
        <f t="shared" si="28"/>
        <v>0</v>
      </c>
      <c r="BW46" s="593">
        <f t="shared" si="29"/>
        <v>0</v>
      </c>
      <c r="BX46" s="593">
        <f t="shared" si="30"/>
        <v>0</v>
      </c>
      <c r="BY46" s="593">
        <f t="shared" si="31"/>
        <v>0</v>
      </c>
      <c r="BZ46" s="593">
        <f t="shared" si="32"/>
        <v>0</v>
      </c>
      <c r="CA46" s="593">
        <f t="shared" si="33"/>
        <v>0</v>
      </c>
      <c r="CB46" s="593">
        <f t="shared" si="34"/>
        <v>0</v>
      </c>
      <c r="CC46" s="593">
        <f t="shared" si="35"/>
        <v>0</v>
      </c>
      <c r="CD46" s="593">
        <f t="shared" si="36"/>
        <v>0</v>
      </c>
      <c r="CE46" s="593">
        <f t="shared" si="37"/>
        <v>0</v>
      </c>
      <c r="CF46" s="595">
        <f t="shared" si="38"/>
        <v>0</v>
      </c>
      <c r="CG46" s="555" t="str">
        <f t="shared" si="39"/>
        <v/>
      </c>
      <c r="CH46" s="530" t="str">
        <f t="shared" si="40"/>
        <v/>
      </c>
      <c r="CI46" s="530" t="str">
        <f t="shared" si="41"/>
        <v/>
      </c>
      <c r="CJ46" s="530" t="str">
        <f t="shared" si="42"/>
        <v/>
      </c>
      <c r="CK46" s="530" t="str">
        <f t="shared" si="43"/>
        <v/>
      </c>
      <c r="CL46" s="530" t="str">
        <f t="shared" si="44"/>
        <v/>
      </c>
      <c r="CM46" s="82" t="str">
        <f t="shared" si="45"/>
        <v/>
      </c>
      <c r="CN46" s="496" t="str">
        <f t="shared" si="57"/>
        <v/>
      </c>
      <c r="CO46" s="496" t="str">
        <f t="shared" si="52"/>
        <v>0</v>
      </c>
      <c r="CP46" s="491">
        <f t="shared" si="47"/>
        <v>0</v>
      </c>
      <c r="CS46" s="496">
        <f t="shared" si="48"/>
        <v>0</v>
      </c>
      <c r="CT46" s="496">
        <f t="shared" si="49"/>
        <v>0</v>
      </c>
      <c r="CU46" s="497" t="str">
        <f t="shared" si="50"/>
        <v>00</v>
      </c>
    </row>
    <row r="47" spans="1:99" ht="15" hidden="1" customHeight="1">
      <c r="A47" s="951">
        <v>44</v>
      </c>
      <c r="B47" s="1016"/>
      <c r="C47" s="922"/>
      <c r="D47" s="923"/>
      <c r="E47" s="913"/>
      <c r="F47" s="914"/>
      <c r="G47" s="1051"/>
      <c r="H47" s="915"/>
      <c r="I47" s="916"/>
      <c r="J47" s="917"/>
      <c r="K47" s="1012"/>
      <c r="L47" s="1012"/>
      <c r="M47" s="1017"/>
      <c r="N47" s="947"/>
      <c r="O47" s="406" t="str">
        <f t="shared" si="51"/>
        <v/>
      </c>
      <c r="P47" s="407" t="str">
        <f>IF(O47="","",VLOOKUP(O47,所属コード!$A$2:$E$11,2,FALSE))</f>
        <v/>
      </c>
      <c r="Q47" s="1033" t="str">
        <f>IF(O47="","",VLOOKUP(O47,所属コード!$A$2:$G$11,7,FALSE))</f>
        <v/>
      </c>
      <c r="R47" s="1035"/>
      <c r="S47" s="77"/>
      <c r="T47" s="77"/>
      <c r="U47" s="77"/>
      <c r="V47" s="15"/>
      <c r="X47" s="492"/>
      <c r="Y47" s="945" t="str">
        <f t="shared" si="6"/>
        <v/>
      </c>
      <c r="Z47" s="489" t="str">
        <f t="shared" si="7"/>
        <v/>
      </c>
      <c r="AA47" s="488"/>
      <c r="AB47" s="488"/>
      <c r="AC47" s="488"/>
      <c r="AD47" s="488"/>
      <c r="AE47" s="488"/>
      <c r="AF47" s="488"/>
      <c r="AG47" s="491"/>
      <c r="AH47" s="591"/>
      <c r="AI47" s="592"/>
      <c r="AJ47" s="592"/>
      <c r="AK47" s="592"/>
      <c r="AL47" s="592"/>
      <c r="AM47" s="592"/>
      <c r="AN47" s="592"/>
      <c r="AO47" s="592"/>
      <c r="AP47" s="592"/>
      <c r="AQ47" s="592"/>
      <c r="AR47" s="592"/>
      <c r="AS47" s="592"/>
      <c r="AT47" s="592"/>
      <c r="AU47" s="592"/>
      <c r="AV47" s="592"/>
      <c r="AW47" s="604"/>
      <c r="AX47" s="609">
        <f t="shared" si="8"/>
        <v>0</v>
      </c>
      <c r="AY47" s="602">
        <f t="shared" si="53"/>
        <v>0</v>
      </c>
      <c r="AZ47" s="593">
        <f t="shared" si="54"/>
        <v>0</v>
      </c>
      <c r="BA47" s="594">
        <f t="shared" si="55"/>
        <v>0</v>
      </c>
      <c r="BB47" s="593">
        <f t="shared" si="56"/>
        <v>0</v>
      </c>
      <c r="BC47" s="593">
        <f t="shared" si="9"/>
        <v>0</v>
      </c>
      <c r="BD47" s="593">
        <f t="shared" si="10"/>
        <v>0</v>
      </c>
      <c r="BE47" s="593">
        <f t="shared" si="11"/>
        <v>0</v>
      </c>
      <c r="BF47" s="593">
        <f t="shared" si="12"/>
        <v>0</v>
      </c>
      <c r="BG47" s="593">
        <f t="shared" si="13"/>
        <v>0</v>
      </c>
      <c r="BH47" s="593">
        <f t="shared" si="14"/>
        <v>0</v>
      </c>
      <c r="BI47" s="593">
        <f t="shared" si="15"/>
        <v>0</v>
      </c>
      <c r="BJ47" s="593">
        <f t="shared" si="16"/>
        <v>0</v>
      </c>
      <c r="BK47" s="593">
        <f t="shared" si="17"/>
        <v>0</v>
      </c>
      <c r="BL47" s="593">
        <f t="shared" si="18"/>
        <v>0</v>
      </c>
      <c r="BM47" s="593">
        <f t="shared" si="19"/>
        <v>0</v>
      </c>
      <c r="BN47" s="593">
        <f t="shared" si="20"/>
        <v>0</v>
      </c>
      <c r="BO47" s="593">
        <f t="shared" si="21"/>
        <v>0</v>
      </c>
      <c r="BP47" s="593">
        <f t="shared" si="22"/>
        <v>0</v>
      </c>
      <c r="BQ47" s="593">
        <f t="shared" si="23"/>
        <v>0</v>
      </c>
      <c r="BR47" s="593">
        <f t="shared" si="24"/>
        <v>0</v>
      </c>
      <c r="BS47" s="593">
        <f t="shared" si="25"/>
        <v>0</v>
      </c>
      <c r="BT47" s="593">
        <f t="shared" si="26"/>
        <v>0</v>
      </c>
      <c r="BU47" s="593">
        <f t="shared" si="27"/>
        <v>0</v>
      </c>
      <c r="BV47" s="593">
        <f t="shared" si="28"/>
        <v>0</v>
      </c>
      <c r="BW47" s="593">
        <f t="shared" si="29"/>
        <v>0</v>
      </c>
      <c r="BX47" s="593">
        <f t="shared" si="30"/>
        <v>0</v>
      </c>
      <c r="BY47" s="593">
        <f t="shared" si="31"/>
        <v>0</v>
      </c>
      <c r="BZ47" s="593">
        <f t="shared" si="32"/>
        <v>0</v>
      </c>
      <c r="CA47" s="593">
        <f t="shared" si="33"/>
        <v>0</v>
      </c>
      <c r="CB47" s="593">
        <f t="shared" si="34"/>
        <v>0</v>
      </c>
      <c r="CC47" s="593">
        <f t="shared" si="35"/>
        <v>0</v>
      </c>
      <c r="CD47" s="593">
        <f t="shared" si="36"/>
        <v>0</v>
      </c>
      <c r="CE47" s="593">
        <f t="shared" si="37"/>
        <v>0</v>
      </c>
      <c r="CF47" s="595">
        <f t="shared" si="38"/>
        <v>0</v>
      </c>
      <c r="CG47" s="555" t="str">
        <f t="shared" si="39"/>
        <v/>
      </c>
      <c r="CH47" s="530" t="str">
        <f t="shared" si="40"/>
        <v/>
      </c>
      <c r="CI47" s="530" t="str">
        <f t="shared" si="41"/>
        <v/>
      </c>
      <c r="CJ47" s="530" t="str">
        <f t="shared" si="42"/>
        <v/>
      </c>
      <c r="CK47" s="530" t="str">
        <f t="shared" si="43"/>
        <v/>
      </c>
      <c r="CL47" s="530" t="str">
        <f t="shared" si="44"/>
        <v/>
      </c>
      <c r="CM47" s="82" t="str">
        <f t="shared" si="45"/>
        <v/>
      </c>
      <c r="CN47" s="496" t="str">
        <f t="shared" si="57"/>
        <v/>
      </c>
      <c r="CO47" s="496" t="str">
        <f t="shared" si="52"/>
        <v>0</v>
      </c>
      <c r="CP47" s="491">
        <f t="shared" si="47"/>
        <v>0</v>
      </c>
      <c r="CS47" s="496">
        <f t="shared" si="48"/>
        <v>0</v>
      </c>
      <c r="CT47" s="496">
        <f t="shared" si="49"/>
        <v>0</v>
      </c>
      <c r="CU47" s="497" t="str">
        <f t="shared" si="50"/>
        <v>00</v>
      </c>
    </row>
    <row r="48" spans="1:99" ht="15" hidden="1" customHeight="1">
      <c r="A48" s="951">
        <v>45</v>
      </c>
      <c r="B48" s="1016"/>
      <c r="C48" s="922"/>
      <c r="D48" s="923"/>
      <c r="E48" s="913"/>
      <c r="F48" s="914"/>
      <c r="G48" s="1051"/>
      <c r="H48" s="915"/>
      <c r="I48" s="916"/>
      <c r="J48" s="917"/>
      <c r="K48" s="1012"/>
      <c r="L48" s="1012"/>
      <c r="M48" s="1017"/>
      <c r="N48" s="947"/>
      <c r="O48" s="406" t="str">
        <f t="shared" si="51"/>
        <v/>
      </c>
      <c r="P48" s="407" t="str">
        <f>IF(O48="","",VLOOKUP(O48,所属コード!$A$2:$E$11,2,FALSE))</f>
        <v/>
      </c>
      <c r="Q48" s="1033" t="str">
        <f>IF(O48="","",VLOOKUP(O48,所属コード!$A$2:$G$11,7,FALSE))</f>
        <v/>
      </c>
      <c r="R48" s="1035"/>
      <c r="S48" s="77"/>
      <c r="T48" s="77"/>
      <c r="U48" s="77"/>
      <c r="V48" s="15"/>
      <c r="X48" s="492"/>
      <c r="Y48" s="945" t="str">
        <f t="shared" si="6"/>
        <v/>
      </c>
      <c r="Z48" s="489" t="str">
        <f t="shared" si="7"/>
        <v/>
      </c>
      <c r="AA48" s="488"/>
      <c r="AB48" s="488"/>
      <c r="AC48" s="488"/>
      <c r="AD48" s="488"/>
      <c r="AE48" s="488"/>
      <c r="AF48" s="488"/>
      <c r="AG48" s="491"/>
      <c r="AH48" s="591"/>
      <c r="AI48" s="592"/>
      <c r="AJ48" s="592"/>
      <c r="AK48" s="592"/>
      <c r="AL48" s="592"/>
      <c r="AM48" s="592"/>
      <c r="AN48" s="592"/>
      <c r="AO48" s="592"/>
      <c r="AP48" s="592"/>
      <c r="AQ48" s="592"/>
      <c r="AR48" s="592"/>
      <c r="AS48" s="592"/>
      <c r="AT48" s="592"/>
      <c r="AU48" s="592"/>
      <c r="AV48" s="592"/>
      <c r="AW48" s="604"/>
      <c r="AX48" s="609">
        <f t="shared" si="8"/>
        <v>0</v>
      </c>
      <c r="AY48" s="602">
        <f t="shared" si="53"/>
        <v>0</v>
      </c>
      <c r="AZ48" s="593">
        <f t="shared" si="54"/>
        <v>0</v>
      </c>
      <c r="BA48" s="594">
        <f t="shared" si="55"/>
        <v>0</v>
      </c>
      <c r="BB48" s="593">
        <f t="shared" si="56"/>
        <v>0</v>
      </c>
      <c r="BC48" s="593">
        <f t="shared" si="9"/>
        <v>0</v>
      </c>
      <c r="BD48" s="593">
        <f t="shared" si="10"/>
        <v>0</v>
      </c>
      <c r="BE48" s="593">
        <f t="shared" si="11"/>
        <v>0</v>
      </c>
      <c r="BF48" s="593">
        <f t="shared" si="12"/>
        <v>0</v>
      </c>
      <c r="BG48" s="593">
        <f t="shared" si="13"/>
        <v>0</v>
      </c>
      <c r="BH48" s="593">
        <f t="shared" si="14"/>
        <v>0</v>
      </c>
      <c r="BI48" s="593">
        <f t="shared" si="15"/>
        <v>0</v>
      </c>
      <c r="BJ48" s="593">
        <f t="shared" si="16"/>
        <v>0</v>
      </c>
      <c r="BK48" s="593">
        <f t="shared" si="17"/>
        <v>0</v>
      </c>
      <c r="BL48" s="593">
        <f t="shared" si="18"/>
        <v>0</v>
      </c>
      <c r="BM48" s="593">
        <f t="shared" si="19"/>
        <v>0</v>
      </c>
      <c r="BN48" s="593">
        <f t="shared" si="20"/>
        <v>0</v>
      </c>
      <c r="BO48" s="593">
        <f t="shared" si="21"/>
        <v>0</v>
      </c>
      <c r="BP48" s="593">
        <f t="shared" si="22"/>
        <v>0</v>
      </c>
      <c r="BQ48" s="593">
        <f t="shared" si="23"/>
        <v>0</v>
      </c>
      <c r="BR48" s="593">
        <f t="shared" si="24"/>
        <v>0</v>
      </c>
      <c r="BS48" s="593">
        <f t="shared" si="25"/>
        <v>0</v>
      </c>
      <c r="BT48" s="593">
        <f t="shared" si="26"/>
        <v>0</v>
      </c>
      <c r="BU48" s="593">
        <f t="shared" si="27"/>
        <v>0</v>
      </c>
      <c r="BV48" s="593">
        <f t="shared" si="28"/>
        <v>0</v>
      </c>
      <c r="BW48" s="593">
        <f t="shared" si="29"/>
        <v>0</v>
      </c>
      <c r="BX48" s="593">
        <f t="shared" si="30"/>
        <v>0</v>
      </c>
      <c r="BY48" s="593">
        <f t="shared" si="31"/>
        <v>0</v>
      </c>
      <c r="BZ48" s="593">
        <f t="shared" si="32"/>
        <v>0</v>
      </c>
      <c r="CA48" s="593">
        <f t="shared" si="33"/>
        <v>0</v>
      </c>
      <c r="CB48" s="593">
        <f t="shared" si="34"/>
        <v>0</v>
      </c>
      <c r="CC48" s="593">
        <f t="shared" si="35"/>
        <v>0</v>
      </c>
      <c r="CD48" s="593">
        <f t="shared" si="36"/>
        <v>0</v>
      </c>
      <c r="CE48" s="593">
        <f t="shared" si="37"/>
        <v>0</v>
      </c>
      <c r="CF48" s="595">
        <f t="shared" si="38"/>
        <v>0</v>
      </c>
      <c r="CG48" s="555" t="str">
        <f t="shared" si="39"/>
        <v/>
      </c>
      <c r="CH48" s="530" t="str">
        <f t="shared" si="40"/>
        <v/>
      </c>
      <c r="CI48" s="530" t="str">
        <f t="shared" si="41"/>
        <v/>
      </c>
      <c r="CJ48" s="530" t="str">
        <f t="shared" si="42"/>
        <v/>
      </c>
      <c r="CK48" s="530" t="str">
        <f t="shared" si="43"/>
        <v/>
      </c>
      <c r="CL48" s="530" t="str">
        <f t="shared" si="44"/>
        <v/>
      </c>
      <c r="CM48" s="82" t="str">
        <f t="shared" si="45"/>
        <v/>
      </c>
      <c r="CN48" s="496" t="str">
        <f t="shared" si="57"/>
        <v/>
      </c>
      <c r="CO48" s="496" t="str">
        <f t="shared" si="52"/>
        <v>0</v>
      </c>
      <c r="CP48" s="491">
        <f t="shared" si="47"/>
        <v>0</v>
      </c>
      <c r="CS48" s="496">
        <f t="shared" si="48"/>
        <v>0</v>
      </c>
      <c r="CT48" s="496">
        <f t="shared" si="49"/>
        <v>0</v>
      </c>
      <c r="CU48" s="497" t="str">
        <f t="shared" si="50"/>
        <v>00</v>
      </c>
    </row>
    <row r="49" spans="1:99" ht="10.5" hidden="1" customHeight="1">
      <c r="A49" s="951">
        <v>46</v>
      </c>
      <c r="B49" s="1016"/>
      <c r="C49" s="922"/>
      <c r="D49" s="923"/>
      <c r="E49" s="913"/>
      <c r="F49" s="914"/>
      <c r="G49" s="1051"/>
      <c r="H49" s="915"/>
      <c r="I49" s="916"/>
      <c r="J49" s="917"/>
      <c r="K49" s="1012"/>
      <c r="L49" s="1012"/>
      <c r="M49" s="1017"/>
      <c r="N49" s="947"/>
      <c r="O49" s="406" t="str">
        <f t="shared" si="51"/>
        <v/>
      </c>
      <c r="P49" s="407" t="str">
        <f>IF(O49="","",VLOOKUP(O49,所属コード!$A$2:$E$11,2,FALSE))</f>
        <v/>
      </c>
      <c r="Q49" s="1033" t="str">
        <f>IF(O49="","",VLOOKUP(O49,所属コード!$A$2:$G$11,7,FALSE))</f>
        <v/>
      </c>
      <c r="R49" s="1035"/>
      <c r="S49" s="77"/>
      <c r="T49" s="77"/>
      <c r="U49" s="77"/>
      <c r="V49" s="15"/>
      <c r="X49" s="488"/>
      <c r="Y49" s="945" t="str">
        <f t="shared" si="6"/>
        <v/>
      </c>
      <c r="Z49" s="489" t="str">
        <f t="shared" si="7"/>
        <v/>
      </c>
      <c r="AA49" s="488"/>
      <c r="AB49" s="488"/>
      <c r="AC49" s="488"/>
      <c r="AD49" s="488"/>
      <c r="AE49" s="488"/>
      <c r="AF49" s="488"/>
      <c r="AG49" s="491"/>
      <c r="AH49" s="591"/>
      <c r="AI49" s="592"/>
      <c r="AJ49" s="592"/>
      <c r="AK49" s="592"/>
      <c r="AL49" s="592"/>
      <c r="AM49" s="592"/>
      <c r="AN49" s="592"/>
      <c r="AO49" s="592"/>
      <c r="AP49" s="592"/>
      <c r="AQ49" s="592"/>
      <c r="AR49" s="592"/>
      <c r="AS49" s="592"/>
      <c r="AT49" s="592"/>
      <c r="AU49" s="592"/>
      <c r="AV49" s="592"/>
      <c r="AW49" s="604"/>
      <c r="AX49" s="609">
        <f t="shared" si="8"/>
        <v>0</v>
      </c>
      <c r="AY49" s="602">
        <f t="shared" si="53"/>
        <v>0</v>
      </c>
      <c r="AZ49" s="593">
        <f t="shared" si="54"/>
        <v>0</v>
      </c>
      <c r="BA49" s="594">
        <f t="shared" si="55"/>
        <v>0</v>
      </c>
      <c r="BB49" s="593">
        <f t="shared" si="56"/>
        <v>0</v>
      </c>
      <c r="BC49" s="593">
        <f t="shared" si="9"/>
        <v>0</v>
      </c>
      <c r="BD49" s="593">
        <f t="shared" si="10"/>
        <v>0</v>
      </c>
      <c r="BE49" s="593">
        <f t="shared" si="11"/>
        <v>0</v>
      </c>
      <c r="BF49" s="593">
        <f t="shared" si="12"/>
        <v>0</v>
      </c>
      <c r="BG49" s="593">
        <f t="shared" si="13"/>
        <v>0</v>
      </c>
      <c r="BH49" s="593">
        <f t="shared" si="14"/>
        <v>0</v>
      </c>
      <c r="BI49" s="593">
        <f t="shared" si="15"/>
        <v>0</v>
      </c>
      <c r="BJ49" s="593">
        <f t="shared" si="16"/>
        <v>0</v>
      </c>
      <c r="BK49" s="593">
        <f t="shared" si="17"/>
        <v>0</v>
      </c>
      <c r="BL49" s="593">
        <f t="shared" si="18"/>
        <v>0</v>
      </c>
      <c r="BM49" s="593">
        <f t="shared" si="19"/>
        <v>0</v>
      </c>
      <c r="BN49" s="593">
        <f t="shared" si="20"/>
        <v>0</v>
      </c>
      <c r="BO49" s="593">
        <f t="shared" si="21"/>
        <v>0</v>
      </c>
      <c r="BP49" s="593">
        <f t="shared" si="22"/>
        <v>0</v>
      </c>
      <c r="BQ49" s="593">
        <f t="shared" si="23"/>
        <v>0</v>
      </c>
      <c r="BR49" s="593">
        <f t="shared" si="24"/>
        <v>0</v>
      </c>
      <c r="BS49" s="593">
        <f t="shared" si="25"/>
        <v>0</v>
      </c>
      <c r="BT49" s="593">
        <f t="shared" si="26"/>
        <v>0</v>
      </c>
      <c r="BU49" s="593">
        <f t="shared" si="27"/>
        <v>0</v>
      </c>
      <c r="BV49" s="593">
        <f t="shared" si="28"/>
        <v>0</v>
      </c>
      <c r="BW49" s="593">
        <f t="shared" si="29"/>
        <v>0</v>
      </c>
      <c r="BX49" s="593">
        <f t="shared" si="30"/>
        <v>0</v>
      </c>
      <c r="BY49" s="593">
        <f t="shared" si="31"/>
        <v>0</v>
      </c>
      <c r="BZ49" s="593">
        <f t="shared" si="32"/>
        <v>0</v>
      </c>
      <c r="CA49" s="593">
        <f t="shared" si="33"/>
        <v>0</v>
      </c>
      <c r="CB49" s="593">
        <f t="shared" si="34"/>
        <v>0</v>
      </c>
      <c r="CC49" s="593">
        <f t="shared" si="35"/>
        <v>0</v>
      </c>
      <c r="CD49" s="593">
        <f t="shared" si="36"/>
        <v>0</v>
      </c>
      <c r="CE49" s="593">
        <f t="shared" si="37"/>
        <v>0</v>
      </c>
      <c r="CF49" s="595">
        <f t="shared" si="38"/>
        <v>0</v>
      </c>
      <c r="CG49" s="555" t="str">
        <f t="shared" si="39"/>
        <v/>
      </c>
      <c r="CH49" s="530" t="str">
        <f t="shared" si="40"/>
        <v/>
      </c>
      <c r="CI49" s="530" t="str">
        <f t="shared" si="41"/>
        <v/>
      </c>
      <c r="CJ49" s="530" t="str">
        <f t="shared" si="42"/>
        <v/>
      </c>
      <c r="CK49" s="530" t="str">
        <f t="shared" si="43"/>
        <v/>
      </c>
      <c r="CL49" s="530" t="str">
        <f t="shared" si="44"/>
        <v/>
      </c>
      <c r="CM49" s="82" t="str">
        <f t="shared" si="45"/>
        <v/>
      </c>
      <c r="CN49" s="496" t="str">
        <f t="shared" si="57"/>
        <v/>
      </c>
      <c r="CO49" s="496" t="str">
        <f t="shared" si="52"/>
        <v>0</v>
      </c>
      <c r="CP49" s="491">
        <f t="shared" si="47"/>
        <v>0</v>
      </c>
      <c r="CS49" s="496">
        <f t="shared" si="48"/>
        <v>0</v>
      </c>
      <c r="CT49" s="496">
        <f t="shared" si="49"/>
        <v>0</v>
      </c>
      <c r="CU49" s="497" t="str">
        <f t="shared" si="50"/>
        <v>00</v>
      </c>
    </row>
    <row r="50" spans="1:99" ht="15" hidden="1" customHeight="1">
      <c r="A50" s="951">
        <v>47</v>
      </c>
      <c r="B50" s="1016"/>
      <c r="C50" s="922"/>
      <c r="D50" s="923"/>
      <c r="E50" s="913"/>
      <c r="F50" s="914"/>
      <c r="G50" s="1051"/>
      <c r="H50" s="915"/>
      <c r="I50" s="916"/>
      <c r="J50" s="917"/>
      <c r="K50" s="1012"/>
      <c r="L50" s="1012"/>
      <c r="M50" s="1017"/>
      <c r="N50" s="947"/>
      <c r="O50" s="406" t="str">
        <f t="shared" si="51"/>
        <v/>
      </c>
      <c r="P50" s="407" t="str">
        <f>IF(O50="","",VLOOKUP(O50,所属コード!$A$2:$E$11,2,FALSE))</f>
        <v/>
      </c>
      <c r="Q50" s="1033" t="str">
        <f>IF(O50="","",VLOOKUP(O50,所属コード!$A$2:$G$11,7,FALSE))</f>
        <v/>
      </c>
      <c r="R50" s="1035"/>
      <c r="S50" s="77"/>
      <c r="T50" s="77"/>
      <c r="U50" s="77"/>
      <c r="V50" s="15"/>
      <c r="X50" s="488"/>
      <c r="Y50" s="945" t="str">
        <f t="shared" si="6"/>
        <v/>
      </c>
      <c r="Z50" s="489" t="str">
        <f t="shared" si="7"/>
        <v/>
      </c>
      <c r="AA50" s="488"/>
      <c r="AB50" s="488"/>
      <c r="AC50" s="488"/>
      <c r="AD50" s="488"/>
      <c r="AE50" s="488"/>
      <c r="AF50" s="488"/>
      <c r="AG50" s="491"/>
      <c r="AH50" s="591"/>
      <c r="AI50" s="592"/>
      <c r="AJ50" s="592"/>
      <c r="AK50" s="592"/>
      <c r="AL50" s="592"/>
      <c r="AM50" s="592"/>
      <c r="AN50" s="592"/>
      <c r="AO50" s="592"/>
      <c r="AP50" s="592"/>
      <c r="AQ50" s="592"/>
      <c r="AR50" s="592"/>
      <c r="AS50" s="592"/>
      <c r="AT50" s="592"/>
      <c r="AU50" s="592"/>
      <c r="AV50" s="592"/>
      <c r="AW50" s="604"/>
      <c r="AX50" s="609">
        <f t="shared" si="8"/>
        <v>0</v>
      </c>
      <c r="AY50" s="602">
        <f t="shared" si="53"/>
        <v>0</v>
      </c>
      <c r="AZ50" s="593">
        <f t="shared" si="54"/>
        <v>0</v>
      </c>
      <c r="BA50" s="594">
        <f t="shared" si="55"/>
        <v>0</v>
      </c>
      <c r="BB50" s="593">
        <f t="shared" si="56"/>
        <v>0</v>
      </c>
      <c r="BC50" s="593">
        <f t="shared" si="9"/>
        <v>0</v>
      </c>
      <c r="BD50" s="593">
        <f t="shared" si="10"/>
        <v>0</v>
      </c>
      <c r="BE50" s="593">
        <f t="shared" si="11"/>
        <v>0</v>
      </c>
      <c r="BF50" s="593">
        <f t="shared" si="12"/>
        <v>0</v>
      </c>
      <c r="BG50" s="593">
        <f t="shared" si="13"/>
        <v>0</v>
      </c>
      <c r="BH50" s="593">
        <f t="shared" si="14"/>
        <v>0</v>
      </c>
      <c r="BI50" s="593">
        <f t="shared" si="15"/>
        <v>0</v>
      </c>
      <c r="BJ50" s="593">
        <f t="shared" si="16"/>
        <v>0</v>
      </c>
      <c r="BK50" s="593">
        <f t="shared" si="17"/>
        <v>0</v>
      </c>
      <c r="BL50" s="593">
        <f t="shared" si="18"/>
        <v>0</v>
      </c>
      <c r="BM50" s="593">
        <f t="shared" si="19"/>
        <v>0</v>
      </c>
      <c r="BN50" s="593">
        <f t="shared" si="20"/>
        <v>0</v>
      </c>
      <c r="BO50" s="593">
        <f t="shared" si="21"/>
        <v>0</v>
      </c>
      <c r="BP50" s="593">
        <f t="shared" si="22"/>
        <v>0</v>
      </c>
      <c r="BQ50" s="593">
        <f t="shared" si="23"/>
        <v>0</v>
      </c>
      <c r="BR50" s="593">
        <f t="shared" si="24"/>
        <v>0</v>
      </c>
      <c r="BS50" s="593">
        <f t="shared" si="25"/>
        <v>0</v>
      </c>
      <c r="BT50" s="593">
        <f t="shared" si="26"/>
        <v>0</v>
      </c>
      <c r="BU50" s="593">
        <f t="shared" si="27"/>
        <v>0</v>
      </c>
      <c r="BV50" s="593">
        <f t="shared" si="28"/>
        <v>0</v>
      </c>
      <c r="BW50" s="593">
        <f t="shared" si="29"/>
        <v>0</v>
      </c>
      <c r="BX50" s="593">
        <f t="shared" si="30"/>
        <v>0</v>
      </c>
      <c r="BY50" s="593">
        <f t="shared" si="31"/>
        <v>0</v>
      </c>
      <c r="BZ50" s="593">
        <f t="shared" si="32"/>
        <v>0</v>
      </c>
      <c r="CA50" s="593">
        <f t="shared" si="33"/>
        <v>0</v>
      </c>
      <c r="CB50" s="593">
        <f t="shared" si="34"/>
        <v>0</v>
      </c>
      <c r="CC50" s="593">
        <f t="shared" si="35"/>
        <v>0</v>
      </c>
      <c r="CD50" s="593">
        <f t="shared" si="36"/>
        <v>0</v>
      </c>
      <c r="CE50" s="593">
        <f t="shared" si="37"/>
        <v>0</v>
      </c>
      <c r="CF50" s="595">
        <f t="shared" si="38"/>
        <v>0</v>
      </c>
      <c r="CG50" s="555" t="str">
        <f t="shared" si="39"/>
        <v/>
      </c>
      <c r="CH50" s="530" t="str">
        <f t="shared" si="40"/>
        <v/>
      </c>
      <c r="CI50" s="530" t="str">
        <f t="shared" si="41"/>
        <v/>
      </c>
      <c r="CJ50" s="530" t="str">
        <f t="shared" si="42"/>
        <v/>
      </c>
      <c r="CK50" s="530" t="str">
        <f t="shared" si="43"/>
        <v/>
      </c>
      <c r="CL50" s="530" t="str">
        <f t="shared" si="44"/>
        <v/>
      </c>
      <c r="CM50" s="82" t="str">
        <f t="shared" si="45"/>
        <v/>
      </c>
      <c r="CN50" s="496" t="str">
        <f t="shared" si="57"/>
        <v/>
      </c>
      <c r="CO50" s="496" t="str">
        <f t="shared" si="52"/>
        <v>0</v>
      </c>
      <c r="CP50" s="491">
        <f t="shared" si="47"/>
        <v>0</v>
      </c>
      <c r="CS50" s="496">
        <f t="shared" si="48"/>
        <v>0</v>
      </c>
      <c r="CT50" s="496">
        <f t="shared" si="49"/>
        <v>0</v>
      </c>
      <c r="CU50" s="497" t="str">
        <f t="shared" si="50"/>
        <v>00</v>
      </c>
    </row>
    <row r="51" spans="1:99" ht="15" hidden="1" customHeight="1">
      <c r="A51" s="951">
        <v>48</v>
      </c>
      <c r="B51" s="1016"/>
      <c r="C51" s="922"/>
      <c r="D51" s="923"/>
      <c r="E51" s="913"/>
      <c r="F51" s="914"/>
      <c r="G51" s="1051"/>
      <c r="H51" s="915"/>
      <c r="I51" s="916"/>
      <c r="J51" s="917"/>
      <c r="K51" s="1012"/>
      <c r="L51" s="1012"/>
      <c r="M51" s="1017"/>
      <c r="N51" s="947"/>
      <c r="O51" s="406" t="str">
        <f t="shared" si="51"/>
        <v/>
      </c>
      <c r="P51" s="407" t="str">
        <f>IF(O51="","",VLOOKUP(O51,所属コード!$A$2:$E$11,2,FALSE))</f>
        <v/>
      </c>
      <c r="Q51" s="1033" t="str">
        <f>IF(O51="","",VLOOKUP(O51,所属コード!$A$2:$G$11,7,FALSE))</f>
        <v/>
      </c>
      <c r="R51" s="1035"/>
      <c r="S51" s="77"/>
      <c r="T51" s="77"/>
      <c r="U51" s="77"/>
      <c r="V51" s="15"/>
      <c r="X51" s="488"/>
      <c r="Y51" s="945" t="str">
        <f t="shared" si="6"/>
        <v/>
      </c>
      <c r="Z51" s="489" t="str">
        <f t="shared" si="7"/>
        <v/>
      </c>
      <c r="AA51" s="488"/>
      <c r="AB51" s="488"/>
      <c r="AC51" s="488"/>
      <c r="AD51" s="488"/>
      <c r="AE51" s="488"/>
      <c r="AF51" s="488"/>
      <c r="AG51" s="491"/>
      <c r="AH51" s="591"/>
      <c r="AI51" s="592"/>
      <c r="AJ51" s="592"/>
      <c r="AK51" s="592"/>
      <c r="AL51" s="592"/>
      <c r="AM51" s="592"/>
      <c r="AN51" s="592"/>
      <c r="AO51" s="592"/>
      <c r="AP51" s="592"/>
      <c r="AQ51" s="592"/>
      <c r="AR51" s="592"/>
      <c r="AS51" s="592"/>
      <c r="AT51" s="592"/>
      <c r="AU51" s="592"/>
      <c r="AV51" s="592"/>
      <c r="AW51" s="604"/>
      <c r="AX51" s="609">
        <f t="shared" si="8"/>
        <v>0</v>
      </c>
      <c r="AY51" s="602">
        <f t="shared" si="53"/>
        <v>0</v>
      </c>
      <c r="AZ51" s="593">
        <f t="shared" si="54"/>
        <v>0</v>
      </c>
      <c r="BA51" s="594">
        <f t="shared" si="55"/>
        <v>0</v>
      </c>
      <c r="BB51" s="593">
        <f t="shared" si="56"/>
        <v>0</v>
      </c>
      <c r="BC51" s="593">
        <f t="shared" si="9"/>
        <v>0</v>
      </c>
      <c r="BD51" s="593">
        <f t="shared" si="10"/>
        <v>0</v>
      </c>
      <c r="BE51" s="593">
        <f t="shared" si="11"/>
        <v>0</v>
      </c>
      <c r="BF51" s="593">
        <f t="shared" si="12"/>
        <v>0</v>
      </c>
      <c r="BG51" s="593">
        <f t="shared" si="13"/>
        <v>0</v>
      </c>
      <c r="BH51" s="593">
        <f t="shared" si="14"/>
        <v>0</v>
      </c>
      <c r="BI51" s="593">
        <f t="shared" si="15"/>
        <v>0</v>
      </c>
      <c r="BJ51" s="593">
        <f t="shared" si="16"/>
        <v>0</v>
      </c>
      <c r="BK51" s="593">
        <f t="shared" si="17"/>
        <v>0</v>
      </c>
      <c r="BL51" s="593">
        <f t="shared" si="18"/>
        <v>0</v>
      </c>
      <c r="BM51" s="593">
        <f t="shared" si="19"/>
        <v>0</v>
      </c>
      <c r="BN51" s="593">
        <f t="shared" si="20"/>
        <v>0</v>
      </c>
      <c r="BO51" s="593">
        <f t="shared" si="21"/>
        <v>0</v>
      </c>
      <c r="BP51" s="593">
        <f t="shared" si="22"/>
        <v>0</v>
      </c>
      <c r="BQ51" s="593">
        <f t="shared" si="23"/>
        <v>0</v>
      </c>
      <c r="BR51" s="593">
        <f t="shared" si="24"/>
        <v>0</v>
      </c>
      <c r="BS51" s="593">
        <f t="shared" si="25"/>
        <v>0</v>
      </c>
      <c r="BT51" s="593">
        <f t="shared" si="26"/>
        <v>0</v>
      </c>
      <c r="BU51" s="593">
        <f t="shared" si="27"/>
        <v>0</v>
      </c>
      <c r="BV51" s="593">
        <f t="shared" si="28"/>
        <v>0</v>
      </c>
      <c r="BW51" s="593">
        <f t="shared" si="29"/>
        <v>0</v>
      </c>
      <c r="BX51" s="593">
        <f t="shared" si="30"/>
        <v>0</v>
      </c>
      <c r="BY51" s="593">
        <f t="shared" si="31"/>
        <v>0</v>
      </c>
      <c r="BZ51" s="593">
        <f t="shared" si="32"/>
        <v>0</v>
      </c>
      <c r="CA51" s="593">
        <f t="shared" si="33"/>
        <v>0</v>
      </c>
      <c r="CB51" s="593">
        <f t="shared" si="34"/>
        <v>0</v>
      </c>
      <c r="CC51" s="593">
        <f t="shared" si="35"/>
        <v>0</v>
      </c>
      <c r="CD51" s="593">
        <f t="shared" si="36"/>
        <v>0</v>
      </c>
      <c r="CE51" s="593">
        <f t="shared" si="37"/>
        <v>0</v>
      </c>
      <c r="CF51" s="595">
        <f t="shared" si="38"/>
        <v>0</v>
      </c>
      <c r="CG51" s="555" t="str">
        <f t="shared" si="39"/>
        <v/>
      </c>
      <c r="CH51" s="530" t="str">
        <f t="shared" si="40"/>
        <v/>
      </c>
      <c r="CI51" s="530" t="str">
        <f t="shared" si="41"/>
        <v/>
      </c>
      <c r="CJ51" s="530" t="str">
        <f t="shared" si="42"/>
        <v/>
      </c>
      <c r="CK51" s="530" t="str">
        <f t="shared" si="43"/>
        <v/>
      </c>
      <c r="CL51" s="530" t="str">
        <f t="shared" si="44"/>
        <v/>
      </c>
      <c r="CM51" s="82" t="str">
        <f t="shared" si="45"/>
        <v/>
      </c>
      <c r="CN51" s="496" t="str">
        <f t="shared" si="57"/>
        <v/>
      </c>
      <c r="CO51" s="496" t="str">
        <f t="shared" si="52"/>
        <v>0</v>
      </c>
      <c r="CP51" s="491">
        <f t="shared" si="47"/>
        <v>0</v>
      </c>
      <c r="CS51" s="496">
        <f t="shared" si="48"/>
        <v>0</v>
      </c>
      <c r="CT51" s="496">
        <f t="shared" si="49"/>
        <v>0</v>
      </c>
      <c r="CU51" s="497" t="str">
        <f t="shared" si="50"/>
        <v>00</v>
      </c>
    </row>
    <row r="52" spans="1:99" ht="15" hidden="1" customHeight="1">
      <c r="A52" s="951">
        <v>49</v>
      </c>
      <c r="B52" s="1016"/>
      <c r="C52" s="922"/>
      <c r="D52" s="923"/>
      <c r="E52" s="913"/>
      <c r="F52" s="914"/>
      <c r="G52" s="1051"/>
      <c r="H52" s="915"/>
      <c r="I52" s="916"/>
      <c r="J52" s="917"/>
      <c r="K52" s="1012"/>
      <c r="L52" s="1012"/>
      <c r="M52" s="1017"/>
      <c r="N52" s="947"/>
      <c r="O52" s="406" t="str">
        <f t="shared" si="51"/>
        <v/>
      </c>
      <c r="P52" s="407" t="str">
        <f>IF(O52="","",VLOOKUP(O52,所属コード!$A$2:$E$11,2,FALSE))</f>
        <v/>
      </c>
      <c r="Q52" s="1033" t="str">
        <f>IF(O52="","",VLOOKUP(O52,所属コード!$A$2:$G$11,7,FALSE))</f>
        <v/>
      </c>
      <c r="R52" s="1035"/>
      <c r="S52" s="77"/>
      <c r="T52" s="77"/>
      <c r="U52" s="77"/>
      <c r="V52" s="15"/>
      <c r="X52" s="488"/>
      <c r="Y52" s="945" t="str">
        <f t="shared" si="6"/>
        <v/>
      </c>
      <c r="Z52" s="489" t="str">
        <f t="shared" si="7"/>
        <v/>
      </c>
      <c r="AA52" s="488"/>
      <c r="AB52" s="488"/>
      <c r="AC52" s="488"/>
      <c r="AD52" s="488"/>
      <c r="AE52" s="488"/>
      <c r="AF52" s="488"/>
      <c r="AG52" s="491"/>
      <c r="AH52" s="591"/>
      <c r="AI52" s="592"/>
      <c r="AJ52" s="592"/>
      <c r="AK52" s="592"/>
      <c r="AL52" s="592"/>
      <c r="AM52" s="592"/>
      <c r="AN52" s="592"/>
      <c r="AO52" s="592"/>
      <c r="AP52" s="592"/>
      <c r="AQ52" s="592"/>
      <c r="AR52" s="592"/>
      <c r="AS52" s="592"/>
      <c r="AT52" s="592"/>
      <c r="AU52" s="592"/>
      <c r="AV52" s="592"/>
      <c r="AW52" s="604"/>
      <c r="AX52" s="609">
        <f t="shared" si="8"/>
        <v>0</v>
      </c>
      <c r="AY52" s="602">
        <f t="shared" si="53"/>
        <v>0</v>
      </c>
      <c r="AZ52" s="593">
        <f t="shared" si="54"/>
        <v>0</v>
      </c>
      <c r="BA52" s="594">
        <f t="shared" si="55"/>
        <v>0</v>
      </c>
      <c r="BB52" s="593">
        <f t="shared" si="56"/>
        <v>0</v>
      </c>
      <c r="BC52" s="593">
        <f t="shared" si="9"/>
        <v>0</v>
      </c>
      <c r="BD52" s="593">
        <f t="shared" si="10"/>
        <v>0</v>
      </c>
      <c r="BE52" s="593">
        <f t="shared" si="11"/>
        <v>0</v>
      </c>
      <c r="BF52" s="593">
        <f t="shared" si="12"/>
        <v>0</v>
      </c>
      <c r="BG52" s="593">
        <f t="shared" si="13"/>
        <v>0</v>
      </c>
      <c r="BH52" s="593">
        <f t="shared" si="14"/>
        <v>0</v>
      </c>
      <c r="BI52" s="593">
        <f t="shared" si="15"/>
        <v>0</v>
      </c>
      <c r="BJ52" s="593">
        <f t="shared" si="16"/>
        <v>0</v>
      </c>
      <c r="BK52" s="593">
        <f t="shared" si="17"/>
        <v>0</v>
      </c>
      <c r="BL52" s="593">
        <f t="shared" si="18"/>
        <v>0</v>
      </c>
      <c r="BM52" s="593">
        <f t="shared" si="19"/>
        <v>0</v>
      </c>
      <c r="BN52" s="593">
        <f t="shared" si="20"/>
        <v>0</v>
      </c>
      <c r="BO52" s="593">
        <f t="shared" si="21"/>
        <v>0</v>
      </c>
      <c r="BP52" s="593">
        <f t="shared" si="22"/>
        <v>0</v>
      </c>
      <c r="BQ52" s="593">
        <f t="shared" si="23"/>
        <v>0</v>
      </c>
      <c r="BR52" s="593">
        <f t="shared" si="24"/>
        <v>0</v>
      </c>
      <c r="BS52" s="593">
        <f t="shared" si="25"/>
        <v>0</v>
      </c>
      <c r="BT52" s="593">
        <f t="shared" si="26"/>
        <v>0</v>
      </c>
      <c r="BU52" s="593">
        <f t="shared" si="27"/>
        <v>0</v>
      </c>
      <c r="BV52" s="593">
        <f t="shared" si="28"/>
        <v>0</v>
      </c>
      <c r="BW52" s="593">
        <f t="shared" si="29"/>
        <v>0</v>
      </c>
      <c r="BX52" s="593">
        <f t="shared" si="30"/>
        <v>0</v>
      </c>
      <c r="BY52" s="593">
        <f t="shared" si="31"/>
        <v>0</v>
      </c>
      <c r="BZ52" s="593">
        <f t="shared" si="32"/>
        <v>0</v>
      </c>
      <c r="CA52" s="593">
        <f t="shared" si="33"/>
        <v>0</v>
      </c>
      <c r="CB52" s="593">
        <f t="shared" si="34"/>
        <v>0</v>
      </c>
      <c r="CC52" s="593">
        <f t="shared" si="35"/>
        <v>0</v>
      </c>
      <c r="CD52" s="593">
        <f t="shared" si="36"/>
        <v>0</v>
      </c>
      <c r="CE52" s="593">
        <f t="shared" si="37"/>
        <v>0</v>
      </c>
      <c r="CF52" s="595">
        <f t="shared" si="38"/>
        <v>0</v>
      </c>
      <c r="CG52" s="555" t="str">
        <f t="shared" si="39"/>
        <v/>
      </c>
      <c r="CH52" s="530" t="str">
        <f t="shared" si="40"/>
        <v/>
      </c>
      <c r="CI52" s="530" t="str">
        <f t="shared" si="41"/>
        <v/>
      </c>
      <c r="CJ52" s="530" t="str">
        <f t="shared" si="42"/>
        <v/>
      </c>
      <c r="CK52" s="530" t="str">
        <f t="shared" si="43"/>
        <v/>
      </c>
      <c r="CL52" s="530" t="str">
        <f t="shared" si="44"/>
        <v/>
      </c>
      <c r="CM52" s="82" t="str">
        <f t="shared" si="45"/>
        <v/>
      </c>
      <c r="CN52" s="496" t="str">
        <f t="shared" si="57"/>
        <v/>
      </c>
      <c r="CO52" s="496" t="str">
        <f t="shared" si="52"/>
        <v>0</v>
      </c>
      <c r="CP52" s="491">
        <f t="shared" si="47"/>
        <v>0</v>
      </c>
      <c r="CS52" s="496">
        <f t="shared" si="48"/>
        <v>0</v>
      </c>
      <c r="CT52" s="496">
        <f t="shared" si="49"/>
        <v>0</v>
      </c>
      <c r="CU52" s="497" t="str">
        <f t="shared" si="50"/>
        <v>00</v>
      </c>
    </row>
    <row r="53" spans="1:99" ht="15" hidden="1" customHeight="1">
      <c r="A53" s="951">
        <v>50</v>
      </c>
      <c r="B53" s="1016"/>
      <c r="C53" s="922"/>
      <c r="D53" s="923"/>
      <c r="E53" s="913"/>
      <c r="F53" s="914"/>
      <c r="G53" s="1051"/>
      <c r="H53" s="921"/>
      <c r="I53" s="916"/>
      <c r="J53" s="917"/>
      <c r="K53" s="1012"/>
      <c r="L53" s="1012"/>
      <c r="M53" s="1017"/>
      <c r="N53" s="947"/>
      <c r="O53" s="406" t="str">
        <f t="shared" si="51"/>
        <v/>
      </c>
      <c r="P53" s="407" t="str">
        <f>IF(O53="","",VLOOKUP(O53,所属コード!$A$2:$E$11,2,FALSE))</f>
        <v/>
      </c>
      <c r="Q53" s="1033" t="str">
        <f>IF(O53="","",VLOOKUP(O53,所属コード!$A$2:$G$11,7,FALSE))</f>
        <v/>
      </c>
      <c r="R53" s="1035"/>
      <c r="S53" s="77"/>
      <c r="T53" s="77"/>
      <c r="U53" s="77"/>
      <c r="V53" s="15"/>
      <c r="X53" s="488"/>
      <c r="Y53" s="945" t="str">
        <f t="shared" si="6"/>
        <v/>
      </c>
      <c r="Z53" s="489" t="str">
        <f t="shared" si="7"/>
        <v/>
      </c>
      <c r="AA53" s="488"/>
      <c r="AB53" s="488"/>
      <c r="AC53" s="488"/>
      <c r="AD53" s="488"/>
      <c r="AE53" s="488"/>
      <c r="AF53" s="488"/>
      <c r="AG53" s="491"/>
      <c r="AH53" s="591"/>
      <c r="AI53" s="592"/>
      <c r="AJ53" s="592"/>
      <c r="AK53" s="592"/>
      <c r="AL53" s="592"/>
      <c r="AM53" s="592"/>
      <c r="AN53" s="592"/>
      <c r="AO53" s="592"/>
      <c r="AP53" s="592"/>
      <c r="AQ53" s="592"/>
      <c r="AR53" s="592"/>
      <c r="AS53" s="592"/>
      <c r="AT53" s="592"/>
      <c r="AU53" s="592"/>
      <c r="AV53" s="592"/>
      <c r="AW53" s="604"/>
      <c r="AX53" s="609">
        <f t="shared" si="8"/>
        <v>0</v>
      </c>
      <c r="AY53" s="602">
        <f t="shared" si="53"/>
        <v>0</v>
      </c>
      <c r="AZ53" s="593">
        <f t="shared" si="54"/>
        <v>0</v>
      </c>
      <c r="BA53" s="594">
        <f t="shared" si="55"/>
        <v>0</v>
      </c>
      <c r="BB53" s="593">
        <f t="shared" si="56"/>
        <v>0</v>
      </c>
      <c r="BC53" s="593">
        <f t="shared" si="9"/>
        <v>0</v>
      </c>
      <c r="BD53" s="593">
        <f t="shared" si="10"/>
        <v>0</v>
      </c>
      <c r="BE53" s="593">
        <f t="shared" si="11"/>
        <v>0</v>
      </c>
      <c r="BF53" s="593">
        <f t="shared" si="12"/>
        <v>0</v>
      </c>
      <c r="BG53" s="593">
        <f t="shared" si="13"/>
        <v>0</v>
      </c>
      <c r="BH53" s="593">
        <f t="shared" si="14"/>
        <v>0</v>
      </c>
      <c r="BI53" s="593">
        <f t="shared" si="15"/>
        <v>0</v>
      </c>
      <c r="BJ53" s="593">
        <f t="shared" si="16"/>
        <v>0</v>
      </c>
      <c r="BK53" s="593">
        <f t="shared" si="17"/>
        <v>0</v>
      </c>
      <c r="BL53" s="593">
        <f t="shared" si="18"/>
        <v>0</v>
      </c>
      <c r="BM53" s="593">
        <f t="shared" si="19"/>
        <v>0</v>
      </c>
      <c r="BN53" s="593">
        <f t="shared" si="20"/>
        <v>0</v>
      </c>
      <c r="BO53" s="593">
        <f t="shared" si="21"/>
        <v>0</v>
      </c>
      <c r="BP53" s="593">
        <f t="shared" si="22"/>
        <v>0</v>
      </c>
      <c r="BQ53" s="593">
        <f t="shared" si="23"/>
        <v>0</v>
      </c>
      <c r="BR53" s="593">
        <f t="shared" si="24"/>
        <v>0</v>
      </c>
      <c r="BS53" s="593">
        <f t="shared" si="25"/>
        <v>0</v>
      </c>
      <c r="BT53" s="593">
        <f t="shared" si="26"/>
        <v>0</v>
      </c>
      <c r="BU53" s="593">
        <f t="shared" si="27"/>
        <v>0</v>
      </c>
      <c r="BV53" s="593">
        <f t="shared" si="28"/>
        <v>0</v>
      </c>
      <c r="BW53" s="593">
        <f t="shared" si="29"/>
        <v>0</v>
      </c>
      <c r="BX53" s="593">
        <f t="shared" si="30"/>
        <v>0</v>
      </c>
      <c r="BY53" s="593">
        <f t="shared" si="31"/>
        <v>0</v>
      </c>
      <c r="BZ53" s="593">
        <f t="shared" si="32"/>
        <v>0</v>
      </c>
      <c r="CA53" s="593">
        <f t="shared" si="33"/>
        <v>0</v>
      </c>
      <c r="CB53" s="593">
        <f t="shared" si="34"/>
        <v>0</v>
      </c>
      <c r="CC53" s="593">
        <f t="shared" si="35"/>
        <v>0</v>
      </c>
      <c r="CD53" s="593">
        <f t="shared" si="36"/>
        <v>0</v>
      </c>
      <c r="CE53" s="593">
        <f t="shared" si="37"/>
        <v>0</v>
      </c>
      <c r="CF53" s="595">
        <f t="shared" si="38"/>
        <v>0</v>
      </c>
      <c r="CG53" s="555" t="str">
        <f t="shared" si="39"/>
        <v/>
      </c>
      <c r="CH53" s="530" t="str">
        <f t="shared" si="40"/>
        <v/>
      </c>
      <c r="CI53" s="530" t="str">
        <f t="shared" si="41"/>
        <v/>
      </c>
      <c r="CJ53" s="530" t="str">
        <f t="shared" si="42"/>
        <v/>
      </c>
      <c r="CK53" s="530" t="str">
        <f t="shared" si="43"/>
        <v/>
      </c>
      <c r="CL53" s="530" t="str">
        <f t="shared" si="44"/>
        <v/>
      </c>
      <c r="CM53" s="82" t="str">
        <f t="shared" si="45"/>
        <v/>
      </c>
      <c r="CN53" s="496" t="str">
        <f t="shared" si="57"/>
        <v/>
      </c>
      <c r="CO53" s="496" t="str">
        <f t="shared" si="52"/>
        <v>0</v>
      </c>
      <c r="CP53" s="491">
        <f t="shared" si="47"/>
        <v>0</v>
      </c>
      <c r="CS53" s="496">
        <f t="shared" si="48"/>
        <v>0</v>
      </c>
      <c r="CT53" s="496">
        <f t="shared" si="49"/>
        <v>0</v>
      </c>
      <c r="CU53" s="497" t="str">
        <f t="shared" si="50"/>
        <v>00</v>
      </c>
    </row>
    <row r="54" spans="1:99" ht="15" hidden="1" customHeight="1">
      <c r="A54" s="951">
        <v>51</v>
      </c>
      <c r="B54" s="1016"/>
      <c r="C54" s="922"/>
      <c r="D54" s="923"/>
      <c r="E54" s="913"/>
      <c r="F54" s="914"/>
      <c r="G54" s="1051"/>
      <c r="H54" s="921"/>
      <c r="I54" s="916"/>
      <c r="J54" s="917"/>
      <c r="K54" s="1012"/>
      <c r="L54" s="1012"/>
      <c r="M54" s="1017"/>
      <c r="N54" s="947"/>
      <c r="O54" s="406" t="str">
        <f t="shared" si="51"/>
        <v/>
      </c>
      <c r="P54" s="407" t="str">
        <f>IF(O54="","",VLOOKUP(O54,所属コード!$A$2:$E$11,2,FALSE))</f>
        <v/>
      </c>
      <c r="Q54" s="1033" t="str">
        <f>IF(O54="","",VLOOKUP(O54,所属コード!$A$2:$G$11,7,FALSE))</f>
        <v/>
      </c>
      <c r="R54" s="1035"/>
      <c r="S54" s="77"/>
      <c r="T54" s="77"/>
      <c r="U54" s="77"/>
      <c r="V54" s="15"/>
      <c r="X54" s="488"/>
      <c r="Y54" s="945" t="str">
        <f t="shared" si="6"/>
        <v/>
      </c>
      <c r="Z54" s="489" t="str">
        <f t="shared" si="7"/>
        <v/>
      </c>
      <c r="AA54" s="488"/>
      <c r="AB54" s="488"/>
      <c r="AC54" s="488"/>
      <c r="AD54" s="488"/>
      <c r="AE54" s="488"/>
      <c r="AF54" s="488"/>
      <c r="AG54" s="491"/>
      <c r="AH54" s="591"/>
      <c r="AI54" s="592"/>
      <c r="AJ54" s="592"/>
      <c r="AK54" s="592"/>
      <c r="AL54" s="592"/>
      <c r="AM54" s="592"/>
      <c r="AN54" s="592"/>
      <c r="AO54" s="592"/>
      <c r="AP54" s="592"/>
      <c r="AQ54" s="592"/>
      <c r="AR54" s="592"/>
      <c r="AS54" s="592"/>
      <c r="AT54" s="592"/>
      <c r="AU54" s="592"/>
      <c r="AV54" s="592"/>
      <c r="AW54" s="604"/>
      <c r="AX54" s="609">
        <f t="shared" si="8"/>
        <v>0</v>
      </c>
      <c r="AY54" s="602">
        <f t="shared" si="53"/>
        <v>0</v>
      </c>
      <c r="AZ54" s="593">
        <f t="shared" si="54"/>
        <v>0</v>
      </c>
      <c r="BA54" s="594">
        <f t="shared" si="55"/>
        <v>0</v>
      </c>
      <c r="BB54" s="593">
        <f t="shared" si="56"/>
        <v>0</v>
      </c>
      <c r="BC54" s="593">
        <f t="shared" si="9"/>
        <v>0</v>
      </c>
      <c r="BD54" s="593">
        <f t="shared" si="10"/>
        <v>0</v>
      </c>
      <c r="BE54" s="593">
        <f t="shared" si="11"/>
        <v>0</v>
      </c>
      <c r="BF54" s="593">
        <f t="shared" si="12"/>
        <v>0</v>
      </c>
      <c r="BG54" s="593">
        <f t="shared" si="13"/>
        <v>0</v>
      </c>
      <c r="BH54" s="593">
        <f t="shared" si="14"/>
        <v>0</v>
      </c>
      <c r="BI54" s="593">
        <f t="shared" si="15"/>
        <v>0</v>
      </c>
      <c r="BJ54" s="593">
        <f t="shared" si="16"/>
        <v>0</v>
      </c>
      <c r="BK54" s="593">
        <f t="shared" si="17"/>
        <v>0</v>
      </c>
      <c r="BL54" s="593">
        <f t="shared" si="18"/>
        <v>0</v>
      </c>
      <c r="BM54" s="593">
        <f t="shared" si="19"/>
        <v>0</v>
      </c>
      <c r="BN54" s="593">
        <f t="shared" si="20"/>
        <v>0</v>
      </c>
      <c r="BO54" s="593">
        <f t="shared" si="21"/>
        <v>0</v>
      </c>
      <c r="BP54" s="593">
        <f t="shared" si="22"/>
        <v>0</v>
      </c>
      <c r="BQ54" s="593">
        <f t="shared" si="23"/>
        <v>0</v>
      </c>
      <c r="BR54" s="593">
        <f t="shared" si="24"/>
        <v>0</v>
      </c>
      <c r="BS54" s="593">
        <f t="shared" si="25"/>
        <v>0</v>
      </c>
      <c r="BT54" s="593">
        <f t="shared" si="26"/>
        <v>0</v>
      </c>
      <c r="BU54" s="593">
        <f t="shared" si="27"/>
        <v>0</v>
      </c>
      <c r="BV54" s="593">
        <f t="shared" si="28"/>
        <v>0</v>
      </c>
      <c r="BW54" s="593">
        <f t="shared" si="29"/>
        <v>0</v>
      </c>
      <c r="BX54" s="593">
        <f t="shared" si="30"/>
        <v>0</v>
      </c>
      <c r="BY54" s="593">
        <f t="shared" si="31"/>
        <v>0</v>
      </c>
      <c r="BZ54" s="593">
        <f t="shared" si="32"/>
        <v>0</v>
      </c>
      <c r="CA54" s="593">
        <f t="shared" si="33"/>
        <v>0</v>
      </c>
      <c r="CB54" s="593">
        <f t="shared" si="34"/>
        <v>0</v>
      </c>
      <c r="CC54" s="593">
        <f t="shared" si="35"/>
        <v>0</v>
      </c>
      <c r="CD54" s="593">
        <f t="shared" si="36"/>
        <v>0</v>
      </c>
      <c r="CE54" s="593">
        <f t="shared" si="37"/>
        <v>0</v>
      </c>
      <c r="CF54" s="595">
        <f t="shared" si="38"/>
        <v>0</v>
      </c>
      <c r="CG54" s="555" t="str">
        <f t="shared" si="39"/>
        <v/>
      </c>
      <c r="CH54" s="530" t="str">
        <f t="shared" si="40"/>
        <v/>
      </c>
      <c r="CI54" s="530" t="str">
        <f t="shared" si="41"/>
        <v/>
      </c>
      <c r="CJ54" s="530" t="str">
        <f t="shared" si="42"/>
        <v/>
      </c>
      <c r="CK54" s="530" t="str">
        <f t="shared" si="43"/>
        <v/>
      </c>
      <c r="CL54" s="530" t="str">
        <f t="shared" si="44"/>
        <v/>
      </c>
      <c r="CM54" s="82" t="str">
        <f t="shared" si="45"/>
        <v/>
      </c>
      <c r="CN54" s="496" t="str">
        <f t="shared" si="57"/>
        <v/>
      </c>
      <c r="CO54" s="496" t="str">
        <f t="shared" si="52"/>
        <v>0</v>
      </c>
      <c r="CP54" s="491">
        <f t="shared" si="47"/>
        <v>0</v>
      </c>
      <c r="CS54" s="496">
        <f t="shared" si="48"/>
        <v>0</v>
      </c>
      <c r="CT54" s="496">
        <f t="shared" si="49"/>
        <v>0</v>
      </c>
      <c r="CU54" s="497" t="str">
        <f t="shared" si="50"/>
        <v>00</v>
      </c>
    </row>
    <row r="55" spans="1:99" ht="15" hidden="1" customHeight="1">
      <c r="A55" s="951">
        <v>52</v>
      </c>
      <c r="B55" s="1016"/>
      <c r="C55" s="922"/>
      <c r="D55" s="923"/>
      <c r="E55" s="913"/>
      <c r="F55" s="914"/>
      <c r="G55" s="1051"/>
      <c r="H55" s="921"/>
      <c r="I55" s="917"/>
      <c r="J55" s="916"/>
      <c r="K55" s="1012"/>
      <c r="L55" s="1012"/>
      <c r="M55" s="1017"/>
      <c r="N55" s="947"/>
      <c r="O55" s="406" t="str">
        <f t="shared" si="51"/>
        <v/>
      </c>
      <c r="P55" s="407" t="str">
        <f>IF(O55="","",VLOOKUP(O55,所属コード!$A$2:$E$11,2,FALSE))</f>
        <v/>
      </c>
      <c r="Q55" s="1033" t="str">
        <f>IF(O55="","",VLOOKUP(O55,所属コード!$A$2:$G$11,7,FALSE))</f>
        <v/>
      </c>
      <c r="R55" s="1035"/>
      <c r="S55" s="77"/>
      <c r="T55" s="77"/>
      <c r="U55" s="77"/>
      <c r="V55" s="15"/>
      <c r="X55" s="488"/>
      <c r="Y55" s="945" t="str">
        <f t="shared" si="6"/>
        <v/>
      </c>
      <c r="Z55" s="489" t="str">
        <f t="shared" si="7"/>
        <v/>
      </c>
      <c r="AA55" s="488"/>
      <c r="AB55" s="488"/>
      <c r="AC55" s="488"/>
      <c r="AD55" s="488"/>
      <c r="AE55" s="488"/>
      <c r="AF55" s="488"/>
      <c r="AG55" s="491"/>
      <c r="AH55" s="591"/>
      <c r="AI55" s="592"/>
      <c r="AJ55" s="592"/>
      <c r="AK55" s="592"/>
      <c r="AL55" s="592"/>
      <c r="AM55" s="592"/>
      <c r="AN55" s="592"/>
      <c r="AO55" s="592"/>
      <c r="AP55" s="592"/>
      <c r="AQ55" s="592"/>
      <c r="AR55" s="592"/>
      <c r="AS55" s="592"/>
      <c r="AT55" s="592"/>
      <c r="AU55" s="592"/>
      <c r="AV55" s="592"/>
      <c r="AW55" s="604"/>
      <c r="AX55" s="609">
        <f t="shared" si="8"/>
        <v>0</v>
      </c>
      <c r="AY55" s="602">
        <f t="shared" si="53"/>
        <v>0</v>
      </c>
      <c r="AZ55" s="593">
        <f t="shared" si="54"/>
        <v>0</v>
      </c>
      <c r="BA55" s="594">
        <f t="shared" si="55"/>
        <v>0</v>
      </c>
      <c r="BB55" s="593">
        <f t="shared" si="56"/>
        <v>0</v>
      </c>
      <c r="BC55" s="593">
        <f t="shared" si="9"/>
        <v>0</v>
      </c>
      <c r="BD55" s="593">
        <f t="shared" si="10"/>
        <v>0</v>
      </c>
      <c r="BE55" s="593">
        <f t="shared" si="11"/>
        <v>0</v>
      </c>
      <c r="BF55" s="593">
        <f t="shared" si="12"/>
        <v>0</v>
      </c>
      <c r="BG55" s="593">
        <f t="shared" si="13"/>
        <v>0</v>
      </c>
      <c r="BH55" s="593">
        <f t="shared" si="14"/>
        <v>0</v>
      </c>
      <c r="BI55" s="593">
        <f t="shared" si="15"/>
        <v>0</v>
      </c>
      <c r="BJ55" s="593">
        <f t="shared" si="16"/>
        <v>0</v>
      </c>
      <c r="BK55" s="593">
        <f t="shared" si="17"/>
        <v>0</v>
      </c>
      <c r="BL55" s="593">
        <f t="shared" si="18"/>
        <v>0</v>
      </c>
      <c r="BM55" s="593">
        <f t="shared" si="19"/>
        <v>0</v>
      </c>
      <c r="BN55" s="593">
        <f t="shared" si="20"/>
        <v>0</v>
      </c>
      <c r="BO55" s="593">
        <f t="shared" si="21"/>
        <v>0</v>
      </c>
      <c r="BP55" s="593">
        <f t="shared" si="22"/>
        <v>0</v>
      </c>
      <c r="BQ55" s="593">
        <f t="shared" si="23"/>
        <v>0</v>
      </c>
      <c r="BR55" s="593">
        <f t="shared" si="24"/>
        <v>0</v>
      </c>
      <c r="BS55" s="593">
        <f t="shared" si="25"/>
        <v>0</v>
      </c>
      <c r="BT55" s="593">
        <f t="shared" si="26"/>
        <v>0</v>
      </c>
      <c r="BU55" s="593">
        <f t="shared" si="27"/>
        <v>0</v>
      </c>
      <c r="BV55" s="593">
        <f t="shared" si="28"/>
        <v>0</v>
      </c>
      <c r="BW55" s="593">
        <f t="shared" si="29"/>
        <v>0</v>
      </c>
      <c r="BX55" s="593">
        <f t="shared" si="30"/>
        <v>0</v>
      </c>
      <c r="BY55" s="593">
        <f t="shared" si="31"/>
        <v>0</v>
      </c>
      <c r="BZ55" s="593">
        <f t="shared" si="32"/>
        <v>0</v>
      </c>
      <c r="CA55" s="593">
        <f t="shared" si="33"/>
        <v>0</v>
      </c>
      <c r="CB55" s="593">
        <f t="shared" si="34"/>
        <v>0</v>
      </c>
      <c r="CC55" s="593">
        <f t="shared" si="35"/>
        <v>0</v>
      </c>
      <c r="CD55" s="593">
        <f t="shared" si="36"/>
        <v>0</v>
      </c>
      <c r="CE55" s="593">
        <f t="shared" si="37"/>
        <v>0</v>
      </c>
      <c r="CF55" s="595">
        <f t="shared" si="38"/>
        <v>0</v>
      </c>
      <c r="CG55" s="555" t="str">
        <f t="shared" si="39"/>
        <v/>
      </c>
      <c r="CH55" s="530" t="str">
        <f t="shared" si="40"/>
        <v/>
      </c>
      <c r="CI55" s="530" t="str">
        <f t="shared" si="41"/>
        <v/>
      </c>
      <c r="CJ55" s="530" t="str">
        <f t="shared" si="42"/>
        <v/>
      </c>
      <c r="CK55" s="530" t="str">
        <f t="shared" si="43"/>
        <v/>
      </c>
      <c r="CL55" s="530" t="str">
        <f t="shared" si="44"/>
        <v/>
      </c>
      <c r="CM55" s="82" t="str">
        <f t="shared" si="45"/>
        <v/>
      </c>
      <c r="CN55" s="496" t="str">
        <f t="shared" si="57"/>
        <v/>
      </c>
      <c r="CO55" s="496" t="str">
        <f t="shared" si="52"/>
        <v>0</v>
      </c>
      <c r="CP55" s="491">
        <f t="shared" si="47"/>
        <v>0</v>
      </c>
      <c r="CS55" s="496">
        <f t="shared" si="48"/>
        <v>0</v>
      </c>
      <c r="CT55" s="496">
        <f t="shared" si="49"/>
        <v>0</v>
      </c>
      <c r="CU55" s="497" t="str">
        <f t="shared" si="50"/>
        <v>00</v>
      </c>
    </row>
    <row r="56" spans="1:99" ht="15" hidden="1" customHeight="1">
      <c r="A56" s="951">
        <v>53</v>
      </c>
      <c r="B56" s="1016"/>
      <c r="C56" s="922"/>
      <c r="D56" s="923"/>
      <c r="E56" s="913"/>
      <c r="F56" s="914"/>
      <c r="G56" s="1051"/>
      <c r="H56" s="921"/>
      <c r="I56" s="917"/>
      <c r="J56" s="916"/>
      <c r="K56" s="1012"/>
      <c r="L56" s="1012"/>
      <c r="M56" s="1017"/>
      <c r="N56" s="947"/>
      <c r="O56" s="406" t="str">
        <f t="shared" si="51"/>
        <v/>
      </c>
      <c r="P56" s="407" t="str">
        <f>IF(O56="","",VLOOKUP(O56,所属コード!$A$2:$E$11,2,FALSE))</f>
        <v/>
      </c>
      <c r="Q56" s="1033" t="str">
        <f>IF(O56="","",VLOOKUP(O56,所属コード!$A$2:$G$11,7,FALSE))</f>
        <v/>
      </c>
      <c r="R56" s="1035"/>
      <c r="S56" s="77"/>
      <c r="T56" s="77"/>
      <c r="U56" s="77"/>
      <c r="V56" s="15"/>
      <c r="X56" s="488"/>
      <c r="Y56" s="945" t="str">
        <f t="shared" si="6"/>
        <v/>
      </c>
      <c r="Z56" s="489" t="str">
        <f t="shared" si="7"/>
        <v/>
      </c>
      <c r="AA56" s="488"/>
      <c r="AB56" s="488"/>
      <c r="AC56" s="488"/>
      <c r="AD56" s="488"/>
      <c r="AE56" s="488"/>
      <c r="AF56" s="488"/>
      <c r="AG56" s="491"/>
      <c r="AH56" s="591"/>
      <c r="AI56" s="592"/>
      <c r="AJ56" s="592"/>
      <c r="AK56" s="592"/>
      <c r="AL56" s="592"/>
      <c r="AM56" s="592"/>
      <c r="AN56" s="592"/>
      <c r="AO56" s="592"/>
      <c r="AP56" s="592"/>
      <c r="AQ56" s="592"/>
      <c r="AR56" s="592"/>
      <c r="AS56" s="592"/>
      <c r="AT56" s="592"/>
      <c r="AU56" s="592"/>
      <c r="AV56" s="592"/>
      <c r="AW56" s="604"/>
      <c r="AX56" s="609">
        <f t="shared" si="8"/>
        <v>0</v>
      </c>
      <c r="AY56" s="602">
        <f t="shared" si="53"/>
        <v>0</v>
      </c>
      <c r="AZ56" s="593">
        <f t="shared" si="54"/>
        <v>0</v>
      </c>
      <c r="BA56" s="594">
        <f t="shared" si="55"/>
        <v>0</v>
      </c>
      <c r="BB56" s="593">
        <f t="shared" si="56"/>
        <v>0</v>
      </c>
      <c r="BC56" s="593">
        <f t="shared" si="9"/>
        <v>0</v>
      </c>
      <c r="BD56" s="593">
        <f t="shared" si="10"/>
        <v>0</v>
      </c>
      <c r="BE56" s="593">
        <f t="shared" si="11"/>
        <v>0</v>
      </c>
      <c r="BF56" s="593">
        <f t="shared" si="12"/>
        <v>0</v>
      </c>
      <c r="BG56" s="593">
        <f t="shared" si="13"/>
        <v>0</v>
      </c>
      <c r="BH56" s="593">
        <f t="shared" si="14"/>
        <v>0</v>
      </c>
      <c r="BI56" s="593">
        <f t="shared" si="15"/>
        <v>0</v>
      </c>
      <c r="BJ56" s="593">
        <f t="shared" si="16"/>
        <v>0</v>
      </c>
      <c r="BK56" s="593">
        <f t="shared" si="17"/>
        <v>0</v>
      </c>
      <c r="BL56" s="593">
        <f t="shared" si="18"/>
        <v>0</v>
      </c>
      <c r="BM56" s="593">
        <f t="shared" si="19"/>
        <v>0</v>
      </c>
      <c r="BN56" s="593">
        <f t="shared" si="20"/>
        <v>0</v>
      </c>
      <c r="BO56" s="593">
        <f t="shared" si="21"/>
        <v>0</v>
      </c>
      <c r="BP56" s="593">
        <f t="shared" si="22"/>
        <v>0</v>
      </c>
      <c r="BQ56" s="593">
        <f t="shared" si="23"/>
        <v>0</v>
      </c>
      <c r="BR56" s="593">
        <f t="shared" si="24"/>
        <v>0</v>
      </c>
      <c r="BS56" s="593">
        <f t="shared" si="25"/>
        <v>0</v>
      </c>
      <c r="BT56" s="593">
        <f t="shared" si="26"/>
        <v>0</v>
      </c>
      <c r="BU56" s="593">
        <f t="shared" si="27"/>
        <v>0</v>
      </c>
      <c r="BV56" s="593">
        <f t="shared" si="28"/>
        <v>0</v>
      </c>
      <c r="BW56" s="593">
        <f t="shared" si="29"/>
        <v>0</v>
      </c>
      <c r="BX56" s="593">
        <f t="shared" si="30"/>
        <v>0</v>
      </c>
      <c r="BY56" s="593">
        <f t="shared" si="31"/>
        <v>0</v>
      </c>
      <c r="BZ56" s="593">
        <f t="shared" si="32"/>
        <v>0</v>
      </c>
      <c r="CA56" s="593">
        <f t="shared" si="33"/>
        <v>0</v>
      </c>
      <c r="CB56" s="593">
        <f t="shared" si="34"/>
        <v>0</v>
      </c>
      <c r="CC56" s="593">
        <f t="shared" si="35"/>
        <v>0</v>
      </c>
      <c r="CD56" s="593">
        <f t="shared" si="36"/>
        <v>0</v>
      </c>
      <c r="CE56" s="593">
        <f t="shared" si="37"/>
        <v>0</v>
      </c>
      <c r="CF56" s="595">
        <f t="shared" si="38"/>
        <v>0</v>
      </c>
      <c r="CG56" s="555" t="str">
        <f t="shared" si="39"/>
        <v/>
      </c>
      <c r="CH56" s="530" t="str">
        <f t="shared" si="40"/>
        <v/>
      </c>
      <c r="CI56" s="530" t="str">
        <f t="shared" si="41"/>
        <v/>
      </c>
      <c r="CJ56" s="530" t="str">
        <f t="shared" si="42"/>
        <v/>
      </c>
      <c r="CK56" s="530" t="str">
        <f t="shared" si="43"/>
        <v/>
      </c>
      <c r="CL56" s="530" t="str">
        <f t="shared" si="44"/>
        <v/>
      </c>
      <c r="CM56" s="82" t="str">
        <f t="shared" si="45"/>
        <v/>
      </c>
      <c r="CN56" s="496" t="str">
        <f t="shared" si="57"/>
        <v/>
      </c>
      <c r="CO56" s="496" t="str">
        <f t="shared" si="52"/>
        <v>0</v>
      </c>
      <c r="CP56" s="491">
        <f t="shared" si="47"/>
        <v>0</v>
      </c>
      <c r="CS56" s="496">
        <f t="shared" si="48"/>
        <v>0</v>
      </c>
      <c r="CT56" s="496">
        <f t="shared" si="49"/>
        <v>0</v>
      </c>
      <c r="CU56" s="497" t="str">
        <f t="shared" si="50"/>
        <v>00</v>
      </c>
    </row>
    <row r="57" spans="1:99" ht="15" hidden="1" customHeight="1">
      <c r="A57" s="951">
        <v>54</v>
      </c>
      <c r="B57" s="1016"/>
      <c r="C57" s="922"/>
      <c r="D57" s="923"/>
      <c r="E57" s="913"/>
      <c r="F57" s="914"/>
      <c r="G57" s="1051"/>
      <c r="H57" s="921"/>
      <c r="I57" s="917"/>
      <c r="J57" s="916"/>
      <c r="K57" s="1012"/>
      <c r="L57" s="1012"/>
      <c r="M57" s="1017"/>
      <c r="N57" s="947"/>
      <c r="O57" s="406" t="str">
        <f t="shared" si="51"/>
        <v/>
      </c>
      <c r="P57" s="407" t="str">
        <f>IF(O57="","",VLOOKUP(O57,所属コード!$A$2:$E$11,2,FALSE))</f>
        <v/>
      </c>
      <c r="Q57" s="1033" t="str">
        <f>IF(O57="","",VLOOKUP(O57,所属コード!$A$2:$G$11,7,FALSE))</f>
        <v/>
      </c>
      <c r="R57" s="1035"/>
      <c r="S57" s="77"/>
      <c r="T57" s="77"/>
      <c r="U57" s="77"/>
      <c r="V57" s="15"/>
      <c r="X57" s="488"/>
      <c r="Y57" s="945" t="str">
        <f t="shared" si="6"/>
        <v/>
      </c>
      <c r="Z57" s="489" t="str">
        <f t="shared" si="7"/>
        <v/>
      </c>
      <c r="AA57" s="488"/>
      <c r="AB57" s="488"/>
      <c r="AC57" s="488"/>
      <c r="AD57" s="488"/>
      <c r="AE57" s="488"/>
      <c r="AF57" s="488"/>
      <c r="AG57" s="491"/>
      <c r="AH57" s="591"/>
      <c r="AI57" s="592"/>
      <c r="AJ57" s="592"/>
      <c r="AK57" s="592"/>
      <c r="AL57" s="592"/>
      <c r="AM57" s="592"/>
      <c r="AN57" s="592"/>
      <c r="AO57" s="592"/>
      <c r="AP57" s="592"/>
      <c r="AQ57" s="592"/>
      <c r="AR57" s="592"/>
      <c r="AS57" s="592"/>
      <c r="AT57" s="592"/>
      <c r="AU57" s="592"/>
      <c r="AV57" s="592"/>
      <c r="AW57" s="604"/>
      <c r="AX57" s="609">
        <f t="shared" si="8"/>
        <v>0</v>
      </c>
      <c r="AY57" s="602">
        <f t="shared" si="53"/>
        <v>0</v>
      </c>
      <c r="AZ57" s="593">
        <f t="shared" si="54"/>
        <v>0</v>
      </c>
      <c r="BA57" s="594">
        <f t="shared" si="55"/>
        <v>0</v>
      </c>
      <c r="BB57" s="593">
        <f t="shared" si="56"/>
        <v>0</v>
      </c>
      <c r="BC57" s="593">
        <f t="shared" si="9"/>
        <v>0</v>
      </c>
      <c r="BD57" s="593">
        <f t="shared" si="10"/>
        <v>0</v>
      </c>
      <c r="BE57" s="593">
        <f t="shared" si="11"/>
        <v>0</v>
      </c>
      <c r="BF57" s="593">
        <f t="shared" si="12"/>
        <v>0</v>
      </c>
      <c r="BG57" s="593">
        <f t="shared" si="13"/>
        <v>0</v>
      </c>
      <c r="BH57" s="593">
        <f t="shared" si="14"/>
        <v>0</v>
      </c>
      <c r="BI57" s="593">
        <f t="shared" si="15"/>
        <v>0</v>
      </c>
      <c r="BJ57" s="593">
        <f t="shared" si="16"/>
        <v>0</v>
      </c>
      <c r="BK57" s="593">
        <f t="shared" si="17"/>
        <v>0</v>
      </c>
      <c r="BL57" s="593">
        <f t="shared" si="18"/>
        <v>0</v>
      </c>
      <c r="BM57" s="593">
        <f t="shared" si="19"/>
        <v>0</v>
      </c>
      <c r="BN57" s="593">
        <f t="shared" si="20"/>
        <v>0</v>
      </c>
      <c r="BO57" s="593">
        <f t="shared" si="21"/>
        <v>0</v>
      </c>
      <c r="BP57" s="593">
        <f t="shared" si="22"/>
        <v>0</v>
      </c>
      <c r="BQ57" s="593">
        <f t="shared" si="23"/>
        <v>0</v>
      </c>
      <c r="BR57" s="593">
        <f t="shared" si="24"/>
        <v>0</v>
      </c>
      <c r="BS57" s="593">
        <f t="shared" si="25"/>
        <v>0</v>
      </c>
      <c r="BT57" s="593">
        <f t="shared" si="26"/>
        <v>0</v>
      </c>
      <c r="BU57" s="593">
        <f t="shared" si="27"/>
        <v>0</v>
      </c>
      <c r="BV57" s="593">
        <f t="shared" si="28"/>
        <v>0</v>
      </c>
      <c r="BW57" s="593">
        <f t="shared" si="29"/>
        <v>0</v>
      </c>
      <c r="BX57" s="593">
        <f t="shared" si="30"/>
        <v>0</v>
      </c>
      <c r="BY57" s="593">
        <f t="shared" si="31"/>
        <v>0</v>
      </c>
      <c r="BZ57" s="593">
        <f t="shared" si="32"/>
        <v>0</v>
      </c>
      <c r="CA57" s="593">
        <f t="shared" si="33"/>
        <v>0</v>
      </c>
      <c r="CB57" s="593">
        <f t="shared" si="34"/>
        <v>0</v>
      </c>
      <c r="CC57" s="593">
        <f t="shared" si="35"/>
        <v>0</v>
      </c>
      <c r="CD57" s="593">
        <f t="shared" si="36"/>
        <v>0</v>
      </c>
      <c r="CE57" s="593">
        <f t="shared" si="37"/>
        <v>0</v>
      </c>
      <c r="CF57" s="595">
        <f t="shared" si="38"/>
        <v>0</v>
      </c>
      <c r="CG57" s="555" t="str">
        <f t="shared" si="39"/>
        <v/>
      </c>
      <c r="CH57" s="530" t="str">
        <f t="shared" si="40"/>
        <v/>
      </c>
      <c r="CI57" s="530" t="str">
        <f t="shared" si="41"/>
        <v/>
      </c>
      <c r="CJ57" s="530" t="str">
        <f t="shared" si="42"/>
        <v/>
      </c>
      <c r="CK57" s="530" t="str">
        <f t="shared" si="43"/>
        <v/>
      </c>
      <c r="CL57" s="530" t="str">
        <f t="shared" si="44"/>
        <v/>
      </c>
      <c r="CM57" s="82" t="str">
        <f t="shared" si="45"/>
        <v/>
      </c>
      <c r="CN57" s="496" t="str">
        <f t="shared" si="57"/>
        <v/>
      </c>
      <c r="CO57" s="496" t="str">
        <f t="shared" si="52"/>
        <v>0</v>
      </c>
      <c r="CP57" s="491">
        <f t="shared" si="47"/>
        <v>0</v>
      </c>
      <c r="CS57" s="496">
        <f t="shared" si="48"/>
        <v>0</v>
      </c>
      <c r="CT57" s="496">
        <f t="shared" si="49"/>
        <v>0</v>
      </c>
      <c r="CU57" s="497" t="str">
        <f t="shared" si="50"/>
        <v>00</v>
      </c>
    </row>
    <row r="58" spans="1:99" ht="15" hidden="1" customHeight="1">
      <c r="A58" s="951">
        <v>55</v>
      </c>
      <c r="B58" s="1016"/>
      <c r="C58" s="922"/>
      <c r="D58" s="923"/>
      <c r="E58" s="913"/>
      <c r="F58" s="914"/>
      <c r="G58" s="1051"/>
      <c r="H58" s="921"/>
      <c r="I58" s="917"/>
      <c r="J58" s="916"/>
      <c r="K58" s="1012"/>
      <c r="L58" s="1012"/>
      <c r="M58" s="1017"/>
      <c r="N58" s="947"/>
      <c r="O58" s="406" t="str">
        <f t="shared" si="51"/>
        <v/>
      </c>
      <c r="P58" s="407" t="str">
        <f>IF(O58="","",VLOOKUP(O58,所属コード!$A$2:$E$11,2,FALSE))</f>
        <v/>
      </c>
      <c r="Q58" s="1033" t="str">
        <f>IF(O58="","",VLOOKUP(O58,所属コード!$A$2:$G$11,7,FALSE))</f>
        <v/>
      </c>
      <c r="R58" s="1035"/>
      <c r="S58" s="77"/>
      <c r="T58" s="77"/>
      <c r="U58" s="77"/>
      <c r="V58" s="15"/>
      <c r="X58" s="488"/>
      <c r="Y58" s="945" t="str">
        <f t="shared" si="6"/>
        <v/>
      </c>
      <c r="Z58" s="489" t="str">
        <f t="shared" si="7"/>
        <v/>
      </c>
      <c r="AA58" s="488"/>
      <c r="AB58" s="488"/>
      <c r="AC58" s="488"/>
      <c r="AD58" s="488"/>
      <c r="AE58" s="488"/>
      <c r="AF58" s="488"/>
      <c r="AG58" s="491"/>
      <c r="AH58" s="591"/>
      <c r="AI58" s="592"/>
      <c r="AJ58" s="592"/>
      <c r="AK58" s="592"/>
      <c r="AL58" s="592"/>
      <c r="AM58" s="592"/>
      <c r="AN58" s="592"/>
      <c r="AO58" s="592"/>
      <c r="AP58" s="592"/>
      <c r="AQ58" s="592"/>
      <c r="AR58" s="592"/>
      <c r="AS58" s="592"/>
      <c r="AT58" s="592"/>
      <c r="AU58" s="592"/>
      <c r="AV58" s="592"/>
      <c r="AW58" s="604"/>
      <c r="AX58" s="609">
        <f t="shared" si="8"/>
        <v>0</v>
      </c>
      <c r="AY58" s="602">
        <f t="shared" si="53"/>
        <v>0</v>
      </c>
      <c r="AZ58" s="593">
        <f t="shared" si="54"/>
        <v>0</v>
      </c>
      <c r="BA58" s="594">
        <f t="shared" si="55"/>
        <v>0</v>
      </c>
      <c r="BB58" s="593">
        <f t="shared" si="56"/>
        <v>0</v>
      </c>
      <c r="BC58" s="593">
        <f t="shared" si="9"/>
        <v>0</v>
      </c>
      <c r="BD58" s="593">
        <f t="shared" si="10"/>
        <v>0</v>
      </c>
      <c r="BE58" s="593">
        <f t="shared" si="11"/>
        <v>0</v>
      </c>
      <c r="BF58" s="593">
        <f t="shared" si="12"/>
        <v>0</v>
      </c>
      <c r="BG58" s="593">
        <f t="shared" si="13"/>
        <v>0</v>
      </c>
      <c r="BH58" s="593">
        <f t="shared" si="14"/>
        <v>0</v>
      </c>
      <c r="BI58" s="593">
        <f t="shared" si="15"/>
        <v>0</v>
      </c>
      <c r="BJ58" s="593">
        <f t="shared" si="16"/>
        <v>0</v>
      </c>
      <c r="BK58" s="593">
        <f t="shared" si="17"/>
        <v>0</v>
      </c>
      <c r="BL58" s="593">
        <f t="shared" si="18"/>
        <v>0</v>
      </c>
      <c r="BM58" s="593">
        <f t="shared" si="19"/>
        <v>0</v>
      </c>
      <c r="BN58" s="593">
        <f t="shared" si="20"/>
        <v>0</v>
      </c>
      <c r="BO58" s="593">
        <f t="shared" si="21"/>
        <v>0</v>
      </c>
      <c r="BP58" s="593">
        <f t="shared" si="22"/>
        <v>0</v>
      </c>
      <c r="BQ58" s="593">
        <f t="shared" si="23"/>
        <v>0</v>
      </c>
      <c r="BR58" s="593">
        <f t="shared" si="24"/>
        <v>0</v>
      </c>
      <c r="BS58" s="593">
        <f t="shared" si="25"/>
        <v>0</v>
      </c>
      <c r="BT58" s="593">
        <f t="shared" si="26"/>
        <v>0</v>
      </c>
      <c r="BU58" s="593">
        <f t="shared" si="27"/>
        <v>0</v>
      </c>
      <c r="BV58" s="593">
        <f t="shared" si="28"/>
        <v>0</v>
      </c>
      <c r="BW58" s="593">
        <f t="shared" si="29"/>
        <v>0</v>
      </c>
      <c r="BX58" s="593">
        <f t="shared" si="30"/>
        <v>0</v>
      </c>
      <c r="BY58" s="593">
        <f t="shared" si="31"/>
        <v>0</v>
      </c>
      <c r="BZ58" s="593">
        <f t="shared" si="32"/>
        <v>0</v>
      </c>
      <c r="CA58" s="593">
        <f t="shared" si="33"/>
        <v>0</v>
      </c>
      <c r="CB58" s="593">
        <f t="shared" si="34"/>
        <v>0</v>
      </c>
      <c r="CC58" s="593">
        <f t="shared" si="35"/>
        <v>0</v>
      </c>
      <c r="CD58" s="593">
        <f t="shared" si="36"/>
        <v>0</v>
      </c>
      <c r="CE58" s="593">
        <f t="shared" si="37"/>
        <v>0</v>
      </c>
      <c r="CF58" s="595">
        <f t="shared" si="38"/>
        <v>0</v>
      </c>
      <c r="CG58" s="555" t="str">
        <f t="shared" si="39"/>
        <v/>
      </c>
      <c r="CH58" s="530" t="str">
        <f t="shared" si="40"/>
        <v/>
      </c>
      <c r="CI58" s="530" t="str">
        <f t="shared" si="41"/>
        <v/>
      </c>
      <c r="CJ58" s="530" t="str">
        <f t="shared" si="42"/>
        <v/>
      </c>
      <c r="CK58" s="530" t="str">
        <f t="shared" si="43"/>
        <v/>
      </c>
      <c r="CL58" s="530" t="str">
        <f t="shared" si="44"/>
        <v/>
      </c>
      <c r="CM58" s="82" t="str">
        <f t="shared" si="45"/>
        <v/>
      </c>
      <c r="CN58" s="496" t="str">
        <f t="shared" si="57"/>
        <v/>
      </c>
      <c r="CO58" s="496" t="str">
        <f t="shared" si="52"/>
        <v>0</v>
      </c>
      <c r="CP58" s="491">
        <f t="shared" si="47"/>
        <v>0</v>
      </c>
      <c r="CS58" s="496">
        <f t="shared" si="48"/>
        <v>0</v>
      </c>
      <c r="CT58" s="496">
        <f t="shared" si="49"/>
        <v>0</v>
      </c>
      <c r="CU58" s="497" t="str">
        <f t="shared" si="50"/>
        <v>00</v>
      </c>
    </row>
    <row r="59" spans="1:99" ht="15" hidden="1" customHeight="1">
      <c r="A59" s="951">
        <v>56</v>
      </c>
      <c r="B59" s="1016"/>
      <c r="C59" s="922"/>
      <c r="D59" s="923"/>
      <c r="E59" s="913"/>
      <c r="F59" s="914"/>
      <c r="G59" s="1051"/>
      <c r="H59" s="921"/>
      <c r="I59" s="917"/>
      <c r="J59" s="916"/>
      <c r="K59" s="1012"/>
      <c r="L59" s="1012"/>
      <c r="M59" s="1017"/>
      <c r="N59" s="947"/>
      <c r="O59" s="406" t="str">
        <f t="shared" si="51"/>
        <v/>
      </c>
      <c r="P59" s="407" t="str">
        <f>IF(O59="","",VLOOKUP(O59,所属コード!$A$2:$E$11,2,FALSE))</f>
        <v/>
      </c>
      <c r="Q59" s="1033" t="str">
        <f>IF(O59="","",VLOOKUP(O59,所属コード!$A$2:$G$11,7,FALSE))</f>
        <v/>
      </c>
      <c r="R59" s="1035"/>
      <c r="S59" s="77"/>
      <c r="T59" s="77"/>
      <c r="U59" s="77"/>
      <c r="V59" s="15"/>
      <c r="X59" s="488"/>
      <c r="Y59" s="945" t="str">
        <f t="shared" si="6"/>
        <v/>
      </c>
      <c r="Z59" s="489" t="str">
        <f t="shared" si="7"/>
        <v/>
      </c>
      <c r="AA59" s="488"/>
      <c r="AB59" s="488"/>
      <c r="AC59" s="488"/>
      <c r="AD59" s="488"/>
      <c r="AE59" s="488"/>
      <c r="AF59" s="488"/>
      <c r="AG59" s="491"/>
      <c r="AH59" s="591"/>
      <c r="AI59" s="592"/>
      <c r="AJ59" s="592"/>
      <c r="AK59" s="592"/>
      <c r="AL59" s="592"/>
      <c r="AM59" s="592"/>
      <c r="AN59" s="592"/>
      <c r="AO59" s="592"/>
      <c r="AP59" s="592"/>
      <c r="AQ59" s="592"/>
      <c r="AR59" s="592"/>
      <c r="AS59" s="592"/>
      <c r="AT59" s="592"/>
      <c r="AU59" s="592"/>
      <c r="AV59" s="592"/>
      <c r="AW59" s="604"/>
      <c r="AX59" s="609">
        <f t="shared" si="8"/>
        <v>0</v>
      </c>
      <c r="AY59" s="602">
        <f t="shared" si="53"/>
        <v>0</v>
      </c>
      <c r="AZ59" s="593">
        <f t="shared" si="54"/>
        <v>0</v>
      </c>
      <c r="BA59" s="594">
        <f t="shared" si="55"/>
        <v>0</v>
      </c>
      <c r="BB59" s="593">
        <f t="shared" si="56"/>
        <v>0</v>
      </c>
      <c r="BC59" s="593">
        <f t="shared" si="9"/>
        <v>0</v>
      </c>
      <c r="BD59" s="593">
        <f t="shared" si="10"/>
        <v>0</v>
      </c>
      <c r="BE59" s="593">
        <f t="shared" si="11"/>
        <v>0</v>
      </c>
      <c r="BF59" s="593">
        <f t="shared" si="12"/>
        <v>0</v>
      </c>
      <c r="BG59" s="593">
        <f t="shared" si="13"/>
        <v>0</v>
      </c>
      <c r="BH59" s="593">
        <f t="shared" si="14"/>
        <v>0</v>
      </c>
      <c r="BI59" s="593">
        <f t="shared" si="15"/>
        <v>0</v>
      </c>
      <c r="BJ59" s="593">
        <f t="shared" si="16"/>
        <v>0</v>
      </c>
      <c r="BK59" s="593">
        <f t="shared" si="17"/>
        <v>0</v>
      </c>
      <c r="BL59" s="593">
        <f t="shared" si="18"/>
        <v>0</v>
      </c>
      <c r="BM59" s="593">
        <f t="shared" si="19"/>
        <v>0</v>
      </c>
      <c r="BN59" s="593">
        <f t="shared" si="20"/>
        <v>0</v>
      </c>
      <c r="BO59" s="593">
        <f t="shared" si="21"/>
        <v>0</v>
      </c>
      <c r="BP59" s="593">
        <f t="shared" si="22"/>
        <v>0</v>
      </c>
      <c r="BQ59" s="593">
        <f t="shared" si="23"/>
        <v>0</v>
      </c>
      <c r="BR59" s="593">
        <f t="shared" si="24"/>
        <v>0</v>
      </c>
      <c r="BS59" s="593">
        <f t="shared" si="25"/>
        <v>0</v>
      </c>
      <c r="BT59" s="593">
        <f t="shared" si="26"/>
        <v>0</v>
      </c>
      <c r="BU59" s="593">
        <f t="shared" si="27"/>
        <v>0</v>
      </c>
      <c r="BV59" s="593">
        <f t="shared" si="28"/>
        <v>0</v>
      </c>
      <c r="BW59" s="593">
        <f t="shared" si="29"/>
        <v>0</v>
      </c>
      <c r="BX59" s="593">
        <f t="shared" si="30"/>
        <v>0</v>
      </c>
      <c r="BY59" s="593">
        <f t="shared" si="31"/>
        <v>0</v>
      </c>
      <c r="BZ59" s="593">
        <f t="shared" si="32"/>
        <v>0</v>
      </c>
      <c r="CA59" s="593">
        <f t="shared" si="33"/>
        <v>0</v>
      </c>
      <c r="CB59" s="593">
        <f t="shared" si="34"/>
        <v>0</v>
      </c>
      <c r="CC59" s="593">
        <f t="shared" si="35"/>
        <v>0</v>
      </c>
      <c r="CD59" s="593">
        <f t="shared" si="36"/>
        <v>0</v>
      </c>
      <c r="CE59" s="593">
        <f t="shared" si="37"/>
        <v>0</v>
      </c>
      <c r="CF59" s="595">
        <f t="shared" si="38"/>
        <v>0</v>
      </c>
      <c r="CG59" s="555" t="str">
        <f t="shared" si="39"/>
        <v/>
      </c>
      <c r="CH59" s="530" t="str">
        <f t="shared" si="40"/>
        <v/>
      </c>
      <c r="CI59" s="530" t="str">
        <f t="shared" si="41"/>
        <v/>
      </c>
      <c r="CJ59" s="530" t="str">
        <f t="shared" si="42"/>
        <v/>
      </c>
      <c r="CK59" s="530" t="str">
        <f t="shared" si="43"/>
        <v/>
      </c>
      <c r="CL59" s="530" t="str">
        <f t="shared" si="44"/>
        <v/>
      </c>
      <c r="CM59" s="82" t="str">
        <f t="shared" si="45"/>
        <v/>
      </c>
      <c r="CN59" s="496" t="str">
        <f t="shared" si="57"/>
        <v/>
      </c>
      <c r="CO59" s="496" t="str">
        <f t="shared" si="52"/>
        <v>0</v>
      </c>
      <c r="CP59" s="491">
        <f t="shared" si="47"/>
        <v>0</v>
      </c>
      <c r="CS59" s="496">
        <f t="shared" si="48"/>
        <v>0</v>
      </c>
      <c r="CT59" s="496">
        <f t="shared" si="49"/>
        <v>0</v>
      </c>
      <c r="CU59" s="497" t="str">
        <f t="shared" si="50"/>
        <v>00</v>
      </c>
    </row>
    <row r="60" spans="1:99" ht="15" hidden="1" customHeight="1">
      <c r="A60" s="951">
        <v>57</v>
      </c>
      <c r="B60" s="1016"/>
      <c r="C60" s="922"/>
      <c r="D60" s="923"/>
      <c r="E60" s="913"/>
      <c r="F60" s="914"/>
      <c r="G60" s="1051"/>
      <c r="H60" s="921"/>
      <c r="I60" s="917"/>
      <c r="J60" s="916"/>
      <c r="K60" s="1012"/>
      <c r="L60" s="1012"/>
      <c r="M60" s="1017"/>
      <c r="N60" s="947"/>
      <c r="O60" s="406" t="str">
        <f t="shared" si="51"/>
        <v/>
      </c>
      <c r="P60" s="407" t="str">
        <f>IF(O60="","",VLOOKUP(O60,所属コード!$A$2:$E$11,2,FALSE))</f>
        <v/>
      </c>
      <c r="Q60" s="1033" t="str">
        <f>IF(O60="","",VLOOKUP(O60,所属コード!$A$2:$G$11,7,FALSE))</f>
        <v/>
      </c>
      <c r="R60" s="1035"/>
      <c r="S60" s="77"/>
      <c r="T60" s="77"/>
      <c r="U60" s="77"/>
      <c r="V60" s="15"/>
      <c r="X60" s="488"/>
      <c r="Y60" s="945" t="str">
        <f t="shared" si="6"/>
        <v/>
      </c>
      <c r="Z60" s="489" t="str">
        <f t="shared" si="7"/>
        <v/>
      </c>
      <c r="AA60" s="488"/>
      <c r="AB60" s="488"/>
      <c r="AC60" s="488"/>
      <c r="AD60" s="488"/>
      <c r="AE60" s="488"/>
      <c r="AF60" s="488"/>
      <c r="AG60" s="491"/>
      <c r="AH60" s="591"/>
      <c r="AI60" s="592"/>
      <c r="AJ60" s="592"/>
      <c r="AK60" s="592"/>
      <c r="AL60" s="592"/>
      <c r="AM60" s="592"/>
      <c r="AN60" s="592"/>
      <c r="AO60" s="592"/>
      <c r="AP60" s="592"/>
      <c r="AQ60" s="592"/>
      <c r="AR60" s="592"/>
      <c r="AS60" s="592"/>
      <c r="AT60" s="592"/>
      <c r="AU60" s="592"/>
      <c r="AV60" s="592"/>
      <c r="AW60" s="604"/>
      <c r="AX60" s="609">
        <f t="shared" si="8"/>
        <v>0</v>
      </c>
      <c r="AY60" s="602">
        <f t="shared" si="53"/>
        <v>0</v>
      </c>
      <c r="AZ60" s="593">
        <f t="shared" si="54"/>
        <v>0</v>
      </c>
      <c r="BA60" s="594">
        <f t="shared" si="55"/>
        <v>0</v>
      </c>
      <c r="BB60" s="593">
        <f t="shared" si="56"/>
        <v>0</v>
      </c>
      <c r="BC60" s="593">
        <f t="shared" si="9"/>
        <v>0</v>
      </c>
      <c r="BD60" s="593">
        <f t="shared" si="10"/>
        <v>0</v>
      </c>
      <c r="BE60" s="593">
        <f t="shared" si="11"/>
        <v>0</v>
      </c>
      <c r="BF60" s="593">
        <f t="shared" si="12"/>
        <v>0</v>
      </c>
      <c r="BG60" s="593">
        <f t="shared" si="13"/>
        <v>0</v>
      </c>
      <c r="BH60" s="593">
        <f t="shared" si="14"/>
        <v>0</v>
      </c>
      <c r="BI60" s="593">
        <f t="shared" si="15"/>
        <v>0</v>
      </c>
      <c r="BJ60" s="593">
        <f t="shared" si="16"/>
        <v>0</v>
      </c>
      <c r="BK60" s="593">
        <f t="shared" si="17"/>
        <v>0</v>
      </c>
      <c r="BL60" s="593">
        <f t="shared" si="18"/>
        <v>0</v>
      </c>
      <c r="BM60" s="593">
        <f t="shared" si="19"/>
        <v>0</v>
      </c>
      <c r="BN60" s="593">
        <f t="shared" si="20"/>
        <v>0</v>
      </c>
      <c r="BO60" s="593">
        <f t="shared" si="21"/>
        <v>0</v>
      </c>
      <c r="BP60" s="593">
        <f t="shared" si="22"/>
        <v>0</v>
      </c>
      <c r="BQ60" s="593">
        <f t="shared" si="23"/>
        <v>0</v>
      </c>
      <c r="BR60" s="593">
        <f t="shared" si="24"/>
        <v>0</v>
      </c>
      <c r="BS60" s="593">
        <f t="shared" si="25"/>
        <v>0</v>
      </c>
      <c r="BT60" s="593">
        <f t="shared" si="26"/>
        <v>0</v>
      </c>
      <c r="BU60" s="593">
        <f t="shared" si="27"/>
        <v>0</v>
      </c>
      <c r="BV60" s="593">
        <f t="shared" si="28"/>
        <v>0</v>
      </c>
      <c r="BW60" s="593">
        <f t="shared" si="29"/>
        <v>0</v>
      </c>
      <c r="BX60" s="593">
        <f t="shared" si="30"/>
        <v>0</v>
      </c>
      <c r="BY60" s="593">
        <f t="shared" si="31"/>
        <v>0</v>
      </c>
      <c r="BZ60" s="593">
        <f t="shared" si="32"/>
        <v>0</v>
      </c>
      <c r="CA60" s="593">
        <f t="shared" si="33"/>
        <v>0</v>
      </c>
      <c r="CB60" s="593">
        <f t="shared" si="34"/>
        <v>0</v>
      </c>
      <c r="CC60" s="593">
        <f t="shared" si="35"/>
        <v>0</v>
      </c>
      <c r="CD60" s="593">
        <f t="shared" si="36"/>
        <v>0</v>
      </c>
      <c r="CE60" s="593">
        <f t="shared" si="37"/>
        <v>0</v>
      </c>
      <c r="CF60" s="595">
        <f t="shared" si="38"/>
        <v>0</v>
      </c>
      <c r="CG60" s="555" t="str">
        <f t="shared" si="39"/>
        <v/>
      </c>
      <c r="CH60" s="530" t="str">
        <f t="shared" si="40"/>
        <v/>
      </c>
      <c r="CI60" s="530" t="str">
        <f t="shared" si="41"/>
        <v/>
      </c>
      <c r="CJ60" s="530" t="str">
        <f t="shared" si="42"/>
        <v/>
      </c>
      <c r="CK60" s="530" t="str">
        <f t="shared" si="43"/>
        <v/>
      </c>
      <c r="CL60" s="530" t="str">
        <f t="shared" si="44"/>
        <v/>
      </c>
      <c r="CM60" s="82" t="str">
        <f t="shared" si="45"/>
        <v/>
      </c>
      <c r="CN60" s="496" t="str">
        <f t="shared" si="57"/>
        <v/>
      </c>
      <c r="CO60" s="496" t="str">
        <f t="shared" si="52"/>
        <v>0</v>
      </c>
      <c r="CP60" s="491">
        <f t="shared" si="47"/>
        <v>0</v>
      </c>
      <c r="CS60" s="496">
        <f t="shared" si="48"/>
        <v>0</v>
      </c>
      <c r="CT60" s="496">
        <f t="shared" si="49"/>
        <v>0</v>
      </c>
      <c r="CU60" s="497" t="str">
        <f t="shared" si="50"/>
        <v>00</v>
      </c>
    </row>
    <row r="61" spans="1:99" ht="15" hidden="1" customHeight="1">
      <c r="A61" s="951">
        <v>58</v>
      </c>
      <c r="B61" s="1016"/>
      <c r="C61" s="922"/>
      <c r="D61" s="923"/>
      <c r="E61" s="913"/>
      <c r="F61" s="914"/>
      <c r="G61" s="1051"/>
      <c r="H61" s="921"/>
      <c r="I61" s="917"/>
      <c r="J61" s="916"/>
      <c r="K61" s="1012"/>
      <c r="L61" s="1012"/>
      <c r="M61" s="1017"/>
      <c r="N61" s="947"/>
      <c r="O61" s="406" t="str">
        <f t="shared" si="51"/>
        <v/>
      </c>
      <c r="P61" s="407" t="str">
        <f>IF(O61="","",VLOOKUP(O61,所属コード!$A$2:$E$11,2,FALSE))</f>
        <v/>
      </c>
      <c r="Q61" s="1033" t="str">
        <f>IF(O61="","",VLOOKUP(O61,所属コード!$A$2:$G$11,7,FALSE))</f>
        <v/>
      </c>
      <c r="R61" s="1035"/>
      <c r="S61" s="77"/>
      <c r="T61" s="77"/>
      <c r="U61" s="77"/>
      <c r="V61" s="15"/>
      <c r="X61" s="488"/>
      <c r="Y61" s="945" t="str">
        <f t="shared" si="6"/>
        <v/>
      </c>
      <c r="Z61" s="489" t="str">
        <f t="shared" si="7"/>
        <v/>
      </c>
      <c r="AA61" s="488"/>
      <c r="AB61" s="488"/>
      <c r="AC61" s="488"/>
      <c r="AD61" s="488"/>
      <c r="AE61" s="488"/>
      <c r="AF61" s="488"/>
      <c r="AG61" s="491"/>
      <c r="AH61" s="591"/>
      <c r="AI61" s="592"/>
      <c r="AJ61" s="592"/>
      <c r="AK61" s="592"/>
      <c r="AL61" s="592"/>
      <c r="AM61" s="592"/>
      <c r="AN61" s="592"/>
      <c r="AO61" s="592"/>
      <c r="AP61" s="592"/>
      <c r="AQ61" s="592"/>
      <c r="AR61" s="592"/>
      <c r="AS61" s="592"/>
      <c r="AT61" s="592"/>
      <c r="AU61" s="592"/>
      <c r="AV61" s="592"/>
      <c r="AW61" s="604"/>
      <c r="AX61" s="609">
        <f t="shared" si="8"/>
        <v>0</v>
      </c>
      <c r="AY61" s="602">
        <f t="shared" si="53"/>
        <v>0</v>
      </c>
      <c r="AZ61" s="593">
        <f t="shared" si="54"/>
        <v>0</v>
      </c>
      <c r="BA61" s="594">
        <f t="shared" si="55"/>
        <v>0</v>
      </c>
      <c r="BB61" s="593">
        <f t="shared" si="56"/>
        <v>0</v>
      </c>
      <c r="BC61" s="593">
        <f t="shared" si="9"/>
        <v>0</v>
      </c>
      <c r="BD61" s="593">
        <f t="shared" si="10"/>
        <v>0</v>
      </c>
      <c r="BE61" s="593">
        <f t="shared" si="11"/>
        <v>0</v>
      </c>
      <c r="BF61" s="593">
        <f t="shared" si="12"/>
        <v>0</v>
      </c>
      <c r="BG61" s="593">
        <f t="shared" si="13"/>
        <v>0</v>
      </c>
      <c r="BH61" s="593">
        <f t="shared" si="14"/>
        <v>0</v>
      </c>
      <c r="BI61" s="593">
        <f t="shared" si="15"/>
        <v>0</v>
      </c>
      <c r="BJ61" s="593">
        <f t="shared" si="16"/>
        <v>0</v>
      </c>
      <c r="BK61" s="593">
        <f t="shared" si="17"/>
        <v>0</v>
      </c>
      <c r="BL61" s="593">
        <f t="shared" si="18"/>
        <v>0</v>
      </c>
      <c r="BM61" s="593">
        <f t="shared" si="19"/>
        <v>0</v>
      </c>
      <c r="BN61" s="593">
        <f t="shared" si="20"/>
        <v>0</v>
      </c>
      <c r="BO61" s="593">
        <f t="shared" si="21"/>
        <v>0</v>
      </c>
      <c r="BP61" s="593">
        <f t="shared" si="22"/>
        <v>0</v>
      </c>
      <c r="BQ61" s="593">
        <f t="shared" si="23"/>
        <v>0</v>
      </c>
      <c r="BR61" s="593">
        <f t="shared" si="24"/>
        <v>0</v>
      </c>
      <c r="BS61" s="593">
        <f t="shared" si="25"/>
        <v>0</v>
      </c>
      <c r="BT61" s="593">
        <f t="shared" si="26"/>
        <v>0</v>
      </c>
      <c r="BU61" s="593">
        <f t="shared" si="27"/>
        <v>0</v>
      </c>
      <c r="BV61" s="593">
        <f t="shared" si="28"/>
        <v>0</v>
      </c>
      <c r="BW61" s="593">
        <f t="shared" si="29"/>
        <v>0</v>
      </c>
      <c r="BX61" s="593">
        <f t="shared" si="30"/>
        <v>0</v>
      </c>
      <c r="BY61" s="593">
        <f t="shared" si="31"/>
        <v>0</v>
      </c>
      <c r="BZ61" s="593">
        <f t="shared" si="32"/>
        <v>0</v>
      </c>
      <c r="CA61" s="593">
        <f t="shared" si="33"/>
        <v>0</v>
      </c>
      <c r="CB61" s="593">
        <f t="shared" si="34"/>
        <v>0</v>
      </c>
      <c r="CC61" s="593">
        <f t="shared" si="35"/>
        <v>0</v>
      </c>
      <c r="CD61" s="593">
        <f t="shared" si="36"/>
        <v>0</v>
      </c>
      <c r="CE61" s="593">
        <f t="shared" si="37"/>
        <v>0</v>
      </c>
      <c r="CF61" s="595">
        <f t="shared" si="38"/>
        <v>0</v>
      </c>
      <c r="CG61" s="555" t="str">
        <f t="shared" si="39"/>
        <v/>
      </c>
      <c r="CH61" s="530" t="str">
        <f t="shared" si="40"/>
        <v/>
      </c>
      <c r="CI61" s="530" t="str">
        <f t="shared" si="41"/>
        <v/>
      </c>
      <c r="CJ61" s="530" t="str">
        <f t="shared" si="42"/>
        <v/>
      </c>
      <c r="CK61" s="530" t="str">
        <f t="shared" si="43"/>
        <v/>
      </c>
      <c r="CL61" s="530" t="str">
        <f t="shared" si="44"/>
        <v/>
      </c>
      <c r="CM61" s="82" t="str">
        <f t="shared" si="45"/>
        <v/>
      </c>
      <c r="CN61" s="496" t="str">
        <f t="shared" si="57"/>
        <v/>
      </c>
      <c r="CO61" s="496" t="str">
        <f t="shared" si="52"/>
        <v>0</v>
      </c>
      <c r="CP61" s="491">
        <f t="shared" si="47"/>
        <v>0</v>
      </c>
      <c r="CS61" s="496">
        <f t="shared" si="48"/>
        <v>0</v>
      </c>
      <c r="CT61" s="496">
        <f t="shared" si="49"/>
        <v>0</v>
      </c>
      <c r="CU61" s="497" t="str">
        <f t="shared" si="50"/>
        <v>00</v>
      </c>
    </row>
    <row r="62" spans="1:99" ht="15" hidden="1" customHeight="1">
      <c r="A62" s="951">
        <v>59</v>
      </c>
      <c r="B62" s="1016"/>
      <c r="C62" s="922"/>
      <c r="D62" s="923"/>
      <c r="E62" s="913"/>
      <c r="F62" s="914"/>
      <c r="G62" s="1051"/>
      <c r="H62" s="921"/>
      <c r="I62" s="917"/>
      <c r="J62" s="916"/>
      <c r="K62" s="1012"/>
      <c r="L62" s="1012"/>
      <c r="M62" s="1017"/>
      <c r="N62" s="947"/>
      <c r="O62" s="406" t="str">
        <f t="shared" si="51"/>
        <v/>
      </c>
      <c r="P62" s="407" t="str">
        <f>IF(O62="","",VLOOKUP(O62,所属コード!$A$2:$E$11,2,FALSE))</f>
        <v/>
      </c>
      <c r="Q62" s="1033" t="str">
        <f>IF(O62="","",VLOOKUP(O62,所属コード!$A$2:$G$11,7,FALSE))</f>
        <v/>
      </c>
      <c r="R62" s="1035"/>
      <c r="S62" s="77"/>
      <c r="T62" s="77"/>
      <c r="U62" s="77"/>
      <c r="V62" s="15"/>
      <c r="X62" s="488"/>
      <c r="Y62" s="945" t="str">
        <f t="shared" si="6"/>
        <v/>
      </c>
      <c r="Z62" s="489" t="str">
        <f t="shared" si="7"/>
        <v/>
      </c>
      <c r="AA62" s="488"/>
      <c r="AB62" s="488"/>
      <c r="AC62" s="488"/>
      <c r="AD62" s="488"/>
      <c r="AE62" s="488"/>
      <c r="AF62" s="488"/>
      <c r="AG62" s="491"/>
      <c r="AH62" s="591"/>
      <c r="AI62" s="592"/>
      <c r="AJ62" s="592"/>
      <c r="AK62" s="592"/>
      <c r="AL62" s="592"/>
      <c r="AM62" s="592"/>
      <c r="AN62" s="592"/>
      <c r="AO62" s="592"/>
      <c r="AP62" s="592"/>
      <c r="AQ62" s="592"/>
      <c r="AR62" s="592"/>
      <c r="AS62" s="592"/>
      <c r="AT62" s="592"/>
      <c r="AU62" s="592"/>
      <c r="AV62" s="592"/>
      <c r="AW62" s="604"/>
      <c r="AX62" s="609">
        <f t="shared" si="8"/>
        <v>0</v>
      </c>
      <c r="AY62" s="602">
        <f t="shared" si="53"/>
        <v>0</v>
      </c>
      <c r="AZ62" s="593">
        <f t="shared" si="54"/>
        <v>0</v>
      </c>
      <c r="BA62" s="594">
        <f t="shared" si="55"/>
        <v>0</v>
      </c>
      <c r="BB62" s="593">
        <f t="shared" si="56"/>
        <v>0</v>
      </c>
      <c r="BC62" s="593">
        <f t="shared" si="9"/>
        <v>0</v>
      </c>
      <c r="BD62" s="593">
        <f t="shared" si="10"/>
        <v>0</v>
      </c>
      <c r="BE62" s="593">
        <f t="shared" si="11"/>
        <v>0</v>
      </c>
      <c r="BF62" s="593">
        <f t="shared" si="12"/>
        <v>0</v>
      </c>
      <c r="BG62" s="593">
        <f t="shared" si="13"/>
        <v>0</v>
      </c>
      <c r="BH62" s="593">
        <f t="shared" si="14"/>
        <v>0</v>
      </c>
      <c r="BI62" s="593">
        <f t="shared" si="15"/>
        <v>0</v>
      </c>
      <c r="BJ62" s="593">
        <f t="shared" si="16"/>
        <v>0</v>
      </c>
      <c r="BK62" s="593">
        <f t="shared" si="17"/>
        <v>0</v>
      </c>
      <c r="BL62" s="593">
        <f t="shared" si="18"/>
        <v>0</v>
      </c>
      <c r="BM62" s="593">
        <f t="shared" si="19"/>
        <v>0</v>
      </c>
      <c r="BN62" s="593">
        <f t="shared" si="20"/>
        <v>0</v>
      </c>
      <c r="BO62" s="593">
        <f t="shared" si="21"/>
        <v>0</v>
      </c>
      <c r="BP62" s="593">
        <f t="shared" si="22"/>
        <v>0</v>
      </c>
      <c r="BQ62" s="593">
        <f t="shared" si="23"/>
        <v>0</v>
      </c>
      <c r="BR62" s="593">
        <f t="shared" si="24"/>
        <v>0</v>
      </c>
      <c r="BS62" s="593">
        <f t="shared" si="25"/>
        <v>0</v>
      </c>
      <c r="BT62" s="593">
        <f t="shared" si="26"/>
        <v>0</v>
      </c>
      <c r="BU62" s="593">
        <f t="shared" si="27"/>
        <v>0</v>
      </c>
      <c r="BV62" s="593">
        <f t="shared" si="28"/>
        <v>0</v>
      </c>
      <c r="BW62" s="593">
        <f t="shared" si="29"/>
        <v>0</v>
      </c>
      <c r="BX62" s="593">
        <f t="shared" si="30"/>
        <v>0</v>
      </c>
      <c r="BY62" s="593">
        <f t="shared" si="31"/>
        <v>0</v>
      </c>
      <c r="BZ62" s="593">
        <f t="shared" si="32"/>
        <v>0</v>
      </c>
      <c r="CA62" s="593">
        <f t="shared" si="33"/>
        <v>0</v>
      </c>
      <c r="CB62" s="593">
        <f t="shared" si="34"/>
        <v>0</v>
      </c>
      <c r="CC62" s="593">
        <f t="shared" si="35"/>
        <v>0</v>
      </c>
      <c r="CD62" s="593">
        <f t="shared" si="36"/>
        <v>0</v>
      </c>
      <c r="CE62" s="593">
        <f t="shared" si="37"/>
        <v>0</v>
      </c>
      <c r="CF62" s="595">
        <f t="shared" si="38"/>
        <v>0</v>
      </c>
      <c r="CG62" s="555" t="str">
        <f t="shared" si="39"/>
        <v/>
      </c>
      <c r="CH62" s="530" t="str">
        <f t="shared" si="40"/>
        <v/>
      </c>
      <c r="CI62" s="530" t="str">
        <f t="shared" si="41"/>
        <v/>
      </c>
      <c r="CJ62" s="530" t="str">
        <f t="shared" si="42"/>
        <v/>
      </c>
      <c r="CK62" s="530" t="str">
        <f t="shared" si="43"/>
        <v/>
      </c>
      <c r="CL62" s="530" t="str">
        <f t="shared" si="44"/>
        <v/>
      </c>
      <c r="CM62" s="82" t="str">
        <f t="shared" si="45"/>
        <v/>
      </c>
      <c r="CN62" s="496" t="str">
        <f t="shared" si="57"/>
        <v/>
      </c>
      <c r="CO62" s="496" t="str">
        <f t="shared" si="52"/>
        <v>0</v>
      </c>
      <c r="CP62" s="491">
        <f t="shared" si="47"/>
        <v>0</v>
      </c>
      <c r="CS62" s="496">
        <f t="shared" si="48"/>
        <v>0</v>
      </c>
      <c r="CT62" s="496">
        <f t="shared" si="49"/>
        <v>0</v>
      </c>
      <c r="CU62" s="497" t="str">
        <f t="shared" si="50"/>
        <v>00</v>
      </c>
    </row>
    <row r="63" spans="1:99" ht="15" hidden="1" customHeight="1">
      <c r="A63" s="951">
        <v>60</v>
      </c>
      <c r="B63" s="1016"/>
      <c r="C63" s="922"/>
      <c r="D63" s="923"/>
      <c r="E63" s="913"/>
      <c r="F63" s="914"/>
      <c r="G63" s="1051"/>
      <c r="H63" s="915"/>
      <c r="I63" s="916"/>
      <c r="J63" s="917"/>
      <c r="K63" s="1012"/>
      <c r="L63" s="1012"/>
      <c r="M63" s="1017"/>
      <c r="N63" s="947"/>
      <c r="O63" s="406" t="str">
        <f t="shared" si="51"/>
        <v/>
      </c>
      <c r="P63" s="407" t="str">
        <f>IF(O63="","",VLOOKUP(O63,所属コード!$A$2:$E$11,2,FALSE))</f>
        <v/>
      </c>
      <c r="Q63" s="1033" t="str">
        <f>IF(O63="","",VLOOKUP(O63,所属コード!$A$2:$G$11,7,FALSE))</f>
        <v/>
      </c>
      <c r="R63" s="1035"/>
      <c r="S63" s="77"/>
      <c r="T63" s="77"/>
      <c r="U63" s="77"/>
      <c r="V63" s="15"/>
      <c r="X63" s="488"/>
      <c r="Y63" s="945" t="str">
        <f t="shared" si="6"/>
        <v/>
      </c>
      <c r="Z63" s="489" t="str">
        <f t="shared" si="7"/>
        <v/>
      </c>
      <c r="AA63" s="488"/>
      <c r="AB63" s="488"/>
      <c r="AC63" s="488"/>
      <c r="AD63" s="488"/>
      <c r="AE63" s="488"/>
      <c r="AF63" s="488"/>
      <c r="AG63" s="491"/>
      <c r="AH63" s="591"/>
      <c r="AI63" s="592"/>
      <c r="AJ63" s="592"/>
      <c r="AK63" s="592"/>
      <c r="AL63" s="592"/>
      <c r="AM63" s="592"/>
      <c r="AN63" s="592"/>
      <c r="AO63" s="592"/>
      <c r="AP63" s="592"/>
      <c r="AQ63" s="592"/>
      <c r="AR63" s="592"/>
      <c r="AS63" s="592"/>
      <c r="AT63" s="592"/>
      <c r="AU63" s="592"/>
      <c r="AV63" s="592"/>
      <c r="AW63" s="604"/>
      <c r="AX63" s="609">
        <f t="shared" si="8"/>
        <v>0</v>
      </c>
      <c r="AY63" s="602">
        <f t="shared" si="53"/>
        <v>0</v>
      </c>
      <c r="AZ63" s="593">
        <f t="shared" si="54"/>
        <v>0</v>
      </c>
      <c r="BA63" s="594">
        <f t="shared" si="55"/>
        <v>0</v>
      </c>
      <c r="BB63" s="593">
        <f t="shared" si="56"/>
        <v>0</v>
      </c>
      <c r="BC63" s="593">
        <f t="shared" si="9"/>
        <v>0</v>
      </c>
      <c r="BD63" s="593">
        <f t="shared" si="10"/>
        <v>0</v>
      </c>
      <c r="BE63" s="593">
        <f t="shared" si="11"/>
        <v>0</v>
      </c>
      <c r="BF63" s="593">
        <f t="shared" si="12"/>
        <v>0</v>
      </c>
      <c r="BG63" s="593">
        <f t="shared" si="13"/>
        <v>0</v>
      </c>
      <c r="BH63" s="593">
        <f t="shared" si="14"/>
        <v>0</v>
      </c>
      <c r="BI63" s="593">
        <f t="shared" si="15"/>
        <v>0</v>
      </c>
      <c r="BJ63" s="593">
        <f t="shared" si="16"/>
        <v>0</v>
      </c>
      <c r="BK63" s="593">
        <f t="shared" si="17"/>
        <v>0</v>
      </c>
      <c r="BL63" s="593">
        <f t="shared" si="18"/>
        <v>0</v>
      </c>
      <c r="BM63" s="593">
        <f t="shared" si="19"/>
        <v>0</v>
      </c>
      <c r="BN63" s="593">
        <f t="shared" si="20"/>
        <v>0</v>
      </c>
      <c r="BO63" s="593">
        <f t="shared" si="21"/>
        <v>0</v>
      </c>
      <c r="BP63" s="593">
        <f t="shared" si="22"/>
        <v>0</v>
      </c>
      <c r="BQ63" s="593">
        <f t="shared" si="23"/>
        <v>0</v>
      </c>
      <c r="BR63" s="593">
        <f t="shared" si="24"/>
        <v>0</v>
      </c>
      <c r="BS63" s="593">
        <f t="shared" si="25"/>
        <v>0</v>
      </c>
      <c r="BT63" s="593">
        <f t="shared" si="26"/>
        <v>0</v>
      </c>
      <c r="BU63" s="593">
        <f t="shared" si="27"/>
        <v>0</v>
      </c>
      <c r="BV63" s="593">
        <f t="shared" si="28"/>
        <v>0</v>
      </c>
      <c r="BW63" s="593">
        <f t="shared" si="29"/>
        <v>0</v>
      </c>
      <c r="BX63" s="593">
        <f t="shared" si="30"/>
        <v>0</v>
      </c>
      <c r="BY63" s="593">
        <f t="shared" si="31"/>
        <v>0</v>
      </c>
      <c r="BZ63" s="593">
        <f t="shared" si="32"/>
        <v>0</v>
      </c>
      <c r="CA63" s="593">
        <f t="shared" si="33"/>
        <v>0</v>
      </c>
      <c r="CB63" s="593">
        <f t="shared" si="34"/>
        <v>0</v>
      </c>
      <c r="CC63" s="593">
        <f t="shared" si="35"/>
        <v>0</v>
      </c>
      <c r="CD63" s="593">
        <f t="shared" si="36"/>
        <v>0</v>
      </c>
      <c r="CE63" s="593">
        <f t="shared" si="37"/>
        <v>0</v>
      </c>
      <c r="CF63" s="595">
        <f t="shared" si="38"/>
        <v>0</v>
      </c>
      <c r="CG63" s="555" t="str">
        <f t="shared" si="39"/>
        <v/>
      </c>
      <c r="CH63" s="530" t="str">
        <f t="shared" si="40"/>
        <v/>
      </c>
      <c r="CI63" s="530" t="str">
        <f t="shared" si="41"/>
        <v/>
      </c>
      <c r="CJ63" s="530" t="str">
        <f t="shared" si="42"/>
        <v/>
      </c>
      <c r="CK63" s="530" t="str">
        <f t="shared" si="43"/>
        <v/>
      </c>
      <c r="CL63" s="530" t="str">
        <f t="shared" si="44"/>
        <v/>
      </c>
      <c r="CM63" s="82" t="str">
        <f t="shared" si="45"/>
        <v/>
      </c>
      <c r="CN63" s="496" t="str">
        <f t="shared" si="57"/>
        <v/>
      </c>
      <c r="CO63" s="496" t="str">
        <f t="shared" si="52"/>
        <v>0</v>
      </c>
      <c r="CP63" s="491">
        <f t="shared" si="47"/>
        <v>0</v>
      </c>
      <c r="CS63" s="496">
        <f t="shared" si="48"/>
        <v>0</v>
      </c>
      <c r="CT63" s="496">
        <f t="shared" si="49"/>
        <v>0</v>
      </c>
      <c r="CU63" s="497" t="str">
        <f t="shared" si="50"/>
        <v>00</v>
      </c>
    </row>
    <row r="64" spans="1:99" ht="15" hidden="1" customHeight="1">
      <c r="A64" s="951">
        <v>61</v>
      </c>
      <c r="B64" s="1016"/>
      <c r="C64" s="922"/>
      <c r="D64" s="923"/>
      <c r="E64" s="913"/>
      <c r="F64" s="914"/>
      <c r="G64" s="1051"/>
      <c r="H64" s="915"/>
      <c r="I64" s="916"/>
      <c r="J64" s="917"/>
      <c r="K64" s="1012"/>
      <c r="L64" s="1012"/>
      <c r="M64" s="1017"/>
      <c r="N64" s="947"/>
      <c r="O64" s="406" t="str">
        <f t="shared" si="51"/>
        <v/>
      </c>
      <c r="P64" s="407" t="str">
        <f>IF(O64="","",VLOOKUP(O64,所属コード!$A$2:$E$11,2,FALSE))</f>
        <v/>
      </c>
      <c r="Q64" s="1033" t="str">
        <f>IF(O64="","",VLOOKUP(O64,所属コード!$A$2:$G$11,7,FALSE))</f>
        <v/>
      </c>
      <c r="R64" s="1035"/>
      <c r="S64" s="77"/>
      <c r="T64" s="77"/>
      <c r="U64" s="77"/>
      <c r="X64" s="488"/>
      <c r="Y64" s="945" t="str">
        <f t="shared" si="6"/>
        <v/>
      </c>
      <c r="Z64" s="489" t="str">
        <f t="shared" si="7"/>
        <v/>
      </c>
      <c r="AA64" s="488"/>
      <c r="AB64" s="488"/>
      <c r="AC64" s="488"/>
      <c r="AD64" s="488"/>
      <c r="AE64" s="488"/>
      <c r="AF64" s="488"/>
      <c r="AG64" s="491"/>
      <c r="AH64" s="591"/>
      <c r="AI64" s="592"/>
      <c r="AJ64" s="592"/>
      <c r="AK64" s="592"/>
      <c r="AL64" s="592"/>
      <c r="AM64" s="592"/>
      <c r="AN64" s="592"/>
      <c r="AO64" s="592"/>
      <c r="AP64" s="592"/>
      <c r="AQ64" s="592"/>
      <c r="AR64" s="592"/>
      <c r="AS64" s="592"/>
      <c r="AT64" s="592"/>
      <c r="AU64" s="592"/>
      <c r="AV64" s="592"/>
      <c r="AW64" s="604"/>
      <c r="AX64" s="609">
        <f t="shared" si="8"/>
        <v>0</v>
      </c>
      <c r="AY64" s="602">
        <f t="shared" si="53"/>
        <v>0</v>
      </c>
      <c r="AZ64" s="593">
        <f t="shared" si="54"/>
        <v>0</v>
      </c>
      <c r="BA64" s="594">
        <f t="shared" si="55"/>
        <v>0</v>
      </c>
      <c r="BB64" s="593">
        <f t="shared" si="56"/>
        <v>0</v>
      </c>
      <c r="BC64" s="593">
        <f t="shared" si="9"/>
        <v>0</v>
      </c>
      <c r="BD64" s="593">
        <f t="shared" si="10"/>
        <v>0</v>
      </c>
      <c r="BE64" s="593">
        <f t="shared" si="11"/>
        <v>0</v>
      </c>
      <c r="BF64" s="593">
        <f t="shared" si="12"/>
        <v>0</v>
      </c>
      <c r="BG64" s="593">
        <f t="shared" si="13"/>
        <v>0</v>
      </c>
      <c r="BH64" s="593">
        <f t="shared" si="14"/>
        <v>0</v>
      </c>
      <c r="BI64" s="593">
        <f t="shared" si="15"/>
        <v>0</v>
      </c>
      <c r="BJ64" s="593">
        <f t="shared" si="16"/>
        <v>0</v>
      </c>
      <c r="BK64" s="593">
        <f t="shared" si="17"/>
        <v>0</v>
      </c>
      <c r="BL64" s="593">
        <f t="shared" si="18"/>
        <v>0</v>
      </c>
      <c r="BM64" s="593">
        <f t="shared" si="19"/>
        <v>0</v>
      </c>
      <c r="BN64" s="593">
        <f t="shared" si="20"/>
        <v>0</v>
      </c>
      <c r="BO64" s="593">
        <f t="shared" si="21"/>
        <v>0</v>
      </c>
      <c r="BP64" s="593">
        <f t="shared" si="22"/>
        <v>0</v>
      </c>
      <c r="BQ64" s="593">
        <f t="shared" si="23"/>
        <v>0</v>
      </c>
      <c r="BR64" s="593">
        <f t="shared" si="24"/>
        <v>0</v>
      </c>
      <c r="BS64" s="593">
        <f t="shared" si="25"/>
        <v>0</v>
      </c>
      <c r="BT64" s="593">
        <f t="shared" si="26"/>
        <v>0</v>
      </c>
      <c r="BU64" s="593">
        <f t="shared" si="27"/>
        <v>0</v>
      </c>
      <c r="BV64" s="593">
        <f t="shared" si="28"/>
        <v>0</v>
      </c>
      <c r="BW64" s="593">
        <f t="shared" si="29"/>
        <v>0</v>
      </c>
      <c r="BX64" s="593">
        <f t="shared" si="30"/>
        <v>0</v>
      </c>
      <c r="BY64" s="593">
        <f t="shared" si="31"/>
        <v>0</v>
      </c>
      <c r="BZ64" s="593">
        <f t="shared" si="32"/>
        <v>0</v>
      </c>
      <c r="CA64" s="593">
        <f t="shared" si="33"/>
        <v>0</v>
      </c>
      <c r="CB64" s="593">
        <f t="shared" si="34"/>
        <v>0</v>
      </c>
      <c r="CC64" s="593">
        <f t="shared" si="35"/>
        <v>0</v>
      </c>
      <c r="CD64" s="593">
        <f t="shared" si="36"/>
        <v>0</v>
      </c>
      <c r="CE64" s="593">
        <f t="shared" si="37"/>
        <v>0</v>
      </c>
      <c r="CF64" s="595">
        <f t="shared" si="38"/>
        <v>0</v>
      </c>
      <c r="CG64" s="555" t="str">
        <f t="shared" si="39"/>
        <v/>
      </c>
      <c r="CH64" s="530" t="str">
        <f t="shared" si="40"/>
        <v/>
      </c>
      <c r="CI64" s="530" t="str">
        <f t="shared" si="41"/>
        <v/>
      </c>
      <c r="CJ64" s="530" t="str">
        <f t="shared" si="42"/>
        <v/>
      </c>
      <c r="CK64" s="530" t="str">
        <f t="shared" si="43"/>
        <v/>
      </c>
      <c r="CL64" s="530" t="str">
        <f t="shared" si="44"/>
        <v/>
      </c>
      <c r="CM64" s="82" t="str">
        <f t="shared" si="45"/>
        <v/>
      </c>
      <c r="CN64" s="496" t="str">
        <f t="shared" si="57"/>
        <v/>
      </c>
      <c r="CO64" s="496" t="str">
        <f t="shared" si="52"/>
        <v>0</v>
      </c>
      <c r="CP64" s="491">
        <f t="shared" si="47"/>
        <v>0</v>
      </c>
      <c r="CS64" s="496">
        <f t="shared" si="48"/>
        <v>0</v>
      </c>
      <c r="CT64" s="496">
        <f t="shared" si="49"/>
        <v>0</v>
      </c>
      <c r="CU64" s="497" t="str">
        <f t="shared" si="50"/>
        <v>00</v>
      </c>
    </row>
    <row r="65" spans="1:99" ht="15" hidden="1" customHeight="1">
      <c r="A65" s="951">
        <v>62</v>
      </c>
      <c r="B65" s="1016"/>
      <c r="C65" s="922"/>
      <c r="D65" s="923"/>
      <c r="E65" s="913"/>
      <c r="F65" s="914"/>
      <c r="G65" s="1051"/>
      <c r="H65" s="915"/>
      <c r="I65" s="916"/>
      <c r="J65" s="917"/>
      <c r="K65" s="1012"/>
      <c r="L65" s="1012"/>
      <c r="M65" s="1017"/>
      <c r="N65" s="947"/>
      <c r="O65" s="406" t="str">
        <f t="shared" si="51"/>
        <v/>
      </c>
      <c r="P65" s="407" t="str">
        <f>IF(O65="","",VLOOKUP(O65,所属コード!$A$2:$E$11,2,FALSE))</f>
        <v/>
      </c>
      <c r="Q65" s="1033" t="str">
        <f>IF(O65="","",VLOOKUP(O65,所属コード!$A$2:$G$11,7,FALSE))</f>
        <v/>
      </c>
      <c r="R65" s="1035"/>
      <c r="S65" s="77"/>
      <c r="T65" s="77"/>
      <c r="U65" s="77"/>
      <c r="X65" s="488"/>
      <c r="Y65" s="945" t="str">
        <f t="shared" si="6"/>
        <v/>
      </c>
      <c r="Z65" s="489" t="str">
        <f t="shared" si="7"/>
        <v/>
      </c>
      <c r="AA65" s="488"/>
      <c r="AB65" s="488"/>
      <c r="AC65" s="488"/>
      <c r="AD65" s="488"/>
      <c r="AE65" s="488"/>
      <c r="AF65" s="488"/>
      <c r="AG65" s="491"/>
      <c r="AH65" s="591"/>
      <c r="AI65" s="592"/>
      <c r="AJ65" s="592"/>
      <c r="AK65" s="592"/>
      <c r="AL65" s="592"/>
      <c r="AM65" s="592"/>
      <c r="AN65" s="592"/>
      <c r="AO65" s="592"/>
      <c r="AP65" s="592"/>
      <c r="AQ65" s="592"/>
      <c r="AR65" s="592"/>
      <c r="AS65" s="592"/>
      <c r="AT65" s="592"/>
      <c r="AU65" s="592"/>
      <c r="AV65" s="592"/>
      <c r="AW65" s="604"/>
      <c r="AX65" s="609">
        <f t="shared" si="8"/>
        <v>0</v>
      </c>
      <c r="AY65" s="602">
        <f t="shared" si="53"/>
        <v>0</v>
      </c>
      <c r="AZ65" s="593">
        <f t="shared" si="54"/>
        <v>0</v>
      </c>
      <c r="BA65" s="594">
        <f t="shared" si="55"/>
        <v>0</v>
      </c>
      <c r="BB65" s="593">
        <f t="shared" si="56"/>
        <v>0</v>
      </c>
      <c r="BC65" s="593">
        <f t="shared" si="9"/>
        <v>0</v>
      </c>
      <c r="BD65" s="593">
        <f t="shared" si="10"/>
        <v>0</v>
      </c>
      <c r="BE65" s="593">
        <f t="shared" si="11"/>
        <v>0</v>
      </c>
      <c r="BF65" s="593">
        <f t="shared" si="12"/>
        <v>0</v>
      </c>
      <c r="BG65" s="593">
        <f t="shared" si="13"/>
        <v>0</v>
      </c>
      <c r="BH65" s="593">
        <f t="shared" si="14"/>
        <v>0</v>
      </c>
      <c r="BI65" s="593">
        <f t="shared" si="15"/>
        <v>0</v>
      </c>
      <c r="BJ65" s="593">
        <f t="shared" si="16"/>
        <v>0</v>
      </c>
      <c r="BK65" s="593">
        <f t="shared" si="17"/>
        <v>0</v>
      </c>
      <c r="BL65" s="593">
        <f t="shared" si="18"/>
        <v>0</v>
      </c>
      <c r="BM65" s="593">
        <f t="shared" si="19"/>
        <v>0</v>
      </c>
      <c r="BN65" s="593">
        <f t="shared" si="20"/>
        <v>0</v>
      </c>
      <c r="BO65" s="593">
        <f t="shared" si="21"/>
        <v>0</v>
      </c>
      <c r="BP65" s="593">
        <f t="shared" si="22"/>
        <v>0</v>
      </c>
      <c r="BQ65" s="593">
        <f t="shared" si="23"/>
        <v>0</v>
      </c>
      <c r="BR65" s="593">
        <f t="shared" si="24"/>
        <v>0</v>
      </c>
      <c r="BS65" s="593">
        <f t="shared" si="25"/>
        <v>0</v>
      </c>
      <c r="BT65" s="593">
        <f t="shared" si="26"/>
        <v>0</v>
      </c>
      <c r="BU65" s="593">
        <f t="shared" si="27"/>
        <v>0</v>
      </c>
      <c r="BV65" s="593">
        <f t="shared" si="28"/>
        <v>0</v>
      </c>
      <c r="BW65" s="593">
        <f t="shared" si="29"/>
        <v>0</v>
      </c>
      <c r="BX65" s="593">
        <f t="shared" si="30"/>
        <v>0</v>
      </c>
      <c r="BY65" s="593">
        <f t="shared" si="31"/>
        <v>0</v>
      </c>
      <c r="BZ65" s="593">
        <f t="shared" si="32"/>
        <v>0</v>
      </c>
      <c r="CA65" s="593">
        <f t="shared" si="33"/>
        <v>0</v>
      </c>
      <c r="CB65" s="593">
        <f t="shared" si="34"/>
        <v>0</v>
      </c>
      <c r="CC65" s="593">
        <f t="shared" si="35"/>
        <v>0</v>
      </c>
      <c r="CD65" s="593">
        <f t="shared" si="36"/>
        <v>0</v>
      </c>
      <c r="CE65" s="593">
        <f t="shared" si="37"/>
        <v>0</v>
      </c>
      <c r="CF65" s="595">
        <f t="shared" si="38"/>
        <v>0</v>
      </c>
      <c r="CG65" s="555" t="str">
        <f t="shared" si="39"/>
        <v/>
      </c>
      <c r="CH65" s="530" t="str">
        <f t="shared" si="40"/>
        <v/>
      </c>
      <c r="CI65" s="530" t="str">
        <f t="shared" si="41"/>
        <v/>
      </c>
      <c r="CJ65" s="530" t="str">
        <f t="shared" si="42"/>
        <v/>
      </c>
      <c r="CK65" s="530" t="str">
        <f t="shared" si="43"/>
        <v/>
      </c>
      <c r="CL65" s="530" t="str">
        <f t="shared" si="44"/>
        <v/>
      </c>
      <c r="CM65" s="82" t="str">
        <f t="shared" si="45"/>
        <v/>
      </c>
      <c r="CN65" s="496" t="str">
        <f t="shared" si="57"/>
        <v/>
      </c>
      <c r="CO65" s="496" t="str">
        <f t="shared" si="52"/>
        <v>0</v>
      </c>
      <c r="CP65" s="491">
        <f t="shared" si="47"/>
        <v>0</v>
      </c>
      <c r="CS65" s="496">
        <f t="shared" si="48"/>
        <v>0</v>
      </c>
      <c r="CT65" s="496">
        <f t="shared" si="49"/>
        <v>0</v>
      </c>
      <c r="CU65" s="497" t="str">
        <f t="shared" si="50"/>
        <v>00</v>
      </c>
    </row>
    <row r="66" spans="1:99" ht="15" hidden="1" customHeight="1">
      <c r="A66" s="951">
        <v>63</v>
      </c>
      <c r="B66" s="1016"/>
      <c r="C66" s="922"/>
      <c r="D66" s="923"/>
      <c r="E66" s="913"/>
      <c r="F66" s="914"/>
      <c r="G66" s="1051"/>
      <c r="H66" s="915"/>
      <c r="I66" s="916"/>
      <c r="J66" s="917"/>
      <c r="K66" s="1012"/>
      <c r="L66" s="1012"/>
      <c r="M66" s="1017"/>
      <c r="N66" s="947"/>
      <c r="O66" s="406" t="str">
        <f t="shared" si="51"/>
        <v/>
      </c>
      <c r="P66" s="407" t="str">
        <f>IF(O66="","",VLOOKUP(O66,所属コード!$A$2:$E$11,2,FALSE))</f>
        <v/>
      </c>
      <c r="Q66" s="1033" t="str">
        <f>IF(O66="","",VLOOKUP(O66,所属コード!$A$2:$G$11,7,FALSE))</f>
        <v/>
      </c>
      <c r="R66" s="1035"/>
      <c r="S66" s="77"/>
      <c r="T66" s="77"/>
      <c r="U66" s="77"/>
      <c r="V66" s="15"/>
      <c r="X66" s="488"/>
      <c r="Y66" s="945" t="str">
        <f t="shared" si="6"/>
        <v/>
      </c>
      <c r="Z66" s="489" t="str">
        <f t="shared" si="7"/>
        <v/>
      </c>
      <c r="AA66" s="488"/>
      <c r="AB66" s="488"/>
      <c r="AC66" s="488"/>
      <c r="AD66" s="488"/>
      <c r="AE66" s="488"/>
      <c r="AF66" s="488"/>
      <c r="AG66" s="491"/>
      <c r="AH66" s="591"/>
      <c r="AI66" s="592"/>
      <c r="AJ66" s="592"/>
      <c r="AK66" s="592"/>
      <c r="AL66" s="592"/>
      <c r="AM66" s="592"/>
      <c r="AN66" s="592"/>
      <c r="AO66" s="592"/>
      <c r="AP66" s="592"/>
      <c r="AQ66" s="592"/>
      <c r="AR66" s="592"/>
      <c r="AS66" s="592"/>
      <c r="AT66" s="592"/>
      <c r="AU66" s="592"/>
      <c r="AV66" s="592"/>
      <c r="AW66" s="604"/>
      <c r="AX66" s="609">
        <f t="shared" si="8"/>
        <v>0</v>
      </c>
      <c r="AY66" s="602">
        <f t="shared" si="53"/>
        <v>0</v>
      </c>
      <c r="AZ66" s="593">
        <f t="shared" si="54"/>
        <v>0</v>
      </c>
      <c r="BA66" s="594">
        <f t="shared" si="55"/>
        <v>0</v>
      </c>
      <c r="BB66" s="593">
        <f t="shared" si="56"/>
        <v>0</v>
      </c>
      <c r="BC66" s="593">
        <f t="shared" si="9"/>
        <v>0</v>
      </c>
      <c r="BD66" s="593">
        <f t="shared" si="10"/>
        <v>0</v>
      </c>
      <c r="BE66" s="593">
        <f t="shared" si="11"/>
        <v>0</v>
      </c>
      <c r="BF66" s="593">
        <f t="shared" si="12"/>
        <v>0</v>
      </c>
      <c r="BG66" s="593">
        <f t="shared" si="13"/>
        <v>0</v>
      </c>
      <c r="BH66" s="593">
        <f t="shared" si="14"/>
        <v>0</v>
      </c>
      <c r="BI66" s="593">
        <f t="shared" si="15"/>
        <v>0</v>
      </c>
      <c r="BJ66" s="593">
        <f t="shared" si="16"/>
        <v>0</v>
      </c>
      <c r="BK66" s="593">
        <f t="shared" si="17"/>
        <v>0</v>
      </c>
      <c r="BL66" s="593">
        <f t="shared" si="18"/>
        <v>0</v>
      </c>
      <c r="BM66" s="593">
        <f t="shared" si="19"/>
        <v>0</v>
      </c>
      <c r="BN66" s="593">
        <f t="shared" si="20"/>
        <v>0</v>
      </c>
      <c r="BO66" s="593">
        <f t="shared" si="21"/>
        <v>0</v>
      </c>
      <c r="BP66" s="593">
        <f t="shared" si="22"/>
        <v>0</v>
      </c>
      <c r="BQ66" s="593">
        <f t="shared" si="23"/>
        <v>0</v>
      </c>
      <c r="BR66" s="593">
        <f t="shared" si="24"/>
        <v>0</v>
      </c>
      <c r="BS66" s="593">
        <f t="shared" si="25"/>
        <v>0</v>
      </c>
      <c r="BT66" s="593">
        <f t="shared" si="26"/>
        <v>0</v>
      </c>
      <c r="BU66" s="593">
        <f t="shared" si="27"/>
        <v>0</v>
      </c>
      <c r="BV66" s="593">
        <f t="shared" si="28"/>
        <v>0</v>
      </c>
      <c r="BW66" s="593">
        <f t="shared" si="29"/>
        <v>0</v>
      </c>
      <c r="BX66" s="593">
        <f t="shared" si="30"/>
        <v>0</v>
      </c>
      <c r="BY66" s="593">
        <f t="shared" si="31"/>
        <v>0</v>
      </c>
      <c r="BZ66" s="593">
        <f t="shared" si="32"/>
        <v>0</v>
      </c>
      <c r="CA66" s="593">
        <f t="shared" si="33"/>
        <v>0</v>
      </c>
      <c r="CB66" s="593">
        <f t="shared" si="34"/>
        <v>0</v>
      </c>
      <c r="CC66" s="593">
        <f t="shared" si="35"/>
        <v>0</v>
      </c>
      <c r="CD66" s="593">
        <f t="shared" si="36"/>
        <v>0</v>
      </c>
      <c r="CE66" s="593">
        <f t="shared" si="37"/>
        <v>0</v>
      </c>
      <c r="CF66" s="595">
        <f t="shared" si="38"/>
        <v>0</v>
      </c>
      <c r="CG66" s="555" t="str">
        <f t="shared" si="39"/>
        <v/>
      </c>
      <c r="CH66" s="530" t="str">
        <f t="shared" si="40"/>
        <v/>
      </c>
      <c r="CI66" s="530" t="str">
        <f t="shared" si="41"/>
        <v/>
      </c>
      <c r="CJ66" s="530" t="str">
        <f t="shared" si="42"/>
        <v/>
      </c>
      <c r="CK66" s="530" t="str">
        <f t="shared" si="43"/>
        <v/>
      </c>
      <c r="CL66" s="530" t="str">
        <f t="shared" si="44"/>
        <v/>
      </c>
      <c r="CM66" s="82" t="str">
        <f t="shared" si="45"/>
        <v/>
      </c>
      <c r="CN66" s="496" t="str">
        <f t="shared" si="57"/>
        <v/>
      </c>
      <c r="CO66" s="496" t="str">
        <f t="shared" si="52"/>
        <v>0</v>
      </c>
      <c r="CP66" s="491">
        <f t="shared" si="47"/>
        <v>0</v>
      </c>
      <c r="CS66" s="496">
        <f t="shared" si="48"/>
        <v>0</v>
      </c>
      <c r="CT66" s="496">
        <f t="shared" si="49"/>
        <v>0</v>
      </c>
      <c r="CU66" s="497" t="str">
        <f t="shared" si="50"/>
        <v>00</v>
      </c>
    </row>
    <row r="67" spans="1:99" ht="15" hidden="1" customHeight="1">
      <c r="A67" s="951">
        <v>64</v>
      </c>
      <c r="B67" s="1016"/>
      <c r="C67" s="922"/>
      <c r="D67" s="923"/>
      <c r="E67" s="913"/>
      <c r="F67" s="914"/>
      <c r="G67" s="1051"/>
      <c r="H67" s="915"/>
      <c r="I67" s="916"/>
      <c r="J67" s="917"/>
      <c r="K67" s="1012"/>
      <c r="L67" s="1012"/>
      <c r="M67" s="1017"/>
      <c r="N67" s="947"/>
      <c r="O67" s="406" t="str">
        <f t="shared" si="51"/>
        <v/>
      </c>
      <c r="P67" s="407" t="str">
        <f>IF(O67="","",VLOOKUP(O67,所属コード!$A$2:$E$11,2,FALSE))</f>
        <v/>
      </c>
      <c r="Q67" s="1033" t="str">
        <f>IF(O67="","",VLOOKUP(O67,所属コード!$A$2:$G$11,7,FALSE))</f>
        <v/>
      </c>
      <c r="R67" s="1035"/>
      <c r="S67" s="77"/>
      <c r="T67" s="77"/>
      <c r="U67" s="77"/>
      <c r="V67" s="15"/>
      <c r="X67" s="488"/>
      <c r="Y67" s="945" t="str">
        <f t="shared" si="6"/>
        <v/>
      </c>
      <c r="Z67" s="489" t="str">
        <f t="shared" si="7"/>
        <v/>
      </c>
      <c r="AA67" s="488"/>
      <c r="AB67" s="488"/>
      <c r="AC67" s="488"/>
      <c r="AD67" s="488"/>
      <c r="AE67" s="488"/>
      <c r="AF67" s="488"/>
      <c r="AG67" s="491"/>
      <c r="AH67" s="591"/>
      <c r="AI67" s="592"/>
      <c r="AJ67" s="592"/>
      <c r="AK67" s="592"/>
      <c r="AL67" s="592"/>
      <c r="AM67" s="592"/>
      <c r="AN67" s="592"/>
      <c r="AO67" s="592"/>
      <c r="AP67" s="592"/>
      <c r="AQ67" s="592"/>
      <c r="AR67" s="592"/>
      <c r="AS67" s="592"/>
      <c r="AT67" s="592"/>
      <c r="AU67" s="592"/>
      <c r="AV67" s="592"/>
      <c r="AW67" s="604"/>
      <c r="AX67" s="609">
        <f t="shared" si="8"/>
        <v>0</v>
      </c>
      <c r="AY67" s="602">
        <f t="shared" si="53"/>
        <v>0</v>
      </c>
      <c r="AZ67" s="593">
        <f t="shared" si="54"/>
        <v>0</v>
      </c>
      <c r="BA67" s="594">
        <f t="shared" si="55"/>
        <v>0</v>
      </c>
      <c r="BB67" s="593">
        <f t="shared" si="56"/>
        <v>0</v>
      </c>
      <c r="BC67" s="593">
        <f t="shared" si="9"/>
        <v>0</v>
      </c>
      <c r="BD67" s="593">
        <f t="shared" si="10"/>
        <v>0</v>
      </c>
      <c r="BE67" s="593">
        <f t="shared" si="11"/>
        <v>0</v>
      </c>
      <c r="BF67" s="593">
        <f t="shared" si="12"/>
        <v>0</v>
      </c>
      <c r="BG67" s="593">
        <f t="shared" si="13"/>
        <v>0</v>
      </c>
      <c r="BH67" s="593">
        <f t="shared" si="14"/>
        <v>0</v>
      </c>
      <c r="BI67" s="593">
        <f t="shared" si="15"/>
        <v>0</v>
      </c>
      <c r="BJ67" s="593">
        <f t="shared" si="16"/>
        <v>0</v>
      </c>
      <c r="BK67" s="593">
        <f t="shared" si="17"/>
        <v>0</v>
      </c>
      <c r="BL67" s="593">
        <f t="shared" si="18"/>
        <v>0</v>
      </c>
      <c r="BM67" s="593">
        <f t="shared" si="19"/>
        <v>0</v>
      </c>
      <c r="BN67" s="593">
        <f t="shared" si="20"/>
        <v>0</v>
      </c>
      <c r="BO67" s="593">
        <f t="shared" si="21"/>
        <v>0</v>
      </c>
      <c r="BP67" s="593">
        <f t="shared" si="22"/>
        <v>0</v>
      </c>
      <c r="BQ67" s="593">
        <f t="shared" si="23"/>
        <v>0</v>
      </c>
      <c r="BR67" s="593">
        <f t="shared" si="24"/>
        <v>0</v>
      </c>
      <c r="BS67" s="593">
        <f t="shared" si="25"/>
        <v>0</v>
      </c>
      <c r="BT67" s="593">
        <f t="shared" si="26"/>
        <v>0</v>
      </c>
      <c r="BU67" s="593">
        <f t="shared" si="27"/>
        <v>0</v>
      </c>
      <c r="BV67" s="593">
        <f t="shared" si="28"/>
        <v>0</v>
      </c>
      <c r="BW67" s="593">
        <f t="shared" si="29"/>
        <v>0</v>
      </c>
      <c r="BX67" s="593">
        <f t="shared" si="30"/>
        <v>0</v>
      </c>
      <c r="BY67" s="593">
        <f t="shared" si="31"/>
        <v>0</v>
      </c>
      <c r="BZ67" s="593">
        <f t="shared" si="32"/>
        <v>0</v>
      </c>
      <c r="CA67" s="593">
        <f t="shared" si="33"/>
        <v>0</v>
      </c>
      <c r="CB67" s="593">
        <f t="shared" si="34"/>
        <v>0</v>
      </c>
      <c r="CC67" s="593">
        <f t="shared" si="35"/>
        <v>0</v>
      </c>
      <c r="CD67" s="593">
        <f t="shared" si="36"/>
        <v>0</v>
      </c>
      <c r="CE67" s="593">
        <f t="shared" si="37"/>
        <v>0</v>
      </c>
      <c r="CF67" s="595">
        <f t="shared" si="38"/>
        <v>0</v>
      </c>
      <c r="CG67" s="555" t="str">
        <f t="shared" si="39"/>
        <v/>
      </c>
      <c r="CH67" s="530" t="str">
        <f t="shared" si="40"/>
        <v/>
      </c>
      <c r="CI67" s="530" t="str">
        <f t="shared" si="41"/>
        <v/>
      </c>
      <c r="CJ67" s="530" t="str">
        <f t="shared" si="42"/>
        <v/>
      </c>
      <c r="CK67" s="530" t="str">
        <f t="shared" si="43"/>
        <v/>
      </c>
      <c r="CL67" s="530" t="str">
        <f t="shared" si="44"/>
        <v/>
      </c>
      <c r="CM67" s="82" t="str">
        <f t="shared" si="45"/>
        <v/>
      </c>
      <c r="CN67" s="496" t="str">
        <f t="shared" si="57"/>
        <v/>
      </c>
      <c r="CO67" s="496" t="str">
        <f t="shared" si="52"/>
        <v>0</v>
      </c>
      <c r="CP67" s="491">
        <f t="shared" si="47"/>
        <v>0</v>
      </c>
      <c r="CS67" s="496">
        <f t="shared" si="48"/>
        <v>0</v>
      </c>
      <c r="CT67" s="496">
        <f t="shared" si="49"/>
        <v>0</v>
      </c>
      <c r="CU67" s="497" t="str">
        <f t="shared" si="50"/>
        <v>00</v>
      </c>
    </row>
    <row r="68" spans="1:99" ht="15" hidden="1" customHeight="1">
      <c r="A68" s="951">
        <v>65</v>
      </c>
      <c r="B68" s="1016"/>
      <c r="C68" s="922"/>
      <c r="D68" s="923"/>
      <c r="E68" s="913"/>
      <c r="F68" s="914"/>
      <c r="G68" s="1051"/>
      <c r="H68" s="921"/>
      <c r="I68" s="916"/>
      <c r="J68" s="917"/>
      <c r="K68" s="1012"/>
      <c r="L68" s="1012"/>
      <c r="M68" s="1017"/>
      <c r="N68" s="947"/>
      <c r="O68" s="406" t="str">
        <f t="shared" si="51"/>
        <v/>
      </c>
      <c r="P68" s="407" t="str">
        <f>IF(O68="","",VLOOKUP(O68,所属コード!$A$2:$E$11,2,FALSE))</f>
        <v/>
      </c>
      <c r="Q68" s="1033" t="str">
        <f>IF(O68="","",VLOOKUP(O68,所属コード!$A$2:$G$11,7,FALSE))</f>
        <v/>
      </c>
      <c r="R68" s="1035"/>
      <c r="S68" s="77"/>
      <c r="T68" s="77"/>
      <c r="U68" s="77"/>
      <c r="V68" s="15"/>
      <c r="X68" s="488"/>
      <c r="Y68" s="945" t="str">
        <f t="shared" si="6"/>
        <v/>
      </c>
      <c r="Z68" s="489" t="str">
        <f t="shared" si="7"/>
        <v/>
      </c>
      <c r="AA68" s="488"/>
      <c r="AB68" s="488"/>
      <c r="AC68" s="488"/>
      <c r="AD68" s="488"/>
      <c r="AE68" s="488"/>
      <c r="AF68" s="488"/>
      <c r="AG68" s="491"/>
      <c r="AH68" s="591"/>
      <c r="AI68" s="592"/>
      <c r="AJ68" s="592"/>
      <c r="AK68" s="592"/>
      <c r="AL68" s="592"/>
      <c r="AM68" s="592"/>
      <c r="AN68" s="592"/>
      <c r="AO68" s="592"/>
      <c r="AP68" s="592"/>
      <c r="AQ68" s="592"/>
      <c r="AR68" s="592"/>
      <c r="AS68" s="592"/>
      <c r="AT68" s="592"/>
      <c r="AU68" s="592"/>
      <c r="AV68" s="592"/>
      <c r="AW68" s="604"/>
      <c r="AX68" s="609">
        <f t="shared" si="8"/>
        <v>0</v>
      </c>
      <c r="AY68" s="602">
        <f t="shared" ref="AY68:AY99" si="58">AO68</f>
        <v>0</v>
      </c>
      <c r="AZ68" s="593">
        <f t="shared" ref="AZ68:AZ99" si="59">AO68</f>
        <v>0</v>
      </c>
      <c r="BA68" s="594">
        <f t="shared" ref="BA68:BA99" si="60">AO68</f>
        <v>0</v>
      </c>
      <c r="BB68" s="593">
        <f t="shared" ref="BB68:BB99" si="61">AP68</f>
        <v>0</v>
      </c>
      <c r="BC68" s="593">
        <f t="shared" si="9"/>
        <v>0</v>
      </c>
      <c r="BD68" s="593">
        <f t="shared" si="10"/>
        <v>0</v>
      </c>
      <c r="BE68" s="593">
        <f t="shared" si="11"/>
        <v>0</v>
      </c>
      <c r="BF68" s="593">
        <f t="shared" si="12"/>
        <v>0</v>
      </c>
      <c r="BG68" s="593">
        <f t="shared" si="13"/>
        <v>0</v>
      </c>
      <c r="BH68" s="593">
        <f t="shared" si="14"/>
        <v>0</v>
      </c>
      <c r="BI68" s="593">
        <f t="shared" si="15"/>
        <v>0</v>
      </c>
      <c r="BJ68" s="593">
        <f t="shared" si="16"/>
        <v>0</v>
      </c>
      <c r="BK68" s="593">
        <f t="shared" si="17"/>
        <v>0</v>
      </c>
      <c r="BL68" s="593">
        <f t="shared" si="18"/>
        <v>0</v>
      </c>
      <c r="BM68" s="593">
        <f t="shared" si="19"/>
        <v>0</v>
      </c>
      <c r="BN68" s="593">
        <f t="shared" si="20"/>
        <v>0</v>
      </c>
      <c r="BO68" s="593">
        <f t="shared" si="21"/>
        <v>0</v>
      </c>
      <c r="BP68" s="593">
        <f t="shared" si="22"/>
        <v>0</v>
      </c>
      <c r="BQ68" s="593">
        <f t="shared" si="23"/>
        <v>0</v>
      </c>
      <c r="BR68" s="593">
        <f t="shared" si="24"/>
        <v>0</v>
      </c>
      <c r="BS68" s="593">
        <f t="shared" si="25"/>
        <v>0</v>
      </c>
      <c r="BT68" s="593">
        <f t="shared" si="26"/>
        <v>0</v>
      </c>
      <c r="BU68" s="593">
        <f t="shared" si="27"/>
        <v>0</v>
      </c>
      <c r="BV68" s="593">
        <f t="shared" si="28"/>
        <v>0</v>
      </c>
      <c r="BW68" s="593">
        <f t="shared" si="29"/>
        <v>0</v>
      </c>
      <c r="BX68" s="593">
        <f t="shared" si="30"/>
        <v>0</v>
      </c>
      <c r="BY68" s="593">
        <f t="shared" si="31"/>
        <v>0</v>
      </c>
      <c r="BZ68" s="593">
        <f t="shared" si="32"/>
        <v>0</v>
      </c>
      <c r="CA68" s="593">
        <f t="shared" si="33"/>
        <v>0</v>
      </c>
      <c r="CB68" s="593">
        <f t="shared" si="34"/>
        <v>0</v>
      </c>
      <c r="CC68" s="593">
        <f t="shared" si="35"/>
        <v>0</v>
      </c>
      <c r="CD68" s="593">
        <f t="shared" si="36"/>
        <v>0</v>
      </c>
      <c r="CE68" s="593">
        <f t="shared" si="37"/>
        <v>0</v>
      </c>
      <c r="CF68" s="595">
        <f t="shared" si="38"/>
        <v>0</v>
      </c>
      <c r="CG68" s="555" t="str">
        <f t="shared" si="39"/>
        <v/>
      </c>
      <c r="CH68" s="530" t="str">
        <f t="shared" si="40"/>
        <v/>
      </c>
      <c r="CI68" s="530" t="str">
        <f t="shared" si="41"/>
        <v/>
      </c>
      <c r="CJ68" s="530" t="str">
        <f t="shared" si="42"/>
        <v/>
      </c>
      <c r="CK68" s="530" t="str">
        <f t="shared" si="43"/>
        <v/>
      </c>
      <c r="CL68" s="530" t="str">
        <f t="shared" si="44"/>
        <v/>
      </c>
      <c r="CM68" s="82" t="str">
        <f t="shared" si="45"/>
        <v/>
      </c>
      <c r="CN68" s="496" t="str">
        <f t="shared" ref="CN68:CN99" si="62">IF(I68="3",3,IF(I68="2",2,IF(I68="1",1,IF(I68=1,1,IF(I68=2,2,IF(I68=3,3,""))))))</f>
        <v/>
      </c>
      <c r="CO68" s="496" t="str">
        <f t="shared" si="52"/>
        <v>0</v>
      </c>
      <c r="CP68" s="491">
        <f t="shared" si="47"/>
        <v>0</v>
      </c>
      <c r="CS68" s="496">
        <f t="shared" si="48"/>
        <v>0</v>
      </c>
      <c r="CT68" s="496">
        <f t="shared" si="49"/>
        <v>0</v>
      </c>
      <c r="CU68" s="497" t="str">
        <f t="shared" si="50"/>
        <v>00</v>
      </c>
    </row>
    <row r="69" spans="1:99" ht="15" hidden="1" customHeight="1">
      <c r="A69" s="951">
        <v>66</v>
      </c>
      <c r="B69" s="1016"/>
      <c r="C69" s="922"/>
      <c r="D69" s="923"/>
      <c r="E69" s="913"/>
      <c r="F69" s="914"/>
      <c r="G69" s="1051"/>
      <c r="H69" s="921"/>
      <c r="I69" s="916"/>
      <c r="J69" s="917"/>
      <c r="K69" s="1012"/>
      <c r="L69" s="1012"/>
      <c r="M69" s="1017"/>
      <c r="N69" s="947"/>
      <c r="O69" s="406" t="str">
        <f t="shared" si="51"/>
        <v/>
      </c>
      <c r="P69" s="407" t="str">
        <f>IF(O69="","",VLOOKUP(O69,所属コード!$A$2:$E$11,2,FALSE))</f>
        <v/>
      </c>
      <c r="Q69" s="1033" t="str">
        <f>IF(O69="","",VLOOKUP(O69,所属コード!$A$2:$G$11,7,FALSE))</f>
        <v/>
      </c>
      <c r="R69" s="1035"/>
      <c r="S69" s="77"/>
      <c r="T69" s="77"/>
      <c r="U69" s="77"/>
      <c r="V69" s="15"/>
      <c r="X69" s="488"/>
      <c r="Y69" s="945" t="str">
        <f t="shared" ref="Y69:Y113" si="63">IF(J69="","",IF(J69="男",1,2))</f>
        <v/>
      </c>
      <c r="Z69" s="489" t="str">
        <f t="shared" ref="Z69:Z113" si="64">ASC(H69)</f>
        <v/>
      </c>
      <c r="AA69" s="488"/>
      <c r="AB69" s="488"/>
      <c r="AC69" s="488"/>
      <c r="AD69" s="488"/>
      <c r="AE69" s="488"/>
      <c r="AF69" s="488"/>
      <c r="AG69" s="491"/>
      <c r="AH69" s="591"/>
      <c r="AI69" s="592"/>
      <c r="AJ69" s="592"/>
      <c r="AK69" s="592"/>
      <c r="AL69" s="592"/>
      <c r="AM69" s="592"/>
      <c r="AN69" s="592"/>
      <c r="AO69" s="592"/>
      <c r="AP69" s="592"/>
      <c r="AQ69" s="592"/>
      <c r="AR69" s="592"/>
      <c r="AS69" s="592"/>
      <c r="AT69" s="592"/>
      <c r="AU69" s="592"/>
      <c r="AV69" s="592"/>
      <c r="AW69" s="604"/>
      <c r="AX69" s="609">
        <f t="shared" ref="AX69:AX113" si="65">AQ69</f>
        <v>0</v>
      </c>
      <c r="AY69" s="602">
        <f t="shared" si="58"/>
        <v>0</v>
      </c>
      <c r="AZ69" s="593">
        <f t="shared" si="59"/>
        <v>0</v>
      </c>
      <c r="BA69" s="594">
        <f t="shared" si="60"/>
        <v>0</v>
      </c>
      <c r="BB69" s="593">
        <f t="shared" si="61"/>
        <v>0</v>
      </c>
      <c r="BC69" s="593">
        <f t="shared" ref="BC69:BC113" si="66">AH69</f>
        <v>0</v>
      </c>
      <c r="BD69" s="593">
        <f t="shared" ref="BD69:BD113" si="67">AL69</f>
        <v>0</v>
      </c>
      <c r="BE69" s="593">
        <f t="shared" ref="BE69:BE113" si="68">AH69</f>
        <v>0</v>
      </c>
      <c r="BF69" s="593">
        <f t="shared" ref="BF69:BF113" si="69">AL69</f>
        <v>0</v>
      </c>
      <c r="BG69" s="593">
        <f t="shared" ref="BG69:BG113" si="70">AK69</f>
        <v>0</v>
      </c>
      <c r="BH69" s="593">
        <f t="shared" ref="BH69:BH113" si="71">AH69</f>
        <v>0</v>
      </c>
      <c r="BI69" s="593">
        <f t="shared" ref="BI69:BI113" si="72">AI69</f>
        <v>0</v>
      </c>
      <c r="BJ69" s="593">
        <f t="shared" ref="BJ69:BJ113" si="73">AN69</f>
        <v>0</v>
      </c>
      <c r="BK69" s="593">
        <f t="shared" ref="BK69:BK113" si="74">AO69</f>
        <v>0</v>
      </c>
      <c r="BL69" s="593">
        <f t="shared" ref="BL69:BL113" si="75">AQ69</f>
        <v>0</v>
      </c>
      <c r="BM69" s="593">
        <f t="shared" ref="BM69:BM113" si="76">AU69</f>
        <v>0</v>
      </c>
      <c r="BN69" s="593">
        <f t="shared" ref="BN69:BN113" si="77">AV69</f>
        <v>0</v>
      </c>
      <c r="BO69" s="593">
        <f t="shared" ref="BO69:BO113" si="78">AW69</f>
        <v>0</v>
      </c>
      <c r="BP69" s="593">
        <f t="shared" ref="BP69:BP113" si="79">AP69</f>
        <v>0</v>
      </c>
      <c r="BQ69" s="593">
        <f t="shared" ref="BQ69:BQ113" si="80">AH69</f>
        <v>0</v>
      </c>
      <c r="BR69" s="593">
        <f t="shared" ref="BR69:BR113" si="81">AL69</f>
        <v>0</v>
      </c>
      <c r="BS69" s="593">
        <f t="shared" ref="BS69:BS113" si="82">AO69</f>
        <v>0</v>
      </c>
      <c r="BT69" s="593">
        <f t="shared" ref="BT69:BT113" si="83">AS69</f>
        <v>0</v>
      </c>
      <c r="BU69" s="593">
        <f t="shared" ref="BU69:BU113" si="84">AP69</f>
        <v>0</v>
      </c>
      <c r="BV69" s="593">
        <f t="shared" ref="BV69:BV113" si="85">AK69</f>
        <v>0</v>
      </c>
      <c r="BW69" s="593">
        <f t="shared" ref="BW69:BW113" si="86">AU69</f>
        <v>0</v>
      </c>
      <c r="BX69" s="593">
        <f t="shared" ref="BX69:BX113" si="87">AH69</f>
        <v>0</v>
      </c>
      <c r="BY69" s="593">
        <f t="shared" ref="BY69:BY113" si="88">AL69</f>
        <v>0</v>
      </c>
      <c r="BZ69" s="593">
        <f t="shared" ref="BZ69:BZ113" si="89">AP69</f>
        <v>0</v>
      </c>
      <c r="CA69" s="593">
        <f t="shared" ref="CA69:CA113" si="90">AS69</f>
        <v>0</v>
      </c>
      <c r="CB69" s="593">
        <f t="shared" ref="CB69:CB113" si="91">AU69</f>
        <v>0</v>
      </c>
      <c r="CC69" s="593">
        <f t="shared" ref="CC69:CC113" si="92">AN69</f>
        <v>0</v>
      </c>
      <c r="CD69" s="593">
        <f t="shared" ref="CD69:CD113" si="93">AM69</f>
        <v>0</v>
      </c>
      <c r="CE69" s="593">
        <f t="shared" ref="CE69:CE113" si="94">AN69</f>
        <v>0</v>
      </c>
      <c r="CF69" s="595">
        <f t="shared" ref="CF69:CF113" si="95">AU69</f>
        <v>0</v>
      </c>
      <c r="CG69" s="555" t="str">
        <f t="shared" ref="CG69:CG113" si="96">TRIM(G69)</f>
        <v/>
      </c>
      <c r="CH69" s="530" t="str">
        <f t="shared" ref="CH69:CH113" si="97">IF(CG69="","",LEN(CG69))</f>
        <v/>
      </c>
      <c r="CI69" s="530" t="str">
        <f t="shared" ref="CI69:CI113" si="98">IF(CG69="","",FIND("　",CG69,1))</f>
        <v/>
      </c>
      <c r="CJ69" s="530" t="str">
        <f t="shared" ref="CJ69:CJ113" si="99">IF(CG69="","",CH69-CI69)</f>
        <v/>
      </c>
      <c r="CK69" s="530" t="str">
        <f t="shared" ref="CK69:CK113" si="100">IF(CG69="","",LEFT(CG69,CI69-1))</f>
        <v/>
      </c>
      <c r="CL69" s="530" t="str">
        <f t="shared" ref="CL69:CL113" si="101">IF(CG69="","",RIGHT(CG69,CJ69))</f>
        <v/>
      </c>
      <c r="CM69" s="82" t="str">
        <f t="shared" ref="CM69:CM113" si="102">IF(CG69="","",IF(CH69=4,CONCATENATE(CK69,"　","　",CL69),IF(CH69=6,CONCATENATE(CK69,CL69),CG69)))</f>
        <v/>
      </c>
      <c r="CN69" s="496" t="str">
        <f t="shared" si="62"/>
        <v/>
      </c>
      <c r="CO69" s="496" t="str">
        <f t="shared" si="52"/>
        <v>0</v>
      </c>
      <c r="CP69" s="491">
        <f t="shared" ref="CP69:CP113" si="103">K69</f>
        <v>0</v>
      </c>
      <c r="CS69" s="496">
        <f t="shared" ref="CS69:CS113" si="104">IF(L69=1,"01",IF(L69=2,"02",IF(L69=3,"03",IF(L69=4,"04",IF(L69=5,"05",IF(L69=6,"06",IF(L69=7,"07",IF(L69=8,"08",IF(L69=9,"09",L69)))))))))</f>
        <v>0</v>
      </c>
      <c r="CT69" s="496">
        <f t="shared" ref="CT69:CT113" si="105">IF(M69=1,"01",IF(M69=2,"02",IF(M69=3,"03",IF(M69=4,"04",IF(M69=5,"05",IF(M69=6,"06",IF(M69=7,"07",IF(M69=8,"08",IF(M69=9,"09",M69)))))))))</f>
        <v>0</v>
      </c>
      <c r="CU69" s="497" t="str">
        <f t="shared" ref="CU69:CU113" si="106">CONCATENATE(CS69,CT69)</f>
        <v>00</v>
      </c>
    </row>
    <row r="70" spans="1:99" ht="15" hidden="1" customHeight="1">
      <c r="A70" s="951">
        <v>67</v>
      </c>
      <c r="B70" s="1016"/>
      <c r="C70" s="922"/>
      <c r="D70" s="923"/>
      <c r="E70" s="913"/>
      <c r="F70" s="914"/>
      <c r="G70" s="1051"/>
      <c r="H70" s="921"/>
      <c r="I70" s="917"/>
      <c r="J70" s="916"/>
      <c r="K70" s="1012"/>
      <c r="L70" s="1012"/>
      <c r="M70" s="1017"/>
      <c r="N70" s="947"/>
      <c r="O70" s="406" t="str">
        <f t="shared" ref="O70:O113" si="107">IF(G70="","",$O$4)</f>
        <v/>
      </c>
      <c r="P70" s="407" t="str">
        <f>IF(O70="","",VLOOKUP(O70,所属コード!$A$2:$E$11,2,FALSE))</f>
        <v/>
      </c>
      <c r="Q70" s="1033" t="str">
        <f>IF(O70="","",VLOOKUP(O70,所属コード!$A$2:$G$11,7,FALSE))</f>
        <v/>
      </c>
      <c r="R70" s="1035"/>
      <c r="S70" s="77"/>
      <c r="T70" s="77"/>
      <c r="U70" s="77"/>
      <c r="V70" s="15"/>
      <c r="X70" s="488"/>
      <c r="Y70" s="945" t="str">
        <f t="shared" si="63"/>
        <v/>
      </c>
      <c r="Z70" s="489" t="str">
        <f t="shared" si="64"/>
        <v/>
      </c>
      <c r="AA70" s="488"/>
      <c r="AB70" s="488"/>
      <c r="AC70" s="488"/>
      <c r="AD70" s="488"/>
      <c r="AE70" s="488"/>
      <c r="AF70" s="488"/>
      <c r="AG70" s="491"/>
      <c r="AH70" s="591"/>
      <c r="AI70" s="592"/>
      <c r="AJ70" s="592"/>
      <c r="AK70" s="592"/>
      <c r="AL70" s="592"/>
      <c r="AM70" s="592"/>
      <c r="AN70" s="592"/>
      <c r="AO70" s="592"/>
      <c r="AP70" s="592"/>
      <c r="AQ70" s="592"/>
      <c r="AR70" s="592"/>
      <c r="AS70" s="592"/>
      <c r="AT70" s="592"/>
      <c r="AU70" s="592"/>
      <c r="AV70" s="592"/>
      <c r="AW70" s="604"/>
      <c r="AX70" s="609">
        <f t="shared" si="65"/>
        <v>0</v>
      </c>
      <c r="AY70" s="602">
        <f t="shared" si="58"/>
        <v>0</v>
      </c>
      <c r="AZ70" s="593">
        <f t="shared" si="59"/>
        <v>0</v>
      </c>
      <c r="BA70" s="594">
        <f t="shared" si="60"/>
        <v>0</v>
      </c>
      <c r="BB70" s="593">
        <f t="shared" si="61"/>
        <v>0</v>
      </c>
      <c r="BC70" s="593">
        <f t="shared" si="66"/>
        <v>0</v>
      </c>
      <c r="BD70" s="593">
        <f t="shared" si="67"/>
        <v>0</v>
      </c>
      <c r="BE70" s="593">
        <f t="shared" si="68"/>
        <v>0</v>
      </c>
      <c r="BF70" s="593">
        <f t="shared" si="69"/>
        <v>0</v>
      </c>
      <c r="BG70" s="593">
        <f t="shared" si="70"/>
        <v>0</v>
      </c>
      <c r="BH70" s="593">
        <f t="shared" si="71"/>
        <v>0</v>
      </c>
      <c r="BI70" s="593">
        <f t="shared" si="72"/>
        <v>0</v>
      </c>
      <c r="BJ70" s="593">
        <f t="shared" si="73"/>
        <v>0</v>
      </c>
      <c r="BK70" s="593">
        <f t="shared" si="74"/>
        <v>0</v>
      </c>
      <c r="BL70" s="593">
        <f t="shared" si="75"/>
        <v>0</v>
      </c>
      <c r="BM70" s="593">
        <f t="shared" si="76"/>
        <v>0</v>
      </c>
      <c r="BN70" s="593">
        <f t="shared" si="77"/>
        <v>0</v>
      </c>
      <c r="BO70" s="593">
        <f t="shared" si="78"/>
        <v>0</v>
      </c>
      <c r="BP70" s="593">
        <f t="shared" si="79"/>
        <v>0</v>
      </c>
      <c r="BQ70" s="593">
        <f t="shared" si="80"/>
        <v>0</v>
      </c>
      <c r="BR70" s="593">
        <f t="shared" si="81"/>
        <v>0</v>
      </c>
      <c r="BS70" s="593">
        <f t="shared" si="82"/>
        <v>0</v>
      </c>
      <c r="BT70" s="593">
        <f t="shared" si="83"/>
        <v>0</v>
      </c>
      <c r="BU70" s="593">
        <f t="shared" si="84"/>
        <v>0</v>
      </c>
      <c r="BV70" s="593">
        <f t="shared" si="85"/>
        <v>0</v>
      </c>
      <c r="BW70" s="593">
        <f t="shared" si="86"/>
        <v>0</v>
      </c>
      <c r="BX70" s="593">
        <f t="shared" si="87"/>
        <v>0</v>
      </c>
      <c r="BY70" s="593">
        <f t="shared" si="88"/>
        <v>0</v>
      </c>
      <c r="BZ70" s="593">
        <f t="shared" si="89"/>
        <v>0</v>
      </c>
      <c r="CA70" s="593">
        <f t="shared" si="90"/>
        <v>0</v>
      </c>
      <c r="CB70" s="593">
        <f t="shared" si="91"/>
        <v>0</v>
      </c>
      <c r="CC70" s="593">
        <f t="shared" si="92"/>
        <v>0</v>
      </c>
      <c r="CD70" s="593">
        <f t="shared" si="93"/>
        <v>0</v>
      </c>
      <c r="CE70" s="593">
        <f t="shared" si="94"/>
        <v>0</v>
      </c>
      <c r="CF70" s="595">
        <f t="shared" si="95"/>
        <v>0</v>
      </c>
      <c r="CG70" s="555" t="str">
        <f t="shared" si="96"/>
        <v/>
      </c>
      <c r="CH70" s="530" t="str">
        <f t="shared" si="97"/>
        <v/>
      </c>
      <c r="CI70" s="530" t="str">
        <f t="shared" si="98"/>
        <v/>
      </c>
      <c r="CJ70" s="530" t="str">
        <f t="shared" si="99"/>
        <v/>
      </c>
      <c r="CK70" s="530" t="str">
        <f t="shared" si="100"/>
        <v/>
      </c>
      <c r="CL70" s="530" t="str">
        <f t="shared" si="101"/>
        <v/>
      </c>
      <c r="CM70" s="82" t="str">
        <f t="shared" si="102"/>
        <v/>
      </c>
      <c r="CN70" s="496" t="str">
        <f t="shared" si="62"/>
        <v/>
      </c>
      <c r="CO70" s="496" t="str">
        <f t="shared" si="52"/>
        <v>0</v>
      </c>
      <c r="CP70" s="491">
        <f t="shared" si="103"/>
        <v>0</v>
      </c>
      <c r="CS70" s="496">
        <f t="shared" si="104"/>
        <v>0</v>
      </c>
      <c r="CT70" s="496">
        <f t="shared" si="105"/>
        <v>0</v>
      </c>
      <c r="CU70" s="497" t="str">
        <f t="shared" si="106"/>
        <v>00</v>
      </c>
    </row>
    <row r="71" spans="1:99" ht="7.5" hidden="1" customHeight="1">
      <c r="A71" s="951">
        <v>68</v>
      </c>
      <c r="B71" s="1016"/>
      <c r="C71" s="922"/>
      <c r="D71" s="923"/>
      <c r="E71" s="913"/>
      <c r="F71" s="914"/>
      <c r="G71" s="1051"/>
      <c r="H71" s="921"/>
      <c r="I71" s="917"/>
      <c r="J71" s="916"/>
      <c r="K71" s="1012"/>
      <c r="L71" s="1012"/>
      <c r="M71" s="1017"/>
      <c r="N71" s="947"/>
      <c r="O71" s="406" t="str">
        <f t="shared" si="107"/>
        <v/>
      </c>
      <c r="P71" s="407" t="str">
        <f>IF(O71="","",VLOOKUP(O71,所属コード!$A$2:$E$11,2,FALSE))</f>
        <v/>
      </c>
      <c r="Q71" s="1033" t="str">
        <f>IF(O71="","",VLOOKUP(O71,所属コード!$A$2:$G$11,7,FALSE))</f>
        <v/>
      </c>
      <c r="R71" s="1035"/>
      <c r="S71" s="77"/>
      <c r="T71" s="77"/>
      <c r="U71" s="77"/>
      <c r="V71" s="15"/>
      <c r="X71" s="488"/>
      <c r="Y71" s="945" t="str">
        <f t="shared" si="63"/>
        <v/>
      </c>
      <c r="Z71" s="489" t="str">
        <f t="shared" si="64"/>
        <v/>
      </c>
      <c r="AA71" s="488"/>
      <c r="AB71" s="488"/>
      <c r="AC71" s="488"/>
      <c r="AD71" s="488"/>
      <c r="AE71" s="488"/>
      <c r="AF71" s="488"/>
      <c r="AG71" s="491"/>
      <c r="AH71" s="591"/>
      <c r="AI71" s="592"/>
      <c r="AJ71" s="592"/>
      <c r="AK71" s="592"/>
      <c r="AL71" s="592"/>
      <c r="AM71" s="592"/>
      <c r="AN71" s="592"/>
      <c r="AO71" s="592"/>
      <c r="AP71" s="592"/>
      <c r="AQ71" s="592"/>
      <c r="AR71" s="592"/>
      <c r="AS71" s="592"/>
      <c r="AT71" s="592"/>
      <c r="AU71" s="592"/>
      <c r="AV71" s="592"/>
      <c r="AW71" s="604"/>
      <c r="AX71" s="609">
        <f t="shared" si="65"/>
        <v>0</v>
      </c>
      <c r="AY71" s="602">
        <f t="shared" si="58"/>
        <v>0</v>
      </c>
      <c r="AZ71" s="593">
        <f t="shared" si="59"/>
        <v>0</v>
      </c>
      <c r="BA71" s="594">
        <f t="shared" si="60"/>
        <v>0</v>
      </c>
      <c r="BB71" s="593">
        <f t="shared" si="61"/>
        <v>0</v>
      </c>
      <c r="BC71" s="593">
        <f t="shared" si="66"/>
        <v>0</v>
      </c>
      <c r="BD71" s="593">
        <f t="shared" si="67"/>
        <v>0</v>
      </c>
      <c r="BE71" s="593">
        <f t="shared" si="68"/>
        <v>0</v>
      </c>
      <c r="BF71" s="593">
        <f t="shared" si="69"/>
        <v>0</v>
      </c>
      <c r="BG71" s="593">
        <f t="shared" si="70"/>
        <v>0</v>
      </c>
      <c r="BH71" s="593">
        <f t="shared" si="71"/>
        <v>0</v>
      </c>
      <c r="BI71" s="593">
        <f t="shared" si="72"/>
        <v>0</v>
      </c>
      <c r="BJ71" s="593">
        <f t="shared" si="73"/>
        <v>0</v>
      </c>
      <c r="BK71" s="593">
        <f t="shared" si="74"/>
        <v>0</v>
      </c>
      <c r="BL71" s="593">
        <f t="shared" si="75"/>
        <v>0</v>
      </c>
      <c r="BM71" s="593">
        <f t="shared" si="76"/>
        <v>0</v>
      </c>
      <c r="BN71" s="593">
        <f t="shared" si="77"/>
        <v>0</v>
      </c>
      <c r="BO71" s="593">
        <f t="shared" si="78"/>
        <v>0</v>
      </c>
      <c r="BP71" s="593">
        <f t="shared" si="79"/>
        <v>0</v>
      </c>
      <c r="BQ71" s="593">
        <f t="shared" si="80"/>
        <v>0</v>
      </c>
      <c r="BR71" s="593">
        <f t="shared" si="81"/>
        <v>0</v>
      </c>
      <c r="BS71" s="593">
        <f t="shared" si="82"/>
        <v>0</v>
      </c>
      <c r="BT71" s="593">
        <f t="shared" si="83"/>
        <v>0</v>
      </c>
      <c r="BU71" s="593">
        <f t="shared" si="84"/>
        <v>0</v>
      </c>
      <c r="BV71" s="593">
        <f t="shared" si="85"/>
        <v>0</v>
      </c>
      <c r="BW71" s="593">
        <f t="shared" si="86"/>
        <v>0</v>
      </c>
      <c r="BX71" s="593">
        <f t="shared" si="87"/>
        <v>0</v>
      </c>
      <c r="BY71" s="593">
        <f t="shared" si="88"/>
        <v>0</v>
      </c>
      <c r="BZ71" s="593">
        <f t="shared" si="89"/>
        <v>0</v>
      </c>
      <c r="CA71" s="593">
        <f t="shared" si="90"/>
        <v>0</v>
      </c>
      <c r="CB71" s="593">
        <f t="shared" si="91"/>
        <v>0</v>
      </c>
      <c r="CC71" s="593">
        <f t="shared" si="92"/>
        <v>0</v>
      </c>
      <c r="CD71" s="593">
        <f t="shared" si="93"/>
        <v>0</v>
      </c>
      <c r="CE71" s="593">
        <f t="shared" si="94"/>
        <v>0</v>
      </c>
      <c r="CF71" s="595">
        <f t="shared" si="95"/>
        <v>0</v>
      </c>
      <c r="CG71" s="555" t="str">
        <f t="shared" si="96"/>
        <v/>
      </c>
      <c r="CH71" s="530" t="str">
        <f t="shared" si="97"/>
        <v/>
      </c>
      <c r="CI71" s="530" t="str">
        <f t="shared" si="98"/>
        <v/>
      </c>
      <c r="CJ71" s="530" t="str">
        <f t="shared" si="99"/>
        <v/>
      </c>
      <c r="CK71" s="530" t="str">
        <f t="shared" si="100"/>
        <v/>
      </c>
      <c r="CL71" s="530" t="str">
        <f t="shared" si="101"/>
        <v/>
      </c>
      <c r="CM71" s="82" t="str">
        <f t="shared" si="102"/>
        <v/>
      </c>
      <c r="CN71" s="496" t="str">
        <f t="shared" si="62"/>
        <v/>
      </c>
      <c r="CO71" s="496" t="str">
        <f t="shared" si="52"/>
        <v>0</v>
      </c>
      <c r="CP71" s="491">
        <f t="shared" si="103"/>
        <v>0</v>
      </c>
      <c r="CS71" s="496">
        <f t="shared" si="104"/>
        <v>0</v>
      </c>
      <c r="CT71" s="496">
        <f t="shared" si="105"/>
        <v>0</v>
      </c>
      <c r="CU71" s="497" t="str">
        <f t="shared" si="106"/>
        <v>00</v>
      </c>
    </row>
    <row r="72" spans="1:99" ht="15" hidden="1" customHeight="1">
      <c r="A72" s="951">
        <v>69</v>
      </c>
      <c r="B72" s="1016"/>
      <c r="C72" s="922"/>
      <c r="D72" s="923"/>
      <c r="E72" s="913"/>
      <c r="F72" s="914"/>
      <c r="G72" s="1051"/>
      <c r="H72" s="921"/>
      <c r="I72" s="917"/>
      <c r="J72" s="916"/>
      <c r="K72" s="1012"/>
      <c r="L72" s="1012"/>
      <c r="M72" s="1017"/>
      <c r="N72" s="947"/>
      <c r="O72" s="406" t="str">
        <f t="shared" si="107"/>
        <v/>
      </c>
      <c r="P72" s="407" t="str">
        <f>IF(O72="","",VLOOKUP(O72,所属コード!$A$2:$E$11,2,FALSE))</f>
        <v/>
      </c>
      <c r="Q72" s="1033" t="str">
        <f>IF(O72="","",VLOOKUP(O72,所属コード!$A$2:$G$11,7,FALSE))</f>
        <v/>
      </c>
      <c r="R72" s="1035"/>
      <c r="S72" s="77"/>
      <c r="T72" s="77"/>
      <c r="U72" s="77"/>
      <c r="V72" s="15"/>
      <c r="X72" s="488"/>
      <c r="Y72" s="945" t="str">
        <f t="shared" si="63"/>
        <v/>
      </c>
      <c r="Z72" s="489" t="str">
        <f t="shared" si="64"/>
        <v/>
      </c>
      <c r="AA72" s="488"/>
      <c r="AB72" s="488"/>
      <c r="AC72" s="488"/>
      <c r="AD72" s="488"/>
      <c r="AE72" s="488"/>
      <c r="AF72" s="488"/>
      <c r="AG72" s="491"/>
      <c r="AH72" s="591"/>
      <c r="AI72" s="592"/>
      <c r="AJ72" s="592"/>
      <c r="AK72" s="592"/>
      <c r="AL72" s="592"/>
      <c r="AM72" s="592"/>
      <c r="AN72" s="592"/>
      <c r="AO72" s="592"/>
      <c r="AP72" s="592"/>
      <c r="AQ72" s="592"/>
      <c r="AR72" s="592"/>
      <c r="AS72" s="592"/>
      <c r="AT72" s="592"/>
      <c r="AU72" s="592"/>
      <c r="AV72" s="592"/>
      <c r="AW72" s="604"/>
      <c r="AX72" s="609">
        <f t="shared" si="65"/>
        <v>0</v>
      </c>
      <c r="AY72" s="602">
        <f t="shared" si="58"/>
        <v>0</v>
      </c>
      <c r="AZ72" s="593">
        <f t="shared" si="59"/>
        <v>0</v>
      </c>
      <c r="BA72" s="594">
        <f t="shared" si="60"/>
        <v>0</v>
      </c>
      <c r="BB72" s="593">
        <f t="shared" si="61"/>
        <v>0</v>
      </c>
      <c r="BC72" s="593">
        <f t="shared" si="66"/>
        <v>0</v>
      </c>
      <c r="BD72" s="593">
        <f t="shared" si="67"/>
        <v>0</v>
      </c>
      <c r="BE72" s="593">
        <f t="shared" si="68"/>
        <v>0</v>
      </c>
      <c r="BF72" s="593">
        <f t="shared" si="69"/>
        <v>0</v>
      </c>
      <c r="BG72" s="593">
        <f t="shared" si="70"/>
        <v>0</v>
      </c>
      <c r="BH72" s="593">
        <f t="shared" si="71"/>
        <v>0</v>
      </c>
      <c r="BI72" s="593">
        <f t="shared" si="72"/>
        <v>0</v>
      </c>
      <c r="BJ72" s="593">
        <f t="shared" si="73"/>
        <v>0</v>
      </c>
      <c r="BK72" s="593">
        <f t="shared" si="74"/>
        <v>0</v>
      </c>
      <c r="BL72" s="593">
        <f t="shared" si="75"/>
        <v>0</v>
      </c>
      <c r="BM72" s="593">
        <f t="shared" si="76"/>
        <v>0</v>
      </c>
      <c r="BN72" s="593">
        <f t="shared" si="77"/>
        <v>0</v>
      </c>
      <c r="BO72" s="593">
        <f t="shared" si="78"/>
        <v>0</v>
      </c>
      <c r="BP72" s="593">
        <f t="shared" si="79"/>
        <v>0</v>
      </c>
      <c r="BQ72" s="593">
        <f t="shared" si="80"/>
        <v>0</v>
      </c>
      <c r="BR72" s="593">
        <f t="shared" si="81"/>
        <v>0</v>
      </c>
      <c r="BS72" s="593">
        <f t="shared" si="82"/>
        <v>0</v>
      </c>
      <c r="BT72" s="593">
        <f t="shared" si="83"/>
        <v>0</v>
      </c>
      <c r="BU72" s="593">
        <f t="shared" si="84"/>
        <v>0</v>
      </c>
      <c r="BV72" s="593">
        <f t="shared" si="85"/>
        <v>0</v>
      </c>
      <c r="BW72" s="593">
        <f t="shared" si="86"/>
        <v>0</v>
      </c>
      <c r="BX72" s="593">
        <f t="shared" si="87"/>
        <v>0</v>
      </c>
      <c r="BY72" s="593">
        <f t="shared" si="88"/>
        <v>0</v>
      </c>
      <c r="BZ72" s="593">
        <f t="shared" si="89"/>
        <v>0</v>
      </c>
      <c r="CA72" s="593">
        <f t="shared" si="90"/>
        <v>0</v>
      </c>
      <c r="CB72" s="593">
        <f t="shared" si="91"/>
        <v>0</v>
      </c>
      <c r="CC72" s="593">
        <f t="shared" si="92"/>
        <v>0</v>
      </c>
      <c r="CD72" s="593">
        <f t="shared" si="93"/>
        <v>0</v>
      </c>
      <c r="CE72" s="593">
        <f t="shared" si="94"/>
        <v>0</v>
      </c>
      <c r="CF72" s="595">
        <f t="shared" si="95"/>
        <v>0</v>
      </c>
      <c r="CG72" s="555" t="str">
        <f t="shared" si="96"/>
        <v/>
      </c>
      <c r="CH72" s="530" t="str">
        <f t="shared" si="97"/>
        <v/>
      </c>
      <c r="CI72" s="530" t="str">
        <f t="shared" si="98"/>
        <v/>
      </c>
      <c r="CJ72" s="530" t="str">
        <f t="shared" si="99"/>
        <v/>
      </c>
      <c r="CK72" s="530" t="str">
        <f t="shared" si="100"/>
        <v/>
      </c>
      <c r="CL72" s="530" t="str">
        <f t="shared" si="101"/>
        <v/>
      </c>
      <c r="CM72" s="82" t="str">
        <f t="shared" si="102"/>
        <v/>
      </c>
      <c r="CN72" s="496" t="str">
        <f t="shared" si="62"/>
        <v/>
      </c>
      <c r="CO72" s="496" t="str">
        <f t="shared" si="52"/>
        <v>0</v>
      </c>
      <c r="CP72" s="491">
        <f t="shared" si="103"/>
        <v>0</v>
      </c>
      <c r="CS72" s="496">
        <f t="shared" si="104"/>
        <v>0</v>
      </c>
      <c r="CT72" s="496">
        <f t="shared" si="105"/>
        <v>0</v>
      </c>
      <c r="CU72" s="497" t="str">
        <f t="shared" si="106"/>
        <v>00</v>
      </c>
    </row>
    <row r="73" spans="1:99" ht="15" hidden="1" customHeight="1">
      <c r="A73" s="951">
        <v>70</v>
      </c>
      <c r="B73" s="1016"/>
      <c r="C73" s="922"/>
      <c r="D73" s="923"/>
      <c r="E73" s="913"/>
      <c r="F73" s="914"/>
      <c r="G73" s="1051"/>
      <c r="H73" s="921"/>
      <c r="I73" s="917"/>
      <c r="J73" s="916"/>
      <c r="K73" s="1012"/>
      <c r="L73" s="1012"/>
      <c r="M73" s="1017"/>
      <c r="N73" s="947"/>
      <c r="O73" s="406" t="str">
        <f t="shared" si="107"/>
        <v/>
      </c>
      <c r="P73" s="407" t="str">
        <f>IF(O73="","",VLOOKUP(O73,所属コード!$A$2:$E$11,2,FALSE))</f>
        <v/>
      </c>
      <c r="Q73" s="1033" t="str">
        <f>IF(O73="","",VLOOKUP(O73,所属コード!$A$2:$G$11,7,FALSE))</f>
        <v/>
      </c>
      <c r="R73" s="1035"/>
      <c r="S73" s="77"/>
      <c r="T73" s="77"/>
      <c r="U73" s="77"/>
      <c r="V73" s="15"/>
      <c r="X73" s="488"/>
      <c r="Y73" s="945" t="str">
        <f t="shared" si="63"/>
        <v/>
      </c>
      <c r="Z73" s="489" t="str">
        <f t="shared" si="64"/>
        <v/>
      </c>
      <c r="AA73" s="488"/>
      <c r="AB73" s="488"/>
      <c r="AC73" s="488"/>
      <c r="AD73" s="488"/>
      <c r="AE73" s="488"/>
      <c r="AF73" s="488"/>
      <c r="AG73" s="491"/>
      <c r="AH73" s="591"/>
      <c r="AI73" s="592"/>
      <c r="AJ73" s="592"/>
      <c r="AK73" s="592"/>
      <c r="AL73" s="592"/>
      <c r="AM73" s="592"/>
      <c r="AN73" s="592"/>
      <c r="AO73" s="592"/>
      <c r="AP73" s="592"/>
      <c r="AQ73" s="592"/>
      <c r="AR73" s="592"/>
      <c r="AS73" s="592"/>
      <c r="AT73" s="592"/>
      <c r="AU73" s="592"/>
      <c r="AV73" s="592"/>
      <c r="AW73" s="604"/>
      <c r="AX73" s="609">
        <f t="shared" si="65"/>
        <v>0</v>
      </c>
      <c r="AY73" s="602">
        <f t="shared" si="58"/>
        <v>0</v>
      </c>
      <c r="AZ73" s="593">
        <f t="shared" si="59"/>
        <v>0</v>
      </c>
      <c r="BA73" s="594">
        <f t="shared" si="60"/>
        <v>0</v>
      </c>
      <c r="BB73" s="593">
        <f t="shared" si="61"/>
        <v>0</v>
      </c>
      <c r="BC73" s="593">
        <f t="shared" si="66"/>
        <v>0</v>
      </c>
      <c r="BD73" s="593">
        <f t="shared" si="67"/>
        <v>0</v>
      </c>
      <c r="BE73" s="593">
        <f t="shared" si="68"/>
        <v>0</v>
      </c>
      <c r="BF73" s="593">
        <f t="shared" si="69"/>
        <v>0</v>
      </c>
      <c r="BG73" s="593">
        <f t="shared" si="70"/>
        <v>0</v>
      </c>
      <c r="BH73" s="593">
        <f t="shared" si="71"/>
        <v>0</v>
      </c>
      <c r="BI73" s="593">
        <f t="shared" si="72"/>
        <v>0</v>
      </c>
      <c r="BJ73" s="593">
        <f t="shared" si="73"/>
        <v>0</v>
      </c>
      <c r="BK73" s="593">
        <f t="shared" si="74"/>
        <v>0</v>
      </c>
      <c r="BL73" s="593">
        <f t="shared" si="75"/>
        <v>0</v>
      </c>
      <c r="BM73" s="593">
        <f t="shared" si="76"/>
        <v>0</v>
      </c>
      <c r="BN73" s="593">
        <f t="shared" si="77"/>
        <v>0</v>
      </c>
      <c r="BO73" s="593">
        <f t="shared" si="78"/>
        <v>0</v>
      </c>
      <c r="BP73" s="593">
        <f t="shared" si="79"/>
        <v>0</v>
      </c>
      <c r="BQ73" s="593">
        <f t="shared" si="80"/>
        <v>0</v>
      </c>
      <c r="BR73" s="593">
        <f t="shared" si="81"/>
        <v>0</v>
      </c>
      <c r="BS73" s="593">
        <f t="shared" si="82"/>
        <v>0</v>
      </c>
      <c r="BT73" s="593">
        <f t="shared" si="83"/>
        <v>0</v>
      </c>
      <c r="BU73" s="593">
        <f t="shared" si="84"/>
        <v>0</v>
      </c>
      <c r="BV73" s="593">
        <f t="shared" si="85"/>
        <v>0</v>
      </c>
      <c r="BW73" s="593">
        <f t="shared" si="86"/>
        <v>0</v>
      </c>
      <c r="BX73" s="593">
        <f t="shared" si="87"/>
        <v>0</v>
      </c>
      <c r="BY73" s="593">
        <f t="shared" si="88"/>
        <v>0</v>
      </c>
      <c r="BZ73" s="593">
        <f t="shared" si="89"/>
        <v>0</v>
      </c>
      <c r="CA73" s="593">
        <f t="shared" si="90"/>
        <v>0</v>
      </c>
      <c r="CB73" s="593">
        <f t="shared" si="91"/>
        <v>0</v>
      </c>
      <c r="CC73" s="593">
        <f t="shared" si="92"/>
        <v>0</v>
      </c>
      <c r="CD73" s="593">
        <f t="shared" si="93"/>
        <v>0</v>
      </c>
      <c r="CE73" s="593">
        <f t="shared" si="94"/>
        <v>0</v>
      </c>
      <c r="CF73" s="595">
        <f t="shared" si="95"/>
        <v>0</v>
      </c>
      <c r="CG73" s="555" t="str">
        <f t="shared" si="96"/>
        <v/>
      </c>
      <c r="CH73" s="530" t="str">
        <f t="shared" si="97"/>
        <v/>
      </c>
      <c r="CI73" s="530" t="str">
        <f t="shared" si="98"/>
        <v/>
      </c>
      <c r="CJ73" s="530" t="str">
        <f t="shared" si="99"/>
        <v/>
      </c>
      <c r="CK73" s="530" t="str">
        <f t="shared" si="100"/>
        <v/>
      </c>
      <c r="CL73" s="530" t="str">
        <f t="shared" si="101"/>
        <v/>
      </c>
      <c r="CM73" s="82" t="str">
        <f t="shared" si="102"/>
        <v/>
      </c>
      <c r="CN73" s="496" t="str">
        <f t="shared" si="62"/>
        <v/>
      </c>
      <c r="CO73" s="496" t="str">
        <f t="shared" si="52"/>
        <v>0</v>
      </c>
      <c r="CP73" s="491">
        <f t="shared" si="103"/>
        <v>0</v>
      </c>
      <c r="CS73" s="496">
        <f t="shared" si="104"/>
        <v>0</v>
      </c>
      <c r="CT73" s="496">
        <f t="shared" si="105"/>
        <v>0</v>
      </c>
      <c r="CU73" s="497" t="str">
        <f t="shared" si="106"/>
        <v>00</v>
      </c>
    </row>
    <row r="74" spans="1:99" ht="15" hidden="1" customHeight="1">
      <c r="A74" s="951">
        <v>71</v>
      </c>
      <c r="B74" s="1016"/>
      <c r="C74" s="922"/>
      <c r="D74" s="923"/>
      <c r="E74" s="913"/>
      <c r="F74" s="914"/>
      <c r="G74" s="1051"/>
      <c r="H74" s="921"/>
      <c r="I74" s="917"/>
      <c r="J74" s="916"/>
      <c r="K74" s="1012"/>
      <c r="L74" s="1012"/>
      <c r="M74" s="1017"/>
      <c r="N74" s="947"/>
      <c r="O74" s="406" t="str">
        <f t="shared" si="107"/>
        <v/>
      </c>
      <c r="P74" s="407" t="str">
        <f>IF(O74="","",VLOOKUP(O74,所属コード!$A$2:$E$11,2,FALSE))</f>
        <v/>
      </c>
      <c r="Q74" s="1033" t="str">
        <f>IF(O74="","",VLOOKUP(O74,所属コード!$A$2:$G$11,7,FALSE))</f>
        <v/>
      </c>
      <c r="R74" s="1035"/>
      <c r="S74" s="77"/>
      <c r="T74" s="77"/>
      <c r="U74" s="77"/>
      <c r="V74" s="15"/>
      <c r="X74" s="488"/>
      <c r="Y74" s="945" t="str">
        <f t="shared" si="63"/>
        <v/>
      </c>
      <c r="Z74" s="489" t="str">
        <f t="shared" si="64"/>
        <v/>
      </c>
      <c r="AA74" s="488"/>
      <c r="AB74" s="488"/>
      <c r="AC74" s="488"/>
      <c r="AD74" s="488"/>
      <c r="AE74" s="488"/>
      <c r="AF74" s="488"/>
      <c r="AG74" s="491"/>
      <c r="AH74" s="591"/>
      <c r="AI74" s="592"/>
      <c r="AJ74" s="592"/>
      <c r="AK74" s="592"/>
      <c r="AL74" s="592"/>
      <c r="AM74" s="592"/>
      <c r="AN74" s="592"/>
      <c r="AO74" s="592"/>
      <c r="AP74" s="592"/>
      <c r="AQ74" s="592"/>
      <c r="AR74" s="592"/>
      <c r="AS74" s="592"/>
      <c r="AT74" s="592"/>
      <c r="AU74" s="592"/>
      <c r="AV74" s="592"/>
      <c r="AW74" s="604"/>
      <c r="AX74" s="609">
        <f t="shared" si="65"/>
        <v>0</v>
      </c>
      <c r="AY74" s="602">
        <f t="shared" si="58"/>
        <v>0</v>
      </c>
      <c r="AZ74" s="593">
        <f t="shared" si="59"/>
        <v>0</v>
      </c>
      <c r="BA74" s="594">
        <f t="shared" si="60"/>
        <v>0</v>
      </c>
      <c r="BB74" s="593">
        <f t="shared" si="61"/>
        <v>0</v>
      </c>
      <c r="BC74" s="593">
        <f t="shared" si="66"/>
        <v>0</v>
      </c>
      <c r="BD74" s="593">
        <f t="shared" si="67"/>
        <v>0</v>
      </c>
      <c r="BE74" s="593">
        <f t="shared" si="68"/>
        <v>0</v>
      </c>
      <c r="BF74" s="593">
        <f t="shared" si="69"/>
        <v>0</v>
      </c>
      <c r="BG74" s="593">
        <f t="shared" si="70"/>
        <v>0</v>
      </c>
      <c r="BH74" s="593">
        <f t="shared" si="71"/>
        <v>0</v>
      </c>
      <c r="BI74" s="593">
        <f t="shared" si="72"/>
        <v>0</v>
      </c>
      <c r="BJ74" s="593">
        <f t="shared" si="73"/>
        <v>0</v>
      </c>
      <c r="BK74" s="593">
        <f t="shared" si="74"/>
        <v>0</v>
      </c>
      <c r="BL74" s="593">
        <f t="shared" si="75"/>
        <v>0</v>
      </c>
      <c r="BM74" s="593">
        <f t="shared" si="76"/>
        <v>0</v>
      </c>
      <c r="BN74" s="593">
        <f t="shared" si="77"/>
        <v>0</v>
      </c>
      <c r="BO74" s="593">
        <f t="shared" si="78"/>
        <v>0</v>
      </c>
      <c r="BP74" s="593">
        <f t="shared" si="79"/>
        <v>0</v>
      </c>
      <c r="BQ74" s="593">
        <f t="shared" si="80"/>
        <v>0</v>
      </c>
      <c r="BR74" s="593">
        <f t="shared" si="81"/>
        <v>0</v>
      </c>
      <c r="BS74" s="593">
        <f t="shared" si="82"/>
        <v>0</v>
      </c>
      <c r="BT74" s="593">
        <f t="shared" si="83"/>
        <v>0</v>
      </c>
      <c r="BU74" s="593">
        <f t="shared" si="84"/>
        <v>0</v>
      </c>
      <c r="BV74" s="593">
        <f t="shared" si="85"/>
        <v>0</v>
      </c>
      <c r="BW74" s="593">
        <f t="shared" si="86"/>
        <v>0</v>
      </c>
      <c r="BX74" s="593">
        <f t="shared" si="87"/>
        <v>0</v>
      </c>
      <c r="BY74" s="593">
        <f t="shared" si="88"/>
        <v>0</v>
      </c>
      <c r="BZ74" s="593">
        <f t="shared" si="89"/>
        <v>0</v>
      </c>
      <c r="CA74" s="593">
        <f t="shared" si="90"/>
        <v>0</v>
      </c>
      <c r="CB74" s="593">
        <f t="shared" si="91"/>
        <v>0</v>
      </c>
      <c r="CC74" s="593">
        <f t="shared" si="92"/>
        <v>0</v>
      </c>
      <c r="CD74" s="593">
        <f t="shared" si="93"/>
        <v>0</v>
      </c>
      <c r="CE74" s="593">
        <f t="shared" si="94"/>
        <v>0</v>
      </c>
      <c r="CF74" s="595">
        <f t="shared" si="95"/>
        <v>0</v>
      </c>
      <c r="CG74" s="555" t="str">
        <f t="shared" si="96"/>
        <v/>
      </c>
      <c r="CH74" s="530" t="str">
        <f t="shared" si="97"/>
        <v/>
      </c>
      <c r="CI74" s="530" t="str">
        <f t="shared" si="98"/>
        <v/>
      </c>
      <c r="CJ74" s="530" t="str">
        <f t="shared" si="99"/>
        <v/>
      </c>
      <c r="CK74" s="530" t="str">
        <f t="shared" si="100"/>
        <v/>
      </c>
      <c r="CL74" s="530" t="str">
        <f t="shared" si="101"/>
        <v/>
      </c>
      <c r="CM74" s="82" t="str">
        <f t="shared" si="102"/>
        <v/>
      </c>
      <c r="CN74" s="496" t="str">
        <f t="shared" si="62"/>
        <v/>
      </c>
      <c r="CO74" s="496" t="str">
        <f t="shared" si="52"/>
        <v>0</v>
      </c>
      <c r="CP74" s="491">
        <f t="shared" si="103"/>
        <v>0</v>
      </c>
      <c r="CS74" s="496">
        <f t="shared" si="104"/>
        <v>0</v>
      </c>
      <c r="CT74" s="496">
        <f t="shared" si="105"/>
        <v>0</v>
      </c>
      <c r="CU74" s="497" t="str">
        <f t="shared" si="106"/>
        <v>00</v>
      </c>
    </row>
    <row r="75" spans="1:99" ht="15" hidden="1" customHeight="1">
      <c r="A75" s="951">
        <v>72</v>
      </c>
      <c r="B75" s="1016"/>
      <c r="C75" s="922"/>
      <c r="D75" s="923"/>
      <c r="E75" s="913"/>
      <c r="F75" s="914"/>
      <c r="G75" s="1051"/>
      <c r="H75" s="921"/>
      <c r="I75" s="917"/>
      <c r="J75" s="916"/>
      <c r="K75" s="1012"/>
      <c r="L75" s="1012"/>
      <c r="M75" s="1017"/>
      <c r="N75" s="947"/>
      <c r="O75" s="406" t="str">
        <f t="shared" si="107"/>
        <v/>
      </c>
      <c r="P75" s="407" t="str">
        <f>IF(O75="","",VLOOKUP(O75,所属コード!$A$2:$E$11,2,FALSE))</f>
        <v/>
      </c>
      <c r="Q75" s="1033" t="str">
        <f>IF(O75="","",VLOOKUP(O75,所属コード!$A$2:$G$11,7,FALSE))</f>
        <v/>
      </c>
      <c r="R75" s="1035"/>
      <c r="S75" s="77"/>
      <c r="T75" s="77"/>
      <c r="U75" s="77"/>
      <c r="V75" s="15"/>
      <c r="X75" s="488"/>
      <c r="Y75" s="945" t="str">
        <f t="shared" si="63"/>
        <v/>
      </c>
      <c r="Z75" s="489" t="str">
        <f t="shared" si="64"/>
        <v/>
      </c>
      <c r="AA75" s="488"/>
      <c r="AB75" s="488"/>
      <c r="AC75" s="488"/>
      <c r="AD75" s="488"/>
      <c r="AE75" s="488"/>
      <c r="AF75" s="488"/>
      <c r="AG75" s="491"/>
      <c r="AH75" s="591"/>
      <c r="AI75" s="592"/>
      <c r="AJ75" s="592"/>
      <c r="AK75" s="592"/>
      <c r="AL75" s="592"/>
      <c r="AM75" s="592"/>
      <c r="AN75" s="592"/>
      <c r="AO75" s="592"/>
      <c r="AP75" s="592"/>
      <c r="AQ75" s="592"/>
      <c r="AR75" s="592"/>
      <c r="AS75" s="592"/>
      <c r="AT75" s="592"/>
      <c r="AU75" s="592"/>
      <c r="AV75" s="592"/>
      <c r="AW75" s="604"/>
      <c r="AX75" s="609">
        <f t="shared" si="65"/>
        <v>0</v>
      </c>
      <c r="AY75" s="602">
        <f t="shared" si="58"/>
        <v>0</v>
      </c>
      <c r="AZ75" s="593">
        <f t="shared" si="59"/>
        <v>0</v>
      </c>
      <c r="BA75" s="594">
        <f t="shared" si="60"/>
        <v>0</v>
      </c>
      <c r="BB75" s="593">
        <f t="shared" si="61"/>
        <v>0</v>
      </c>
      <c r="BC75" s="593">
        <f t="shared" si="66"/>
        <v>0</v>
      </c>
      <c r="BD75" s="593">
        <f t="shared" si="67"/>
        <v>0</v>
      </c>
      <c r="BE75" s="593">
        <f t="shared" si="68"/>
        <v>0</v>
      </c>
      <c r="BF75" s="593">
        <f t="shared" si="69"/>
        <v>0</v>
      </c>
      <c r="BG75" s="593">
        <f t="shared" si="70"/>
        <v>0</v>
      </c>
      <c r="BH75" s="593">
        <f t="shared" si="71"/>
        <v>0</v>
      </c>
      <c r="BI75" s="593">
        <f t="shared" si="72"/>
        <v>0</v>
      </c>
      <c r="BJ75" s="593">
        <f t="shared" si="73"/>
        <v>0</v>
      </c>
      <c r="BK75" s="593">
        <f t="shared" si="74"/>
        <v>0</v>
      </c>
      <c r="BL75" s="593">
        <f t="shared" si="75"/>
        <v>0</v>
      </c>
      <c r="BM75" s="593">
        <f t="shared" si="76"/>
        <v>0</v>
      </c>
      <c r="BN75" s="593">
        <f t="shared" si="77"/>
        <v>0</v>
      </c>
      <c r="BO75" s="593">
        <f t="shared" si="78"/>
        <v>0</v>
      </c>
      <c r="BP75" s="593">
        <f t="shared" si="79"/>
        <v>0</v>
      </c>
      <c r="BQ75" s="593">
        <f t="shared" si="80"/>
        <v>0</v>
      </c>
      <c r="BR75" s="593">
        <f t="shared" si="81"/>
        <v>0</v>
      </c>
      <c r="BS75" s="593">
        <f t="shared" si="82"/>
        <v>0</v>
      </c>
      <c r="BT75" s="593">
        <f t="shared" si="83"/>
        <v>0</v>
      </c>
      <c r="BU75" s="593">
        <f t="shared" si="84"/>
        <v>0</v>
      </c>
      <c r="BV75" s="593">
        <f t="shared" si="85"/>
        <v>0</v>
      </c>
      <c r="BW75" s="593">
        <f t="shared" si="86"/>
        <v>0</v>
      </c>
      <c r="BX75" s="593">
        <f t="shared" si="87"/>
        <v>0</v>
      </c>
      <c r="BY75" s="593">
        <f t="shared" si="88"/>
        <v>0</v>
      </c>
      <c r="BZ75" s="593">
        <f t="shared" si="89"/>
        <v>0</v>
      </c>
      <c r="CA75" s="593">
        <f t="shared" si="90"/>
        <v>0</v>
      </c>
      <c r="CB75" s="593">
        <f t="shared" si="91"/>
        <v>0</v>
      </c>
      <c r="CC75" s="593">
        <f t="shared" si="92"/>
        <v>0</v>
      </c>
      <c r="CD75" s="593">
        <f t="shared" si="93"/>
        <v>0</v>
      </c>
      <c r="CE75" s="593">
        <f t="shared" si="94"/>
        <v>0</v>
      </c>
      <c r="CF75" s="595">
        <f t="shared" si="95"/>
        <v>0</v>
      </c>
      <c r="CG75" s="555" t="str">
        <f t="shared" si="96"/>
        <v/>
      </c>
      <c r="CH75" s="530" t="str">
        <f t="shared" si="97"/>
        <v/>
      </c>
      <c r="CI75" s="530" t="str">
        <f t="shared" si="98"/>
        <v/>
      </c>
      <c r="CJ75" s="530" t="str">
        <f t="shared" si="99"/>
        <v/>
      </c>
      <c r="CK75" s="530" t="str">
        <f t="shared" si="100"/>
        <v/>
      </c>
      <c r="CL75" s="530" t="str">
        <f t="shared" si="101"/>
        <v/>
      </c>
      <c r="CM75" s="82" t="str">
        <f t="shared" si="102"/>
        <v/>
      </c>
      <c r="CN75" s="496" t="str">
        <f t="shared" si="62"/>
        <v/>
      </c>
      <c r="CO75" s="496" t="str">
        <f t="shared" si="52"/>
        <v>0</v>
      </c>
      <c r="CP75" s="491">
        <f t="shared" si="103"/>
        <v>0</v>
      </c>
      <c r="CS75" s="496">
        <f t="shared" si="104"/>
        <v>0</v>
      </c>
      <c r="CT75" s="496">
        <f t="shared" si="105"/>
        <v>0</v>
      </c>
      <c r="CU75" s="497" t="str">
        <f t="shared" si="106"/>
        <v>00</v>
      </c>
    </row>
    <row r="76" spans="1:99" ht="15" hidden="1" customHeight="1">
      <c r="A76" s="951">
        <v>73</v>
      </c>
      <c r="B76" s="1016"/>
      <c r="C76" s="922"/>
      <c r="D76" s="923"/>
      <c r="E76" s="913"/>
      <c r="F76" s="914"/>
      <c r="G76" s="1051"/>
      <c r="H76" s="921"/>
      <c r="I76" s="917"/>
      <c r="J76" s="916"/>
      <c r="K76" s="1012"/>
      <c r="L76" s="1012"/>
      <c r="M76" s="1017"/>
      <c r="N76" s="947"/>
      <c r="O76" s="406" t="str">
        <f t="shared" si="107"/>
        <v/>
      </c>
      <c r="P76" s="407" t="str">
        <f>IF(O76="","",VLOOKUP(O76,所属コード!$A$2:$E$11,2,FALSE))</f>
        <v/>
      </c>
      <c r="Q76" s="1033" t="str">
        <f>IF(O76="","",VLOOKUP(O76,所属コード!$A$2:$G$11,7,FALSE))</f>
        <v/>
      </c>
      <c r="R76" s="1035"/>
      <c r="S76" s="77"/>
      <c r="T76" s="77"/>
      <c r="U76" s="77"/>
      <c r="V76" s="15"/>
      <c r="X76" s="488"/>
      <c r="Y76" s="945" t="str">
        <f t="shared" si="63"/>
        <v/>
      </c>
      <c r="Z76" s="489" t="str">
        <f t="shared" si="64"/>
        <v/>
      </c>
      <c r="AA76" s="488"/>
      <c r="AB76" s="488"/>
      <c r="AC76" s="488"/>
      <c r="AD76" s="488"/>
      <c r="AE76" s="488"/>
      <c r="AF76" s="488"/>
      <c r="AG76" s="491"/>
      <c r="AH76" s="591"/>
      <c r="AI76" s="592"/>
      <c r="AJ76" s="592"/>
      <c r="AK76" s="592"/>
      <c r="AL76" s="592"/>
      <c r="AM76" s="592"/>
      <c r="AN76" s="592"/>
      <c r="AO76" s="592"/>
      <c r="AP76" s="592"/>
      <c r="AQ76" s="592"/>
      <c r="AR76" s="592"/>
      <c r="AS76" s="592"/>
      <c r="AT76" s="592"/>
      <c r="AU76" s="592"/>
      <c r="AV76" s="592"/>
      <c r="AW76" s="604"/>
      <c r="AX76" s="609">
        <f t="shared" si="65"/>
        <v>0</v>
      </c>
      <c r="AY76" s="602">
        <f t="shared" si="58"/>
        <v>0</v>
      </c>
      <c r="AZ76" s="593">
        <f t="shared" si="59"/>
        <v>0</v>
      </c>
      <c r="BA76" s="594">
        <f t="shared" si="60"/>
        <v>0</v>
      </c>
      <c r="BB76" s="593">
        <f t="shared" si="61"/>
        <v>0</v>
      </c>
      <c r="BC76" s="593">
        <f t="shared" si="66"/>
        <v>0</v>
      </c>
      <c r="BD76" s="593">
        <f t="shared" si="67"/>
        <v>0</v>
      </c>
      <c r="BE76" s="593">
        <f t="shared" si="68"/>
        <v>0</v>
      </c>
      <c r="BF76" s="593">
        <f t="shared" si="69"/>
        <v>0</v>
      </c>
      <c r="BG76" s="593">
        <f t="shared" si="70"/>
        <v>0</v>
      </c>
      <c r="BH76" s="593">
        <f t="shared" si="71"/>
        <v>0</v>
      </c>
      <c r="BI76" s="593">
        <f t="shared" si="72"/>
        <v>0</v>
      </c>
      <c r="BJ76" s="593">
        <f t="shared" si="73"/>
        <v>0</v>
      </c>
      <c r="BK76" s="593">
        <f t="shared" si="74"/>
        <v>0</v>
      </c>
      <c r="BL76" s="593">
        <f t="shared" si="75"/>
        <v>0</v>
      </c>
      <c r="BM76" s="593">
        <f t="shared" si="76"/>
        <v>0</v>
      </c>
      <c r="BN76" s="593">
        <f t="shared" si="77"/>
        <v>0</v>
      </c>
      <c r="BO76" s="593">
        <f t="shared" si="78"/>
        <v>0</v>
      </c>
      <c r="BP76" s="593">
        <f t="shared" si="79"/>
        <v>0</v>
      </c>
      <c r="BQ76" s="593">
        <f t="shared" si="80"/>
        <v>0</v>
      </c>
      <c r="BR76" s="593">
        <f t="shared" si="81"/>
        <v>0</v>
      </c>
      <c r="BS76" s="593">
        <f t="shared" si="82"/>
        <v>0</v>
      </c>
      <c r="BT76" s="593">
        <f t="shared" si="83"/>
        <v>0</v>
      </c>
      <c r="BU76" s="593">
        <f t="shared" si="84"/>
        <v>0</v>
      </c>
      <c r="BV76" s="593">
        <f t="shared" si="85"/>
        <v>0</v>
      </c>
      <c r="BW76" s="593">
        <f t="shared" si="86"/>
        <v>0</v>
      </c>
      <c r="BX76" s="593">
        <f t="shared" si="87"/>
        <v>0</v>
      </c>
      <c r="BY76" s="593">
        <f t="shared" si="88"/>
        <v>0</v>
      </c>
      <c r="BZ76" s="593">
        <f t="shared" si="89"/>
        <v>0</v>
      </c>
      <c r="CA76" s="593">
        <f t="shared" si="90"/>
        <v>0</v>
      </c>
      <c r="CB76" s="593">
        <f t="shared" si="91"/>
        <v>0</v>
      </c>
      <c r="CC76" s="593">
        <f t="shared" si="92"/>
        <v>0</v>
      </c>
      <c r="CD76" s="593">
        <f t="shared" si="93"/>
        <v>0</v>
      </c>
      <c r="CE76" s="593">
        <f t="shared" si="94"/>
        <v>0</v>
      </c>
      <c r="CF76" s="595">
        <f t="shared" si="95"/>
        <v>0</v>
      </c>
      <c r="CG76" s="555" t="str">
        <f t="shared" si="96"/>
        <v/>
      </c>
      <c r="CH76" s="530" t="str">
        <f t="shared" si="97"/>
        <v/>
      </c>
      <c r="CI76" s="530" t="str">
        <f t="shared" si="98"/>
        <v/>
      </c>
      <c r="CJ76" s="530" t="str">
        <f t="shared" si="99"/>
        <v/>
      </c>
      <c r="CK76" s="530" t="str">
        <f t="shared" si="100"/>
        <v/>
      </c>
      <c r="CL76" s="530" t="str">
        <f t="shared" si="101"/>
        <v/>
      </c>
      <c r="CM76" s="82" t="str">
        <f t="shared" si="102"/>
        <v/>
      </c>
      <c r="CN76" s="496" t="str">
        <f t="shared" si="62"/>
        <v/>
      </c>
      <c r="CO76" s="496" t="str">
        <f t="shared" si="52"/>
        <v>0</v>
      </c>
      <c r="CP76" s="491">
        <f t="shared" si="103"/>
        <v>0</v>
      </c>
      <c r="CS76" s="496">
        <f t="shared" si="104"/>
        <v>0</v>
      </c>
      <c r="CT76" s="496">
        <f t="shared" si="105"/>
        <v>0</v>
      </c>
      <c r="CU76" s="497" t="str">
        <f t="shared" si="106"/>
        <v>00</v>
      </c>
    </row>
    <row r="77" spans="1:99" ht="15" hidden="1" customHeight="1">
      <c r="A77" s="951">
        <v>74</v>
      </c>
      <c r="B77" s="1016"/>
      <c r="C77" s="922"/>
      <c r="D77" s="923"/>
      <c r="E77" s="913"/>
      <c r="F77" s="914"/>
      <c r="G77" s="1051"/>
      <c r="H77" s="921"/>
      <c r="I77" s="917"/>
      <c r="J77" s="916"/>
      <c r="K77" s="1012"/>
      <c r="L77" s="1012"/>
      <c r="M77" s="1017"/>
      <c r="N77" s="947"/>
      <c r="O77" s="406" t="str">
        <f t="shared" si="107"/>
        <v/>
      </c>
      <c r="P77" s="407" t="str">
        <f>IF(O77="","",VLOOKUP(O77,所属コード!$A$2:$E$11,2,FALSE))</f>
        <v/>
      </c>
      <c r="Q77" s="1033" t="str">
        <f>IF(O77="","",VLOOKUP(O77,所属コード!$A$2:$G$11,7,FALSE))</f>
        <v/>
      </c>
      <c r="R77" s="1035"/>
      <c r="S77" s="77"/>
      <c r="T77" s="77"/>
      <c r="U77" s="77"/>
      <c r="V77" s="15"/>
      <c r="X77" s="488"/>
      <c r="Y77" s="945" t="str">
        <f t="shared" si="63"/>
        <v/>
      </c>
      <c r="Z77" s="489" t="str">
        <f t="shared" si="64"/>
        <v/>
      </c>
      <c r="AA77" s="488"/>
      <c r="AB77" s="488"/>
      <c r="AC77" s="488"/>
      <c r="AD77" s="488"/>
      <c r="AE77" s="488"/>
      <c r="AF77" s="488"/>
      <c r="AG77" s="491"/>
      <c r="AH77" s="591"/>
      <c r="AI77" s="592"/>
      <c r="AJ77" s="592"/>
      <c r="AK77" s="592"/>
      <c r="AL77" s="592"/>
      <c r="AM77" s="592"/>
      <c r="AN77" s="592"/>
      <c r="AO77" s="592"/>
      <c r="AP77" s="592"/>
      <c r="AQ77" s="592"/>
      <c r="AR77" s="592"/>
      <c r="AS77" s="592"/>
      <c r="AT77" s="592"/>
      <c r="AU77" s="592"/>
      <c r="AV77" s="592"/>
      <c r="AW77" s="604"/>
      <c r="AX77" s="609">
        <f t="shared" si="65"/>
        <v>0</v>
      </c>
      <c r="AY77" s="602">
        <f t="shared" si="58"/>
        <v>0</v>
      </c>
      <c r="AZ77" s="593">
        <f t="shared" si="59"/>
        <v>0</v>
      </c>
      <c r="BA77" s="594">
        <f t="shared" si="60"/>
        <v>0</v>
      </c>
      <c r="BB77" s="593">
        <f t="shared" si="61"/>
        <v>0</v>
      </c>
      <c r="BC77" s="593">
        <f t="shared" si="66"/>
        <v>0</v>
      </c>
      <c r="BD77" s="593">
        <f t="shared" si="67"/>
        <v>0</v>
      </c>
      <c r="BE77" s="593">
        <f t="shared" si="68"/>
        <v>0</v>
      </c>
      <c r="BF77" s="593">
        <f t="shared" si="69"/>
        <v>0</v>
      </c>
      <c r="BG77" s="593">
        <f t="shared" si="70"/>
        <v>0</v>
      </c>
      <c r="BH77" s="593">
        <f t="shared" si="71"/>
        <v>0</v>
      </c>
      <c r="BI77" s="593">
        <f t="shared" si="72"/>
        <v>0</v>
      </c>
      <c r="BJ77" s="593">
        <f t="shared" si="73"/>
        <v>0</v>
      </c>
      <c r="BK77" s="593">
        <f t="shared" si="74"/>
        <v>0</v>
      </c>
      <c r="BL77" s="593">
        <f t="shared" si="75"/>
        <v>0</v>
      </c>
      <c r="BM77" s="593">
        <f t="shared" si="76"/>
        <v>0</v>
      </c>
      <c r="BN77" s="593">
        <f t="shared" si="77"/>
        <v>0</v>
      </c>
      <c r="BO77" s="593">
        <f t="shared" si="78"/>
        <v>0</v>
      </c>
      <c r="BP77" s="593">
        <f t="shared" si="79"/>
        <v>0</v>
      </c>
      <c r="BQ77" s="593">
        <f t="shared" si="80"/>
        <v>0</v>
      </c>
      <c r="BR77" s="593">
        <f t="shared" si="81"/>
        <v>0</v>
      </c>
      <c r="BS77" s="593">
        <f t="shared" si="82"/>
        <v>0</v>
      </c>
      <c r="BT77" s="593">
        <f t="shared" si="83"/>
        <v>0</v>
      </c>
      <c r="BU77" s="593">
        <f t="shared" si="84"/>
        <v>0</v>
      </c>
      <c r="BV77" s="593">
        <f t="shared" si="85"/>
        <v>0</v>
      </c>
      <c r="BW77" s="593">
        <f t="shared" si="86"/>
        <v>0</v>
      </c>
      <c r="BX77" s="593">
        <f t="shared" si="87"/>
        <v>0</v>
      </c>
      <c r="BY77" s="593">
        <f t="shared" si="88"/>
        <v>0</v>
      </c>
      <c r="BZ77" s="593">
        <f t="shared" si="89"/>
        <v>0</v>
      </c>
      <c r="CA77" s="593">
        <f t="shared" si="90"/>
        <v>0</v>
      </c>
      <c r="CB77" s="593">
        <f t="shared" si="91"/>
        <v>0</v>
      </c>
      <c r="CC77" s="593">
        <f t="shared" si="92"/>
        <v>0</v>
      </c>
      <c r="CD77" s="593">
        <f t="shared" si="93"/>
        <v>0</v>
      </c>
      <c r="CE77" s="593">
        <f t="shared" si="94"/>
        <v>0</v>
      </c>
      <c r="CF77" s="595">
        <f t="shared" si="95"/>
        <v>0</v>
      </c>
      <c r="CG77" s="555" t="str">
        <f t="shared" si="96"/>
        <v/>
      </c>
      <c r="CH77" s="530" t="str">
        <f t="shared" si="97"/>
        <v/>
      </c>
      <c r="CI77" s="530" t="str">
        <f t="shared" si="98"/>
        <v/>
      </c>
      <c r="CJ77" s="530" t="str">
        <f t="shared" si="99"/>
        <v/>
      </c>
      <c r="CK77" s="530" t="str">
        <f t="shared" si="100"/>
        <v/>
      </c>
      <c r="CL77" s="530" t="str">
        <f t="shared" si="101"/>
        <v/>
      </c>
      <c r="CM77" s="82" t="str">
        <f t="shared" si="102"/>
        <v/>
      </c>
      <c r="CN77" s="496" t="str">
        <f t="shared" si="62"/>
        <v/>
      </c>
      <c r="CO77" s="496" t="str">
        <f t="shared" si="52"/>
        <v>0</v>
      </c>
      <c r="CP77" s="491">
        <f t="shared" si="103"/>
        <v>0</v>
      </c>
      <c r="CS77" s="496">
        <f t="shared" si="104"/>
        <v>0</v>
      </c>
      <c r="CT77" s="496">
        <f t="shared" si="105"/>
        <v>0</v>
      </c>
      <c r="CU77" s="497" t="str">
        <f t="shared" si="106"/>
        <v>00</v>
      </c>
    </row>
    <row r="78" spans="1:99" ht="15" hidden="1" customHeight="1">
      <c r="A78" s="951">
        <v>75</v>
      </c>
      <c r="B78" s="1016"/>
      <c r="C78" s="922"/>
      <c r="D78" s="923"/>
      <c r="E78" s="913"/>
      <c r="F78" s="914"/>
      <c r="G78" s="1051"/>
      <c r="H78" s="915"/>
      <c r="I78" s="916"/>
      <c r="J78" s="917"/>
      <c r="K78" s="1012"/>
      <c r="L78" s="1012"/>
      <c r="M78" s="1017"/>
      <c r="N78" s="947"/>
      <c r="O78" s="406" t="str">
        <f t="shared" si="107"/>
        <v/>
      </c>
      <c r="P78" s="407" t="str">
        <f>IF(O78="","",VLOOKUP(O78,所属コード!$A$2:$E$11,2,FALSE))</f>
        <v/>
      </c>
      <c r="Q78" s="1033" t="str">
        <f>IF(O78="","",VLOOKUP(O78,所属コード!$A$2:$G$11,7,FALSE))</f>
        <v/>
      </c>
      <c r="R78" s="1035"/>
      <c r="S78" s="77"/>
      <c r="T78" s="77"/>
      <c r="U78" s="77"/>
      <c r="V78" s="15"/>
      <c r="X78" s="488"/>
      <c r="Y78" s="945" t="str">
        <f t="shared" si="63"/>
        <v/>
      </c>
      <c r="Z78" s="489" t="str">
        <f t="shared" si="64"/>
        <v/>
      </c>
      <c r="AA78" s="488"/>
      <c r="AB78" s="488"/>
      <c r="AC78" s="488"/>
      <c r="AD78" s="488"/>
      <c r="AE78" s="488"/>
      <c r="AF78" s="488"/>
      <c r="AG78" s="491"/>
      <c r="AH78" s="591"/>
      <c r="AI78" s="592"/>
      <c r="AJ78" s="592"/>
      <c r="AK78" s="592"/>
      <c r="AL78" s="592"/>
      <c r="AM78" s="592"/>
      <c r="AN78" s="592"/>
      <c r="AO78" s="592"/>
      <c r="AP78" s="592"/>
      <c r="AQ78" s="592"/>
      <c r="AR78" s="592"/>
      <c r="AS78" s="592"/>
      <c r="AT78" s="592"/>
      <c r="AU78" s="592"/>
      <c r="AV78" s="592"/>
      <c r="AW78" s="604"/>
      <c r="AX78" s="609">
        <f t="shared" si="65"/>
        <v>0</v>
      </c>
      <c r="AY78" s="602">
        <f t="shared" si="58"/>
        <v>0</v>
      </c>
      <c r="AZ78" s="593">
        <f t="shared" si="59"/>
        <v>0</v>
      </c>
      <c r="BA78" s="594">
        <f t="shared" si="60"/>
        <v>0</v>
      </c>
      <c r="BB78" s="593">
        <f t="shared" si="61"/>
        <v>0</v>
      </c>
      <c r="BC78" s="593">
        <f t="shared" si="66"/>
        <v>0</v>
      </c>
      <c r="BD78" s="593">
        <f t="shared" si="67"/>
        <v>0</v>
      </c>
      <c r="BE78" s="593">
        <f t="shared" si="68"/>
        <v>0</v>
      </c>
      <c r="BF78" s="593">
        <f t="shared" si="69"/>
        <v>0</v>
      </c>
      <c r="BG78" s="593">
        <f t="shared" si="70"/>
        <v>0</v>
      </c>
      <c r="BH78" s="593">
        <f t="shared" si="71"/>
        <v>0</v>
      </c>
      <c r="BI78" s="593">
        <f t="shared" si="72"/>
        <v>0</v>
      </c>
      <c r="BJ78" s="593">
        <f t="shared" si="73"/>
        <v>0</v>
      </c>
      <c r="BK78" s="593">
        <f t="shared" si="74"/>
        <v>0</v>
      </c>
      <c r="BL78" s="593">
        <f t="shared" si="75"/>
        <v>0</v>
      </c>
      <c r="BM78" s="593">
        <f t="shared" si="76"/>
        <v>0</v>
      </c>
      <c r="BN78" s="593">
        <f t="shared" si="77"/>
        <v>0</v>
      </c>
      <c r="BO78" s="593">
        <f t="shared" si="78"/>
        <v>0</v>
      </c>
      <c r="BP78" s="593">
        <f t="shared" si="79"/>
        <v>0</v>
      </c>
      <c r="BQ78" s="593">
        <f t="shared" si="80"/>
        <v>0</v>
      </c>
      <c r="BR78" s="593">
        <f t="shared" si="81"/>
        <v>0</v>
      </c>
      <c r="BS78" s="593">
        <f t="shared" si="82"/>
        <v>0</v>
      </c>
      <c r="BT78" s="593">
        <f t="shared" si="83"/>
        <v>0</v>
      </c>
      <c r="BU78" s="593">
        <f t="shared" si="84"/>
        <v>0</v>
      </c>
      <c r="BV78" s="593">
        <f t="shared" si="85"/>
        <v>0</v>
      </c>
      <c r="BW78" s="593">
        <f t="shared" si="86"/>
        <v>0</v>
      </c>
      <c r="BX78" s="593">
        <f t="shared" si="87"/>
        <v>0</v>
      </c>
      <c r="BY78" s="593">
        <f t="shared" si="88"/>
        <v>0</v>
      </c>
      <c r="BZ78" s="593">
        <f t="shared" si="89"/>
        <v>0</v>
      </c>
      <c r="CA78" s="593">
        <f t="shared" si="90"/>
        <v>0</v>
      </c>
      <c r="CB78" s="593">
        <f t="shared" si="91"/>
        <v>0</v>
      </c>
      <c r="CC78" s="593">
        <f t="shared" si="92"/>
        <v>0</v>
      </c>
      <c r="CD78" s="593">
        <f t="shared" si="93"/>
        <v>0</v>
      </c>
      <c r="CE78" s="593">
        <f t="shared" si="94"/>
        <v>0</v>
      </c>
      <c r="CF78" s="595">
        <f t="shared" si="95"/>
        <v>0</v>
      </c>
      <c r="CG78" s="555" t="str">
        <f t="shared" si="96"/>
        <v/>
      </c>
      <c r="CH78" s="530" t="str">
        <f t="shared" si="97"/>
        <v/>
      </c>
      <c r="CI78" s="530" t="str">
        <f t="shared" si="98"/>
        <v/>
      </c>
      <c r="CJ78" s="530" t="str">
        <f t="shared" si="99"/>
        <v/>
      </c>
      <c r="CK78" s="530" t="str">
        <f t="shared" si="100"/>
        <v/>
      </c>
      <c r="CL78" s="530" t="str">
        <f t="shared" si="101"/>
        <v/>
      </c>
      <c r="CM78" s="82" t="str">
        <f t="shared" si="102"/>
        <v/>
      </c>
      <c r="CN78" s="496" t="str">
        <f t="shared" si="62"/>
        <v/>
      </c>
      <c r="CO78" s="496" t="str">
        <f t="shared" ref="CO78:CO113" si="108">IF(M78&lt;10,CONCATENATE(0,M78),M78)</f>
        <v>0</v>
      </c>
      <c r="CP78" s="491">
        <f t="shared" si="103"/>
        <v>0</v>
      </c>
      <c r="CS78" s="496">
        <f t="shared" si="104"/>
        <v>0</v>
      </c>
      <c r="CT78" s="496">
        <f t="shared" si="105"/>
        <v>0</v>
      </c>
      <c r="CU78" s="497" t="str">
        <f t="shared" si="106"/>
        <v>00</v>
      </c>
    </row>
    <row r="79" spans="1:99" ht="15" hidden="1" customHeight="1">
      <c r="A79" s="951">
        <v>76</v>
      </c>
      <c r="B79" s="1016"/>
      <c r="C79" s="922"/>
      <c r="D79" s="923"/>
      <c r="E79" s="913"/>
      <c r="F79" s="914"/>
      <c r="G79" s="1051"/>
      <c r="H79" s="915"/>
      <c r="I79" s="916"/>
      <c r="J79" s="917"/>
      <c r="K79" s="1012"/>
      <c r="L79" s="1012"/>
      <c r="M79" s="1017"/>
      <c r="N79" s="947"/>
      <c r="O79" s="406" t="str">
        <f t="shared" si="107"/>
        <v/>
      </c>
      <c r="P79" s="407" t="str">
        <f>IF(O79="","",VLOOKUP(O79,所属コード!$A$2:$E$11,2,FALSE))</f>
        <v/>
      </c>
      <c r="Q79" s="1033" t="str">
        <f>IF(O79="","",VLOOKUP(O79,所属コード!$A$2:$G$11,7,FALSE))</f>
        <v/>
      </c>
      <c r="R79" s="1035"/>
      <c r="S79" s="77"/>
      <c r="T79" s="77"/>
      <c r="U79" s="77"/>
      <c r="V79" s="15"/>
      <c r="X79" s="488"/>
      <c r="Y79" s="945" t="str">
        <f t="shared" si="63"/>
        <v/>
      </c>
      <c r="Z79" s="489" t="str">
        <f t="shared" si="64"/>
        <v/>
      </c>
      <c r="AA79" s="488"/>
      <c r="AB79" s="488"/>
      <c r="AC79" s="488"/>
      <c r="AD79" s="488"/>
      <c r="AE79" s="488"/>
      <c r="AF79" s="488"/>
      <c r="AG79" s="491"/>
      <c r="AH79" s="591"/>
      <c r="AI79" s="592"/>
      <c r="AJ79" s="592"/>
      <c r="AK79" s="592"/>
      <c r="AL79" s="592"/>
      <c r="AM79" s="592"/>
      <c r="AN79" s="592"/>
      <c r="AO79" s="592"/>
      <c r="AP79" s="592"/>
      <c r="AQ79" s="592"/>
      <c r="AR79" s="592"/>
      <c r="AS79" s="592"/>
      <c r="AT79" s="592"/>
      <c r="AU79" s="592"/>
      <c r="AV79" s="592"/>
      <c r="AW79" s="604"/>
      <c r="AX79" s="609">
        <f t="shared" si="65"/>
        <v>0</v>
      </c>
      <c r="AY79" s="602">
        <f t="shared" si="58"/>
        <v>0</v>
      </c>
      <c r="AZ79" s="593">
        <f t="shared" si="59"/>
        <v>0</v>
      </c>
      <c r="BA79" s="594">
        <f t="shared" si="60"/>
        <v>0</v>
      </c>
      <c r="BB79" s="593">
        <f t="shared" si="61"/>
        <v>0</v>
      </c>
      <c r="BC79" s="593">
        <f t="shared" si="66"/>
        <v>0</v>
      </c>
      <c r="BD79" s="593">
        <f t="shared" si="67"/>
        <v>0</v>
      </c>
      <c r="BE79" s="593">
        <f t="shared" si="68"/>
        <v>0</v>
      </c>
      <c r="BF79" s="593">
        <f t="shared" si="69"/>
        <v>0</v>
      </c>
      <c r="BG79" s="593">
        <f t="shared" si="70"/>
        <v>0</v>
      </c>
      <c r="BH79" s="593">
        <f t="shared" si="71"/>
        <v>0</v>
      </c>
      <c r="BI79" s="593">
        <f t="shared" si="72"/>
        <v>0</v>
      </c>
      <c r="BJ79" s="593">
        <f t="shared" si="73"/>
        <v>0</v>
      </c>
      <c r="BK79" s="593">
        <f t="shared" si="74"/>
        <v>0</v>
      </c>
      <c r="BL79" s="593">
        <f t="shared" si="75"/>
        <v>0</v>
      </c>
      <c r="BM79" s="593">
        <f t="shared" si="76"/>
        <v>0</v>
      </c>
      <c r="BN79" s="593">
        <f t="shared" si="77"/>
        <v>0</v>
      </c>
      <c r="BO79" s="593">
        <f t="shared" si="78"/>
        <v>0</v>
      </c>
      <c r="BP79" s="593">
        <f t="shared" si="79"/>
        <v>0</v>
      </c>
      <c r="BQ79" s="593">
        <f t="shared" si="80"/>
        <v>0</v>
      </c>
      <c r="BR79" s="593">
        <f t="shared" si="81"/>
        <v>0</v>
      </c>
      <c r="BS79" s="593">
        <f t="shared" si="82"/>
        <v>0</v>
      </c>
      <c r="BT79" s="593">
        <f t="shared" si="83"/>
        <v>0</v>
      </c>
      <c r="BU79" s="593">
        <f t="shared" si="84"/>
        <v>0</v>
      </c>
      <c r="BV79" s="593">
        <f t="shared" si="85"/>
        <v>0</v>
      </c>
      <c r="BW79" s="593">
        <f t="shared" si="86"/>
        <v>0</v>
      </c>
      <c r="BX79" s="593">
        <f t="shared" si="87"/>
        <v>0</v>
      </c>
      <c r="BY79" s="593">
        <f t="shared" si="88"/>
        <v>0</v>
      </c>
      <c r="BZ79" s="593">
        <f t="shared" si="89"/>
        <v>0</v>
      </c>
      <c r="CA79" s="593">
        <f t="shared" si="90"/>
        <v>0</v>
      </c>
      <c r="CB79" s="593">
        <f t="shared" si="91"/>
        <v>0</v>
      </c>
      <c r="CC79" s="593">
        <f t="shared" si="92"/>
        <v>0</v>
      </c>
      <c r="CD79" s="593">
        <f t="shared" si="93"/>
        <v>0</v>
      </c>
      <c r="CE79" s="593">
        <f t="shared" si="94"/>
        <v>0</v>
      </c>
      <c r="CF79" s="595">
        <f t="shared" si="95"/>
        <v>0</v>
      </c>
      <c r="CG79" s="555" t="str">
        <f t="shared" si="96"/>
        <v/>
      </c>
      <c r="CH79" s="530" t="str">
        <f t="shared" si="97"/>
        <v/>
      </c>
      <c r="CI79" s="530" t="str">
        <f t="shared" si="98"/>
        <v/>
      </c>
      <c r="CJ79" s="530" t="str">
        <f t="shared" si="99"/>
        <v/>
      </c>
      <c r="CK79" s="530" t="str">
        <f t="shared" si="100"/>
        <v/>
      </c>
      <c r="CL79" s="530" t="str">
        <f t="shared" si="101"/>
        <v/>
      </c>
      <c r="CM79" s="82" t="str">
        <f t="shared" si="102"/>
        <v/>
      </c>
      <c r="CN79" s="496" t="str">
        <f t="shared" si="62"/>
        <v/>
      </c>
      <c r="CO79" s="496" t="str">
        <f t="shared" si="108"/>
        <v>0</v>
      </c>
      <c r="CP79" s="491">
        <f t="shared" si="103"/>
        <v>0</v>
      </c>
      <c r="CS79" s="496">
        <f t="shared" si="104"/>
        <v>0</v>
      </c>
      <c r="CT79" s="496">
        <f t="shared" si="105"/>
        <v>0</v>
      </c>
      <c r="CU79" s="497" t="str">
        <f t="shared" si="106"/>
        <v>00</v>
      </c>
    </row>
    <row r="80" spans="1:99" ht="15" hidden="1" customHeight="1">
      <c r="A80" s="951">
        <v>77</v>
      </c>
      <c r="B80" s="1016"/>
      <c r="C80" s="922"/>
      <c r="D80" s="923"/>
      <c r="E80" s="913"/>
      <c r="F80" s="914"/>
      <c r="G80" s="1051"/>
      <c r="H80" s="915"/>
      <c r="I80" s="916"/>
      <c r="J80" s="917"/>
      <c r="K80" s="1012"/>
      <c r="L80" s="1012"/>
      <c r="M80" s="1017"/>
      <c r="N80" s="947"/>
      <c r="O80" s="406" t="str">
        <f t="shared" si="107"/>
        <v/>
      </c>
      <c r="P80" s="407" t="str">
        <f>IF(O80="","",VLOOKUP(O80,所属コード!$A$2:$E$11,2,FALSE))</f>
        <v/>
      </c>
      <c r="Q80" s="1033" t="str">
        <f>IF(O80="","",VLOOKUP(O80,所属コード!$A$2:$G$11,7,FALSE))</f>
        <v/>
      </c>
      <c r="R80" s="1035"/>
      <c r="S80" s="77"/>
      <c r="T80" s="77"/>
      <c r="U80" s="77"/>
      <c r="V80" s="15"/>
      <c r="X80" s="488"/>
      <c r="Y80" s="945" t="str">
        <f t="shared" si="63"/>
        <v/>
      </c>
      <c r="Z80" s="489" t="str">
        <f t="shared" si="64"/>
        <v/>
      </c>
      <c r="AA80" s="488"/>
      <c r="AB80" s="488"/>
      <c r="AC80" s="488"/>
      <c r="AD80" s="488"/>
      <c r="AE80" s="488"/>
      <c r="AF80" s="488"/>
      <c r="AG80" s="491"/>
      <c r="AH80" s="591"/>
      <c r="AI80" s="592"/>
      <c r="AJ80" s="592"/>
      <c r="AK80" s="592"/>
      <c r="AL80" s="592"/>
      <c r="AM80" s="592"/>
      <c r="AN80" s="592"/>
      <c r="AO80" s="592"/>
      <c r="AP80" s="592"/>
      <c r="AQ80" s="592"/>
      <c r="AR80" s="592"/>
      <c r="AS80" s="592"/>
      <c r="AT80" s="592"/>
      <c r="AU80" s="592"/>
      <c r="AV80" s="592"/>
      <c r="AW80" s="604"/>
      <c r="AX80" s="609">
        <f t="shared" si="65"/>
        <v>0</v>
      </c>
      <c r="AY80" s="602">
        <f t="shared" si="58"/>
        <v>0</v>
      </c>
      <c r="AZ80" s="593">
        <f t="shared" si="59"/>
        <v>0</v>
      </c>
      <c r="BA80" s="594">
        <f t="shared" si="60"/>
        <v>0</v>
      </c>
      <c r="BB80" s="593">
        <f t="shared" si="61"/>
        <v>0</v>
      </c>
      <c r="BC80" s="593">
        <f t="shared" si="66"/>
        <v>0</v>
      </c>
      <c r="BD80" s="593">
        <f t="shared" si="67"/>
        <v>0</v>
      </c>
      <c r="BE80" s="593">
        <f t="shared" si="68"/>
        <v>0</v>
      </c>
      <c r="BF80" s="593">
        <f t="shared" si="69"/>
        <v>0</v>
      </c>
      <c r="BG80" s="593">
        <f t="shared" si="70"/>
        <v>0</v>
      </c>
      <c r="BH80" s="593">
        <f t="shared" si="71"/>
        <v>0</v>
      </c>
      <c r="BI80" s="593">
        <f t="shared" si="72"/>
        <v>0</v>
      </c>
      <c r="BJ80" s="593">
        <f t="shared" si="73"/>
        <v>0</v>
      </c>
      <c r="BK80" s="593">
        <f t="shared" si="74"/>
        <v>0</v>
      </c>
      <c r="BL80" s="593">
        <f t="shared" si="75"/>
        <v>0</v>
      </c>
      <c r="BM80" s="593">
        <f t="shared" si="76"/>
        <v>0</v>
      </c>
      <c r="BN80" s="593">
        <f t="shared" si="77"/>
        <v>0</v>
      </c>
      <c r="BO80" s="593">
        <f t="shared" si="78"/>
        <v>0</v>
      </c>
      <c r="BP80" s="593">
        <f t="shared" si="79"/>
        <v>0</v>
      </c>
      <c r="BQ80" s="593">
        <f t="shared" si="80"/>
        <v>0</v>
      </c>
      <c r="BR80" s="593">
        <f t="shared" si="81"/>
        <v>0</v>
      </c>
      <c r="BS80" s="593">
        <f t="shared" si="82"/>
        <v>0</v>
      </c>
      <c r="BT80" s="593">
        <f t="shared" si="83"/>
        <v>0</v>
      </c>
      <c r="BU80" s="593">
        <f t="shared" si="84"/>
        <v>0</v>
      </c>
      <c r="BV80" s="593">
        <f t="shared" si="85"/>
        <v>0</v>
      </c>
      <c r="BW80" s="593">
        <f t="shared" si="86"/>
        <v>0</v>
      </c>
      <c r="BX80" s="593">
        <f t="shared" si="87"/>
        <v>0</v>
      </c>
      <c r="BY80" s="593">
        <f t="shared" si="88"/>
        <v>0</v>
      </c>
      <c r="BZ80" s="593">
        <f t="shared" si="89"/>
        <v>0</v>
      </c>
      <c r="CA80" s="593">
        <f t="shared" si="90"/>
        <v>0</v>
      </c>
      <c r="CB80" s="593">
        <f t="shared" si="91"/>
        <v>0</v>
      </c>
      <c r="CC80" s="593">
        <f t="shared" si="92"/>
        <v>0</v>
      </c>
      <c r="CD80" s="593">
        <f t="shared" si="93"/>
        <v>0</v>
      </c>
      <c r="CE80" s="593">
        <f t="shared" si="94"/>
        <v>0</v>
      </c>
      <c r="CF80" s="595">
        <f t="shared" si="95"/>
        <v>0</v>
      </c>
      <c r="CG80" s="555" t="str">
        <f t="shared" si="96"/>
        <v/>
      </c>
      <c r="CH80" s="530" t="str">
        <f t="shared" si="97"/>
        <v/>
      </c>
      <c r="CI80" s="530" t="str">
        <f t="shared" si="98"/>
        <v/>
      </c>
      <c r="CJ80" s="530" t="str">
        <f t="shared" si="99"/>
        <v/>
      </c>
      <c r="CK80" s="530" t="str">
        <f t="shared" si="100"/>
        <v/>
      </c>
      <c r="CL80" s="530" t="str">
        <f t="shared" si="101"/>
        <v/>
      </c>
      <c r="CM80" s="82" t="str">
        <f t="shared" si="102"/>
        <v/>
      </c>
      <c r="CN80" s="496" t="str">
        <f t="shared" si="62"/>
        <v/>
      </c>
      <c r="CO80" s="496" t="str">
        <f t="shared" si="108"/>
        <v>0</v>
      </c>
      <c r="CP80" s="491">
        <f t="shared" si="103"/>
        <v>0</v>
      </c>
      <c r="CS80" s="496">
        <f t="shared" si="104"/>
        <v>0</v>
      </c>
      <c r="CT80" s="496">
        <f t="shared" si="105"/>
        <v>0</v>
      </c>
      <c r="CU80" s="497" t="str">
        <f t="shared" si="106"/>
        <v>00</v>
      </c>
    </row>
    <row r="81" spans="1:99" ht="15" hidden="1" customHeight="1">
      <c r="A81" s="951">
        <v>78</v>
      </c>
      <c r="B81" s="1016"/>
      <c r="C81" s="922"/>
      <c r="D81" s="923"/>
      <c r="E81" s="913"/>
      <c r="F81" s="914"/>
      <c r="G81" s="1051"/>
      <c r="H81" s="915"/>
      <c r="I81" s="916"/>
      <c r="J81" s="917"/>
      <c r="K81" s="1012"/>
      <c r="L81" s="1012"/>
      <c r="M81" s="1017"/>
      <c r="N81" s="947"/>
      <c r="O81" s="406" t="str">
        <f t="shared" si="107"/>
        <v/>
      </c>
      <c r="P81" s="407" t="str">
        <f>IF(O81="","",VLOOKUP(O81,所属コード!$A$2:$E$11,2,FALSE))</f>
        <v/>
      </c>
      <c r="Q81" s="1033" t="str">
        <f>IF(O81="","",VLOOKUP(O81,所属コード!$A$2:$G$11,7,FALSE))</f>
        <v/>
      </c>
      <c r="R81" s="1035"/>
      <c r="S81" s="77"/>
      <c r="T81" s="77"/>
      <c r="U81" s="77"/>
      <c r="V81" s="15"/>
      <c r="X81" s="488"/>
      <c r="Y81" s="945" t="str">
        <f t="shared" si="63"/>
        <v/>
      </c>
      <c r="Z81" s="489" t="str">
        <f t="shared" si="64"/>
        <v/>
      </c>
      <c r="AA81" s="488"/>
      <c r="AB81" s="488"/>
      <c r="AC81" s="488"/>
      <c r="AD81" s="488"/>
      <c r="AE81" s="488"/>
      <c r="AF81" s="488"/>
      <c r="AG81" s="491"/>
      <c r="AH81" s="591"/>
      <c r="AI81" s="592"/>
      <c r="AJ81" s="592"/>
      <c r="AK81" s="592"/>
      <c r="AL81" s="592"/>
      <c r="AM81" s="592"/>
      <c r="AN81" s="592"/>
      <c r="AO81" s="592"/>
      <c r="AP81" s="592"/>
      <c r="AQ81" s="592"/>
      <c r="AR81" s="592"/>
      <c r="AS81" s="592"/>
      <c r="AT81" s="592"/>
      <c r="AU81" s="592"/>
      <c r="AV81" s="592"/>
      <c r="AW81" s="604"/>
      <c r="AX81" s="609">
        <f t="shared" si="65"/>
        <v>0</v>
      </c>
      <c r="AY81" s="602">
        <f t="shared" si="58"/>
        <v>0</v>
      </c>
      <c r="AZ81" s="593">
        <f t="shared" si="59"/>
        <v>0</v>
      </c>
      <c r="BA81" s="594">
        <f t="shared" si="60"/>
        <v>0</v>
      </c>
      <c r="BB81" s="593">
        <f t="shared" si="61"/>
        <v>0</v>
      </c>
      <c r="BC81" s="593">
        <f t="shared" si="66"/>
        <v>0</v>
      </c>
      <c r="BD81" s="593">
        <f t="shared" si="67"/>
        <v>0</v>
      </c>
      <c r="BE81" s="593">
        <f t="shared" si="68"/>
        <v>0</v>
      </c>
      <c r="BF81" s="593">
        <f t="shared" si="69"/>
        <v>0</v>
      </c>
      <c r="BG81" s="593">
        <f t="shared" si="70"/>
        <v>0</v>
      </c>
      <c r="BH81" s="593">
        <f t="shared" si="71"/>
        <v>0</v>
      </c>
      <c r="BI81" s="593">
        <f t="shared" si="72"/>
        <v>0</v>
      </c>
      <c r="BJ81" s="593">
        <f t="shared" si="73"/>
        <v>0</v>
      </c>
      <c r="BK81" s="593">
        <f t="shared" si="74"/>
        <v>0</v>
      </c>
      <c r="BL81" s="593">
        <f t="shared" si="75"/>
        <v>0</v>
      </c>
      <c r="BM81" s="593">
        <f t="shared" si="76"/>
        <v>0</v>
      </c>
      <c r="BN81" s="593">
        <f t="shared" si="77"/>
        <v>0</v>
      </c>
      <c r="BO81" s="593">
        <f t="shared" si="78"/>
        <v>0</v>
      </c>
      <c r="BP81" s="593">
        <f t="shared" si="79"/>
        <v>0</v>
      </c>
      <c r="BQ81" s="593">
        <f t="shared" si="80"/>
        <v>0</v>
      </c>
      <c r="BR81" s="593">
        <f t="shared" si="81"/>
        <v>0</v>
      </c>
      <c r="BS81" s="593">
        <f t="shared" si="82"/>
        <v>0</v>
      </c>
      <c r="BT81" s="593">
        <f t="shared" si="83"/>
        <v>0</v>
      </c>
      <c r="BU81" s="593">
        <f t="shared" si="84"/>
        <v>0</v>
      </c>
      <c r="BV81" s="593">
        <f t="shared" si="85"/>
        <v>0</v>
      </c>
      <c r="BW81" s="593">
        <f t="shared" si="86"/>
        <v>0</v>
      </c>
      <c r="BX81" s="593">
        <f t="shared" si="87"/>
        <v>0</v>
      </c>
      <c r="BY81" s="593">
        <f t="shared" si="88"/>
        <v>0</v>
      </c>
      <c r="BZ81" s="593">
        <f t="shared" si="89"/>
        <v>0</v>
      </c>
      <c r="CA81" s="593">
        <f t="shared" si="90"/>
        <v>0</v>
      </c>
      <c r="CB81" s="593">
        <f t="shared" si="91"/>
        <v>0</v>
      </c>
      <c r="CC81" s="593">
        <f t="shared" si="92"/>
        <v>0</v>
      </c>
      <c r="CD81" s="593">
        <f t="shared" si="93"/>
        <v>0</v>
      </c>
      <c r="CE81" s="593">
        <f t="shared" si="94"/>
        <v>0</v>
      </c>
      <c r="CF81" s="595">
        <f t="shared" si="95"/>
        <v>0</v>
      </c>
      <c r="CG81" s="555" t="str">
        <f t="shared" si="96"/>
        <v/>
      </c>
      <c r="CH81" s="530" t="str">
        <f t="shared" si="97"/>
        <v/>
      </c>
      <c r="CI81" s="530" t="str">
        <f t="shared" si="98"/>
        <v/>
      </c>
      <c r="CJ81" s="530" t="str">
        <f t="shared" si="99"/>
        <v/>
      </c>
      <c r="CK81" s="530" t="str">
        <f t="shared" si="100"/>
        <v/>
      </c>
      <c r="CL81" s="530" t="str">
        <f t="shared" si="101"/>
        <v/>
      </c>
      <c r="CM81" s="82" t="str">
        <f t="shared" si="102"/>
        <v/>
      </c>
      <c r="CN81" s="496" t="str">
        <f t="shared" si="62"/>
        <v/>
      </c>
      <c r="CO81" s="496" t="str">
        <f t="shared" si="108"/>
        <v>0</v>
      </c>
      <c r="CP81" s="491">
        <f t="shared" si="103"/>
        <v>0</v>
      </c>
      <c r="CS81" s="496">
        <f t="shared" si="104"/>
        <v>0</v>
      </c>
      <c r="CT81" s="496">
        <f t="shared" si="105"/>
        <v>0</v>
      </c>
      <c r="CU81" s="497" t="str">
        <f t="shared" si="106"/>
        <v>00</v>
      </c>
    </row>
    <row r="82" spans="1:99" ht="15" hidden="1" customHeight="1">
      <c r="A82" s="951">
        <v>79</v>
      </c>
      <c r="B82" s="1016"/>
      <c r="C82" s="922"/>
      <c r="D82" s="923"/>
      <c r="E82" s="913"/>
      <c r="F82" s="914"/>
      <c r="G82" s="1051"/>
      <c r="H82" s="915"/>
      <c r="I82" s="916"/>
      <c r="J82" s="917"/>
      <c r="K82" s="1012"/>
      <c r="L82" s="1012"/>
      <c r="M82" s="1017"/>
      <c r="N82" s="947"/>
      <c r="O82" s="406" t="str">
        <f t="shared" si="107"/>
        <v/>
      </c>
      <c r="P82" s="407" t="str">
        <f>IF(O82="","",VLOOKUP(O82,所属コード!$A$2:$E$11,2,FALSE))</f>
        <v/>
      </c>
      <c r="Q82" s="1033" t="str">
        <f>IF(O82="","",VLOOKUP(O82,所属コード!$A$2:$G$11,7,FALSE))</f>
        <v/>
      </c>
      <c r="R82" s="1035"/>
      <c r="S82" s="77"/>
      <c r="T82" s="77"/>
      <c r="U82" s="77"/>
      <c r="V82" s="15"/>
      <c r="X82" s="488"/>
      <c r="Y82" s="945" t="str">
        <f t="shared" si="63"/>
        <v/>
      </c>
      <c r="Z82" s="489" t="str">
        <f t="shared" si="64"/>
        <v/>
      </c>
      <c r="AA82" s="488"/>
      <c r="AB82" s="488"/>
      <c r="AC82" s="488"/>
      <c r="AD82" s="488"/>
      <c r="AE82" s="488"/>
      <c r="AF82" s="488"/>
      <c r="AG82" s="491"/>
      <c r="AH82" s="591"/>
      <c r="AI82" s="592"/>
      <c r="AJ82" s="592"/>
      <c r="AK82" s="592"/>
      <c r="AL82" s="592"/>
      <c r="AM82" s="592"/>
      <c r="AN82" s="592"/>
      <c r="AO82" s="592"/>
      <c r="AP82" s="592"/>
      <c r="AQ82" s="592"/>
      <c r="AR82" s="592"/>
      <c r="AS82" s="592"/>
      <c r="AT82" s="592"/>
      <c r="AU82" s="592"/>
      <c r="AV82" s="592"/>
      <c r="AW82" s="604"/>
      <c r="AX82" s="609">
        <f t="shared" si="65"/>
        <v>0</v>
      </c>
      <c r="AY82" s="602">
        <f t="shared" si="58"/>
        <v>0</v>
      </c>
      <c r="AZ82" s="593">
        <f t="shared" si="59"/>
        <v>0</v>
      </c>
      <c r="BA82" s="594">
        <f t="shared" si="60"/>
        <v>0</v>
      </c>
      <c r="BB82" s="593">
        <f t="shared" si="61"/>
        <v>0</v>
      </c>
      <c r="BC82" s="593">
        <f t="shared" si="66"/>
        <v>0</v>
      </c>
      <c r="BD82" s="593">
        <f t="shared" si="67"/>
        <v>0</v>
      </c>
      <c r="BE82" s="593">
        <f t="shared" si="68"/>
        <v>0</v>
      </c>
      <c r="BF82" s="593">
        <f t="shared" si="69"/>
        <v>0</v>
      </c>
      <c r="BG82" s="593">
        <f t="shared" si="70"/>
        <v>0</v>
      </c>
      <c r="BH82" s="593">
        <f t="shared" si="71"/>
        <v>0</v>
      </c>
      <c r="BI82" s="593">
        <f t="shared" si="72"/>
        <v>0</v>
      </c>
      <c r="BJ82" s="593">
        <f t="shared" si="73"/>
        <v>0</v>
      </c>
      <c r="BK82" s="593">
        <f t="shared" si="74"/>
        <v>0</v>
      </c>
      <c r="BL82" s="593">
        <f t="shared" si="75"/>
        <v>0</v>
      </c>
      <c r="BM82" s="593">
        <f t="shared" si="76"/>
        <v>0</v>
      </c>
      <c r="BN82" s="593">
        <f t="shared" si="77"/>
        <v>0</v>
      </c>
      <c r="BO82" s="593">
        <f t="shared" si="78"/>
        <v>0</v>
      </c>
      <c r="BP82" s="593">
        <f t="shared" si="79"/>
        <v>0</v>
      </c>
      <c r="BQ82" s="593">
        <f t="shared" si="80"/>
        <v>0</v>
      </c>
      <c r="BR82" s="593">
        <f t="shared" si="81"/>
        <v>0</v>
      </c>
      <c r="BS82" s="593">
        <f t="shared" si="82"/>
        <v>0</v>
      </c>
      <c r="BT82" s="593">
        <f t="shared" si="83"/>
        <v>0</v>
      </c>
      <c r="BU82" s="593">
        <f t="shared" si="84"/>
        <v>0</v>
      </c>
      <c r="BV82" s="593">
        <f t="shared" si="85"/>
        <v>0</v>
      </c>
      <c r="BW82" s="593">
        <f t="shared" si="86"/>
        <v>0</v>
      </c>
      <c r="BX82" s="593">
        <f t="shared" si="87"/>
        <v>0</v>
      </c>
      <c r="BY82" s="593">
        <f t="shared" si="88"/>
        <v>0</v>
      </c>
      <c r="BZ82" s="593">
        <f t="shared" si="89"/>
        <v>0</v>
      </c>
      <c r="CA82" s="593">
        <f t="shared" si="90"/>
        <v>0</v>
      </c>
      <c r="CB82" s="593">
        <f t="shared" si="91"/>
        <v>0</v>
      </c>
      <c r="CC82" s="593">
        <f t="shared" si="92"/>
        <v>0</v>
      </c>
      <c r="CD82" s="593">
        <f t="shared" si="93"/>
        <v>0</v>
      </c>
      <c r="CE82" s="593">
        <f t="shared" si="94"/>
        <v>0</v>
      </c>
      <c r="CF82" s="595">
        <f t="shared" si="95"/>
        <v>0</v>
      </c>
      <c r="CG82" s="555" t="str">
        <f t="shared" si="96"/>
        <v/>
      </c>
      <c r="CH82" s="530" t="str">
        <f t="shared" si="97"/>
        <v/>
      </c>
      <c r="CI82" s="530" t="str">
        <f t="shared" si="98"/>
        <v/>
      </c>
      <c r="CJ82" s="530" t="str">
        <f t="shared" si="99"/>
        <v/>
      </c>
      <c r="CK82" s="530" t="str">
        <f t="shared" si="100"/>
        <v/>
      </c>
      <c r="CL82" s="530" t="str">
        <f t="shared" si="101"/>
        <v/>
      </c>
      <c r="CM82" s="82" t="str">
        <f t="shared" si="102"/>
        <v/>
      </c>
      <c r="CN82" s="496" t="str">
        <f t="shared" si="62"/>
        <v/>
      </c>
      <c r="CO82" s="496" t="str">
        <f t="shared" si="108"/>
        <v>0</v>
      </c>
      <c r="CP82" s="491">
        <f t="shared" si="103"/>
        <v>0</v>
      </c>
      <c r="CS82" s="496">
        <f t="shared" si="104"/>
        <v>0</v>
      </c>
      <c r="CT82" s="496">
        <f t="shared" si="105"/>
        <v>0</v>
      </c>
      <c r="CU82" s="497" t="str">
        <f t="shared" si="106"/>
        <v>00</v>
      </c>
    </row>
    <row r="83" spans="1:99" ht="15" hidden="1" customHeight="1">
      <c r="A83" s="951">
        <v>80</v>
      </c>
      <c r="B83" s="1016"/>
      <c r="C83" s="922"/>
      <c r="D83" s="923"/>
      <c r="E83" s="913"/>
      <c r="F83" s="914"/>
      <c r="G83" s="1051"/>
      <c r="H83" s="921"/>
      <c r="I83" s="916"/>
      <c r="J83" s="917"/>
      <c r="K83" s="1012"/>
      <c r="L83" s="1012"/>
      <c r="M83" s="1017"/>
      <c r="N83" s="947"/>
      <c r="O83" s="406" t="str">
        <f t="shared" si="107"/>
        <v/>
      </c>
      <c r="P83" s="407" t="str">
        <f>IF(O83="","",VLOOKUP(O83,所属コード!$A$2:$E$11,2,FALSE))</f>
        <v/>
      </c>
      <c r="Q83" s="1033" t="str">
        <f>IF(O83="","",VLOOKUP(O83,所属コード!$A$2:$G$11,7,FALSE))</f>
        <v/>
      </c>
      <c r="R83" s="1035"/>
      <c r="S83" s="77"/>
      <c r="T83" s="77"/>
      <c r="U83" s="77"/>
      <c r="V83" s="15"/>
      <c r="X83" s="488"/>
      <c r="Y83" s="945" t="str">
        <f t="shared" si="63"/>
        <v/>
      </c>
      <c r="Z83" s="489" t="str">
        <f t="shared" si="64"/>
        <v/>
      </c>
      <c r="AA83" s="488"/>
      <c r="AB83" s="488"/>
      <c r="AC83" s="488"/>
      <c r="AD83" s="488"/>
      <c r="AE83" s="488"/>
      <c r="AF83" s="488"/>
      <c r="AG83" s="491"/>
      <c r="AH83" s="591"/>
      <c r="AI83" s="592"/>
      <c r="AJ83" s="592"/>
      <c r="AK83" s="592"/>
      <c r="AL83" s="592"/>
      <c r="AM83" s="592"/>
      <c r="AN83" s="592"/>
      <c r="AO83" s="592"/>
      <c r="AP83" s="592"/>
      <c r="AQ83" s="592"/>
      <c r="AR83" s="592"/>
      <c r="AS83" s="592"/>
      <c r="AT83" s="592"/>
      <c r="AU83" s="592"/>
      <c r="AV83" s="592"/>
      <c r="AW83" s="604"/>
      <c r="AX83" s="609">
        <f t="shared" si="65"/>
        <v>0</v>
      </c>
      <c r="AY83" s="602">
        <f t="shared" si="58"/>
        <v>0</v>
      </c>
      <c r="AZ83" s="593">
        <f t="shared" si="59"/>
        <v>0</v>
      </c>
      <c r="BA83" s="594">
        <f t="shared" si="60"/>
        <v>0</v>
      </c>
      <c r="BB83" s="593">
        <f t="shared" si="61"/>
        <v>0</v>
      </c>
      <c r="BC83" s="593">
        <f t="shared" si="66"/>
        <v>0</v>
      </c>
      <c r="BD83" s="593">
        <f t="shared" si="67"/>
        <v>0</v>
      </c>
      <c r="BE83" s="593">
        <f t="shared" si="68"/>
        <v>0</v>
      </c>
      <c r="BF83" s="593">
        <f t="shared" si="69"/>
        <v>0</v>
      </c>
      <c r="BG83" s="593">
        <f t="shared" si="70"/>
        <v>0</v>
      </c>
      <c r="BH83" s="593">
        <f t="shared" si="71"/>
        <v>0</v>
      </c>
      <c r="BI83" s="593">
        <f t="shared" si="72"/>
        <v>0</v>
      </c>
      <c r="BJ83" s="593">
        <f t="shared" si="73"/>
        <v>0</v>
      </c>
      <c r="BK83" s="593">
        <f t="shared" si="74"/>
        <v>0</v>
      </c>
      <c r="BL83" s="593">
        <f t="shared" si="75"/>
        <v>0</v>
      </c>
      <c r="BM83" s="593">
        <f t="shared" si="76"/>
        <v>0</v>
      </c>
      <c r="BN83" s="593">
        <f t="shared" si="77"/>
        <v>0</v>
      </c>
      <c r="BO83" s="593">
        <f t="shared" si="78"/>
        <v>0</v>
      </c>
      <c r="BP83" s="593">
        <f t="shared" si="79"/>
        <v>0</v>
      </c>
      <c r="BQ83" s="593">
        <f t="shared" si="80"/>
        <v>0</v>
      </c>
      <c r="BR83" s="593">
        <f t="shared" si="81"/>
        <v>0</v>
      </c>
      <c r="BS83" s="593">
        <f t="shared" si="82"/>
        <v>0</v>
      </c>
      <c r="BT83" s="593">
        <f t="shared" si="83"/>
        <v>0</v>
      </c>
      <c r="BU83" s="593">
        <f t="shared" si="84"/>
        <v>0</v>
      </c>
      <c r="BV83" s="593">
        <f t="shared" si="85"/>
        <v>0</v>
      </c>
      <c r="BW83" s="593">
        <f t="shared" si="86"/>
        <v>0</v>
      </c>
      <c r="BX83" s="593">
        <f t="shared" si="87"/>
        <v>0</v>
      </c>
      <c r="BY83" s="593">
        <f t="shared" si="88"/>
        <v>0</v>
      </c>
      <c r="BZ83" s="593">
        <f t="shared" si="89"/>
        <v>0</v>
      </c>
      <c r="CA83" s="593">
        <f t="shared" si="90"/>
        <v>0</v>
      </c>
      <c r="CB83" s="593">
        <f t="shared" si="91"/>
        <v>0</v>
      </c>
      <c r="CC83" s="593">
        <f t="shared" si="92"/>
        <v>0</v>
      </c>
      <c r="CD83" s="593">
        <f t="shared" si="93"/>
        <v>0</v>
      </c>
      <c r="CE83" s="593">
        <f t="shared" si="94"/>
        <v>0</v>
      </c>
      <c r="CF83" s="595">
        <f t="shared" si="95"/>
        <v>0</v>
      </c>
      <c r="CG83" s="555" t="str">
        <f t="shared" si="96"/>
        <v/>
      </c>
      <c r="CH83" s="530" t="str">
        <f t="shared" si="97"/>
        <v/>
      </c>
      <c r="CI83" s="530" t="str">
        <f t="shared" si="98"/>
        <v/>
      </c>
      <c r="CJ83" s="530" t="str">
        <f t="shared" si="99"/>
        <v/>
      </c>
      <c r="CK83" s="530" t="str">
        <f t="shared" si="100"/>
        <v/>
      </c>
      <c r="CL83" s="530" t="str">
        <f t="shared" si="101"/>
        <v/>
      </c>
      <c r="CM83" s="82" t="str">
        <f t="shared" si="102"/>
        <v/>
      </c>
      <c r="CN83" s="496" t="str">
        <f t="shared" si="62"/>
        <v/>
      </c>
      <c r="CO83" s="496" t="str">
        <f t="shared" si="108"/>
        <v>0</v>
      </c>
      <c r="CP83" s="491">
        <f t="shared" si="103"/>
        <v>0</v>
      </c>
      <c r="CS83" s="496">
        <f t="shared" si="104"/>
        <v>0</v>
      </c>
      <c r="CT83" s="496">
        <f t="shared" si="105"/>
        <v>0</v>
      </c>
      <c r="CU83" s="497" t="str">
        <f t="shared" si="106"/>
        <v>00</v>
      </c>
    </row>
    <row r="84" spans="1:99" ht="15" hidden="1" customHeight="1">
      <c r="A84" s="951">
        <v>81</v>
      </c>
      <c r="B84" s="1016"/>
      <c r="C84" s="922"/>
      <c r="D84" s="923"/>
      <c r="E84" s="913"/>
      <c r="F84" s="914"/>
      <c r="G84" s="1051"/>
      <c r="H84" s="921"/>
      <c r="I84" s="916"/>
      <c r="J84" s="917"/>
      <c r="K84" s="1012"/>
      <c r="L84" s="1012"/>
      <c r="M84" s="1017"/>
      <c r="N84" s="947"/>
      <c r="O84" s="406" t="str">
        <f t="shared" si="107"/>
        <v/>
      </c>
      <c r="P84" s="407" t="str">
        <f>IF(O84="","",VLOOKUP(O84,所属コード!$A$2:$E$11,2,FALSE))</f>
        <v/>
      </c>
      <c r="Q84" s="1033" t="str">
        <f>IF(O84="","",VLOOKUP(O84,所属コード!$A$2:$G$11,7,FALSE))</f>
        <v/>
      </c>
      <c r="R84" s="1035"/>
      <c r="S84" s="77"/>
      <c r="T84" s="77"/>
      <c r="U84" s="77"/>
      <c r="V84" s="15"/>
      <c r="X84" s="488"/>
      <c r="Y84" s="945" t="str">
        <f t="shared" si="63"/>
        <v/>
      </c>
      <c r="Z84" s="489" t="str">
        <f t="shared" si="64"/>
        <v/>
      </c>
      <c r="AA84" s="488"/>
      <c r="AB84" s="488"/>
      <c r="AC84" s="488"/>
      <c r="AD84" s="488"/>
      <c r="AE84" s="488"/>
      <c r="AF84" s="488"/>
      <c r="AG84" s="491"/>
      <c r="AH84" s="591"/>
      <c r="AI84" s="592"/>
      <c r="AJ84" s="592"/>
      <c r="AK84" s="592"/>
      <c r="AL84" s="592"/>
      <c r="AM84" s="592"/>
      <c r="AN84" s="592"/>
      <c r="AO84" s="592"/>
      <c r="AP84" s="592"/>
      <c r="AQ84" s="592"/>
      <c r="AR84" s="592"/>
      <c r="AS84" s="592"/>
      <c r="AT84" s="592"/>
      <c r="AU84" s="592"/>
      <c r="AV84" s="592"/>
      <c r="AW84" s="604"/>
      <c r="AX84" s="609">
        <f t="shared" si="65"/>
        <v>0</v>
      </c>
      <c r="AY84" s="602">
        <f t="shared" si="58"/>
        <v>0</v>
      </c>
      <c r="AZ84" s="593">
        <f t="shared" si="59"/>
        <v>0</v>
      </c>
      <c r="BA84" s="594">
        <f t="shared" si="60"/>
        <v>0</v>
      </c>
      <c r="BB84" s="593">
        <f t="shared" si="61"/>
        <v>0</v>
      </c>
      <c r="BC84" s="593">
        <f t="shared" si="66"/>
        <v>0</v>
      </c>
      <c r="BD84" s="593">
        <f t="shared" si="67"/>
        <v>0</v>
      </c>
      <c r="BE84" s="593">
        <f t="shared" si="68"/>
        <v>0</v>
      </c>
      <c r="BF84" s="593">
        <f t="shared" si="69"/>
        <v>0</v>
      </c>
      <c r="BG84" s="593">
        <f t="shared" si="70"/>
        <v>0</v>
      </c>
      <c r="BH84" s="593">
        <f t="shared" si="71"/>
        <v>0</v>
      </c>
      <c r="BI84" s="593">
        <f t="shared" si="72"/>
        <v>0</v>
      </c>
      <c r="BJ84" s="593">
        <f t="shared" si="73"/>
        <v>0</v>
      </c>
      <c r="BK84" s="593">
        <f t="shared" si="74"/>
        <v>0</v>
      </c>
      <c r="BL84" s="593">
        <f t="shared" si="75"/>
        <v>0</v>
      </c>
      <c r="BM84" s="593">
        <f t="shared" si="76"/>
        <v>0</v>
      </c>
      <c r="BN84" s="593">
        <f t="shared" si="77"/>
        <v>0</v>
      </c>
      <c r="BO84" s="593">
        <f t="shared" si="78"/>
        <v>0</v>
      </c>
      <c r="BP84" s="593">
        <f t="shared" si="79"/>
        <v>0</v>
      </c>
      <c r="BQ84" s="593">
        <f t="shared" si="80"/>
        <v>0</v>
      </c>
      <c r="BR84" s="593">
        <f t="shared" si="81"/>
        <v>0</v>
      </c>
      <c r="BS84" s="593">
        <f t="shared" si="82"/>
        <v>0</v>
      </c>
      <c r="BT84" s="593">
        <f t="shared" si="83"/>
        <v>0</v>
      </c>
      <c r="BU84" s="593">
        <f t="shared" si="84"/>
        <v>0</v>
      </c>
      <c r="BV84" s="593">
        <f t="shared" si="85"/>
        <v>0</v>
      </c>
      <c r="BW84" s="593">
        <f t="shared" si="86"/>
        <v>0</v>
      </c>
      <c r="BX84" s="593">
        <f t="shared" si="87"/>
        <v>0</v>
      </c>
      <c r="BY84" s="593">
        <f t="shared" si="88"/>
        <v>0</v>
      </c>
      <c r="BZ84" s="593">
        <f t="shared" si="89"/>
        <v>0</v>
      </c>
      <c r="CA84" s="593">
        <f t="shared" si="90"/>
        <v>0</v>
      </c>
      <c r="CB84" s="593">
        <f t="shared" si="91"/>
        <v>0</v>
      </c>
      <c r="CC84" s="593">
        <f t="shared" si="92"/>
        <v>0</v>
      </c>
      <c r="CD84" s="593">
        <f t="shared" si="93"/>
        <v>0</v>
      </c>
      <c r="CE84" s="593">
        <f t="shared" si="94"/>
        <v>0</v>
      </c>
      <c r="CF84" s="595">
        <f t="shared" si="95"/>
        <v>0</v>
      </c>
      <c r="CG84" s="555" t="str">
        <f t="shared" si="96"/>
        <v/>
      </c>
      <c r="CH84" s="530" t="str">
        <f t="shared" si="97"/>
        <v/>
      </c>
      <c r="CI84" s="530" t="str">
        <f t="shared" si="98"/>
        <v/>
      </c>
      <c r="CJ84" s="530" t="str">
        <f t="shared" si="99"/>
        <v/>
      </c>
      <c r="CK84" s="530" t="str">
        <f t="shared" si="100"/>
        <v/>
      </c>
      <c r="CL84" s="530" t="str">
        <f t="shared" si="101"/>
        <v/>
      </c>
      <c r="CM84" s="82" t="str">
        <f t="shared" si="102"/>
        <v/>
      </c>
      <c r="CN84" s="496" t="str">
        <f t="shared" si="62"/>
        <v/>
      </c>
      <c r="CO84" s="496" t="str">
        <f t="shared" si="108"/>
        <v>0</v>
      </c>
      <c r="CP84" s="491">
        <f t="shared" si="103"/>
        <v>0</v>
      </c>
      <c r="CS84" s="496">
        <f t="shared" si="104"/>
        <v>0</v>
      </c>
      <c r="CT84" s="496">
        <f t="shared" si="105"/>
        <v>0</v>
      </c>
      <c r="CU84" s="497" t="str">
        <f t="shared" si="106"/>
        <v>00</v>
      </c>
    </row>
    <row r="85" spans="1:99" ht="15" hidden="1" customHeight="1">
      <c r="A85" s="951">
        <v>82</v>
      </c>
      <c r="B85" s="1016"/>
      <c r="C85" s="922"/>
      <c r="D85" s="923"/>
      <c r="E85" s="913"/>
      <c r="F85" s="914"/>
      <c r="G85" s="1051"/>
      <c r="H85" s="921"/>
      <c r="I85" s="917"/>
      <c r="J85" s="916"/>
      <c r="K85" s="1012"/>
      <c r="L85" s="1012"/>
      <c r="M85" s="1017"/>
      <c r="N85" s="947"/>
      <c r="O85" s="406" t="str">
        <f t="shared" si="107"/>
        <v/>
      </c>
      <c r="P85" s="407" t="str">
        <f>IF(O85="","",VLOOKUP(O85,所属コード!$A$2:$E$11,2,FALSE))</f>
        <v/>
      </c>
      <c r="Q85" s="1033" t="str">
        <f>IF(O85="","",VLOOKUP(O85,所属コード!$A$2:$G$11,7,FALSE))</f>
        <v/>
      </c>
      <c r="R85" s="1035"/>
      <c r="S85" s="77"/>
      <c r="T85" s="77"/>
      <c r="U85" s="77"/>
      <c r="V85" s="15"/>
      <c r="X85" s="488"/>
      <c r="Y85" s="945" t="str">
        <f t="shared" si="63"/>
        <v/>
      </c>
      <c r="Z85" s="489" t="str">
        <f t="shared" si="64"/>
        <v/>
      </c>
      <c r="AA85" s="488"/>
      <c r="AB85" s="488"/>
      <c r="AC85" s="488"/>
      <c r="AD85" s="488"/>
      <c r="AE85" s="488"/>
      <c r="AF85" s="488"/>
      <c r="AG85" s="491"/>
      <c r="AH85" s="591"/>
      <c r="AI85" s="592"/>
      <c r="AJ85" s="592"/>
      <c r="AK85" s="592"/>
      <c r="AL85" s="592"/>
      <c r="AM85" s="592"/>
      <c r="AN85" s="592"/>
      <c r="AO85" s="592"/>
      <c r="AP85" s="592"/>
      <c r="AQ85" s="592"/>
      <c r="AR85" s="592"/>
      <c r="AS85" s="592"/>
      <c r="AT85" s="592"/>
      <c r="AU85" s="592"/>
      <c r="AV85" s="592"/>
      <c r="AW85" s="604"/>
      <c r="AX85" s="609">
        <f t="shared" si="65"/>
        <v>0</v>
      </c>
      <c r="AY85" s="602">
        <f t="shared" si="58"/>
        <v>0</v>
      </c>
      <c r="AZ85" s="593">
        <f t="shared" si="59"/>
        <v>0</v>
      </c>
      <c r="BA85" s="594">
        <f t="shared" si="60"/>
        <v>0</v>
      </c>
      <c r="BB85" s="593">
        <f t="shared" si="61"/>
        <v>0</v>
      </c>
      <c r="BC85" s="593">
        <f t="shared" si="66"/>
        <v>0</v>
      </c>
      <c r="BD85" s="593">
        <f t="shared" si="67"/>
        <v>0</v>
      </c>
      <c r="BE85" s="593">
        <f t="shared" si="68"/>
        <v>0</v>
      </c>
      <c r="BF85" s="593">
        <f t="shared" si="69"/>
        <v>0</v>
      </c>
      <c r="BG85" s="593">
        <f t="shared" si="70"/>
        <v>0</v>
      </c>
      <c r="BH85" s="593">
        <f t="shared" si="71"/>
        <v>0</v>
      </c>
      <c r="BI85" s="593">
        <f t="shared" si="72"/>
        <v>0</v>
      </c>
      <c r="BJ85" s="593">
        <f t="shared" si="73"/>
        <v>0</v>
      </c>
      <c r="BK85" s="593">
        <f t="shared" si="74"/>
        <v>0</v>
      </c>
      <c r="BL85" s="593">
        <f t="shared" si="75"/>
        <v>0</v>
      </c>
      <c r="BM85" s="593">
        <f t="shared" si="76"/>
        <v>0</v>
      </c>
      <c r="BN85" s="593">
        <f t="shared" si="77"/>
        <v>0</v>
      </c>
      <c r="BO85" s="593">
        <f t="shared" si="78"/>
        <v>0</v>
      </c>
      <c r="BP85" s="593">
        <f t="shared" si="79"/>
        <v>0</v>
      </c>
      <c r="BQ85" s="593">
        <f t="shared" si="80"/>
        <v>0</v>
      </c>
      <c r="BR85" s="593">
        <f t="shared" si="81"/>
        <v>0</v>
      </c>
      <c r="BS85" s="593">
        <f t="shared" si="82"/>
        <v>0</v>
      </c>
      <c r="BT85" s="593">
        <f t="shared" si="83"/>
        <v>0</v>
      </c>
      <c r="BU85" s="593">
        <f t="shared" si="84"/>
        <v>0</v>
      </c>
      <c r="BV85" s="593">
        <f t="shared" si="85"/>
        <v>0</v>
      </c>
      <c r="BW85" s="593">
        <f t="shared" si="86"/>
        <v>0</v>
      </c>
      <c r="BX85" s="593">
        <f t="shared" si="87"/>
        <v>0</v>
      </c>
      <c r="BY85" s="593">
        <f t="shared" si="88"/>
        <v>0</v>
      </c>
      <c r="BZ85" s="593">
        <f t="shared" si="89"/>
        <v>0</v>
      </c>
      <c r="CA85" s="593">
        <f t="shared" si="90"/>
        <v>0</v>
      </c>
      <c r="CB85" s="593">
        <f t="shared" si="91"/>
        <v>0</v>
      </c>
      <c r="CC85" s="593">
        <f t="shared" si="92"/>
        <v>0</v>
      </c>
      <c r="CD85" s="593">
        <f t="shared" si="93"/>
        <v>0</v>
      </c>
      <c r="CE85" s="593">
        <f t="shared" si="94"/>
        <v>0</v>
      </c>
      <c r="CF85" s="595">
        <f t="shared" si="95"/>
        <v>0</v>
      </c>
      <c r="CG85" s="555" t="str">
        <f t="shared" si="96"/>
        <v/>
      </c>
      <c r="CH85" s="530" t="str">
        <f t="shared" si="97"/>
        <v/>
      </c>
      <c r="CI85" s="530" t="str">
        <f t="shared" si="98"/>
        <v/>
      </c>
      <c r="CJ85" s="530" t="str">
        <f t="shared" si="99"/>
        <v/>
      </c>
      <c r="CK85" s="530" t="str">
        <f t="shared" si="100"/>
        <v/>
      </c>
      <c r="CL85" s="530" t="str">
        <f t="shared" si="101"/>
        <v/>
      </c>
      <c r="CM85" s="82" t="str">
        <f t="shared" si="102"/>
        <v/>
      </c>
      <c r="CN85" s="496" t="str">
        <f t="shared" si="62"/>
        <v/>
      </c>
      <c r="CO85" s="496" t="str">
        <f t="shared" si="108"/>
        <v>0</v>
      </c>
      <c r="CP85" s="491">
        <f t="shared" si="103"/>
        <v>0</v>
      </c>
      <c r="CS85" s="496">
        <f t="shared" si="104"/>
        <v>0</v>
      </c>
      <c r="CT85" s="496">
        <f t="shared" si="105"/>
        <v>0</v>
      </c>
      <c r="CU85" s="497" t="str">
        <f t="shared" si="106"/>
        <v>00</v>
      </c>
    </row>
    <row r="86" spans="1:99" ht="15" hidden="1" customHeight="1">
      <c r="A86" s="951">
        <v>83</v>
      </c>
      <c r="B86" s="1016"/>
      <c r="C86" s="922"/>
      <c r="D86" s="923"/>
      <c r="E86" s="913"/>
      <c r="F86" s="914"/>
      <c r="G86" s="1051"/>
      <c r="H86" s="921"/>
      <c r="I86" s="917"/>
      <c r="J86" s="916"/>
      <c r="K86" s="1012"/>
      <c r="L86" s="1012"/>
      <c r="M86" s="1017"/>
      <c r="N86" s="947"/>
      <c r="O86" s="406" t="str">
        <f t="shared" si="107"/>
        <v/>
      </c>
      <c r="P86" s="407" t="str">
        <f>IF(O86="","",VLOOKUP(O86,所属コード!$A$2:$E$11,2,FALSE))</f>
        <v/>
      </c>
      <c r="Q86" s="1033" t="str">
        <f>IF(O86="","",VLOOKUP(O86,所属コード!$A$2:$G$11,7,FALSE))</f>
        <v/>
      </c>
      <c r="R86" s="1035"/>
      <c r="S86" s="77"/>
      <c r="T86" s="77"/>
      <c r="U86" s="77"/>
      <c r="V86" s="15"/>
      <c r="X86" s="488"/>
      <c r="Y86" s="945" t="str">
        <f t="shared" si="63"/>
        <v/>
      </c>
      <c r="Z86" s="489" t="str">
        <f t="shared" si="64"/>
        <v/>
      </c>
      <c r="AA86" s="488"/>
      <c r="AB86" s="488"/>
      <c r="AC86" s="488"/>
      <c r="AD86" s="488"/>
      <c r="AE86" s="488"/>
      <c r="AF86" s="488"/>
      <c r="AG86" s="491"/>
      <c r="AH86" s="591"/>
      <c r="AI86" s="592"/>
      <c r="AJ86" s="592"/>
      <c r="AK86" s="592"/>
      <c r="AL86" s="592"/>
      <c r="AM86" s="592"/>
      <c r="AN86" s="592"/>
      <c r="AO86" s="592"/>
      <c r="AP86" s="592"/>
      <c r="AQ86" s="592"/>
      <c r="AR86" s="592"/>
      <c r="AS86" s="592"/>
      <c r="AT86" s="592"/>
      <c r="AU86" s="592"/>
      <c r="AV86" s="592"/>
      <c r="AW86" s="604"/>
      <c r="AX86" s="609">
        <f t="shared" si="65"/>
        <v>0</v>
      </c>
      <c r="AY86" s="602">
        <f t="shared" si="58"/>
        <v>0</v>
      </c>
      <c r="AZ86" s="593">
        <f t="shared" si="59"/>
        <v>0</v>
      </c>
      <c r="BA86" s="594">
        <f t="shared" si="60"/>
        <v>0</v>
      </c>
      <c r="BB86" s="593">
        <f t="shared" si="61"/>
        <v>0</v>
      </c>
      <c r="BC86" s="593">
        <f t="shared" si="66"/>
        <v>0</v>
      </c>
      <c r="BD86" s="593">
        <f t="shared" si="67"/>
        <v>0</v>
      </c>
      <c r="BE86" s="593">
        <f t="shared" si="68"/>
        <v>0</v>
      </c>
      <c r="BF86" s="593">
        <f t="shared" si="69"/>
        <v>0</v>
      </c>
      <c r="BG86" s="593">
        <f t="shared" si="70"/>
        <v>0</v>
      </c>
      <c r="BH86" s="593">
        <f t="shared" si="71"/>
        <v>0</v>
      </c>
      <c r="BI86" s="593">
        <f t="shared" si="72"/>
        <v>0</v>
      </c>
      <c r="BJ86" s="593">
        <f t="shared" si="73"/>
        <v>0</v>
      </c>
      <c r="BK86" s="593">
        <f t="shared" si="74"/>
        <v>0</v>
      </c>
      <c r="BL86" s="593">
        <f t="shared" si="75"/>
        <v>0</v>
      </c>
      <c r="BM86" s="593">
        <f t="shared" si="76"/>
        <v>0</v>
      </c>
      <c r="BN86" s="593">
        <f t="shared" si="77"/>
        <v>0</v>
      </c>
      <c r="BO86" s="593">
        <f t="shared" si="78"/>
        <v>0</v>
      </c>
      <c r="BP86" s="593">
        <f t="shared" si="79"/>
        <v>0</v>
      </c>
      <c r="BQ86" s="593">
        <f t="shared" si="80"/>
        <v>0</v>
      </c>
      <c r="BR86" s="593">
        <f t="shared" si="81"/>
        <v>0</v>
      </c>
      <c r="BS86" s="593">
        <f t="shared" si="82"/>
        <v>0</v>
      </c>
      <c r="BT86" s="593">
        <f t="shared" si="83"/>
        <v>0</v>
      </c>
      <c r="BU86" s="593">
        <f t="shared" si="84"/>
        <v>0</v>
      </c>
      <c r="BV86" s="593">
        <f t="shared" si="85"/>
        <v>0</v>
      </c>
      <c r="BW86" s="593">
        <f t="shared" si="86"/>
        <v>0</v>
      </c>
      <c r="BX86" s="593">
        <f t="shared" si="87"/>
        <v>0</v>
      </c>
      <c r="BY86" s="593">
        <f t="shared" si="88"/>
        <v>0</v>
      </c>
      <c r="BZ86" s="593">
        <f t="shared" si="89"/>
        <v>0</v>
      </c>
      <c r="CA86" s="593">
        <f t="shared" si="90"/>
        <v>0</v>
      </c>
      <c r="CB86" s="593">
        <f t="shared" si="91"/>
        <v>0</v>
      </c>
      <c r="CC86" s="593">
        <f t="shared" si="92"/>
        <v>0</v>
      </c>
      <c r="CD86" s="593">
        <f t="shared" si="93"/>
        <v>0</v>
      </c>
      <c r="CE86" s="593">
        <f t="shared" si="94"/>
        <v>0</v>
      </c>
      <c r="CF86" s="595">
        <f t="shared" si="95"/>
        <v>0</v>
      </c>
      <c r="CG86" s="555" t="str">
        <f t="shared" si="96"/>
        <v/>
      </c>
      <c r="CH86" s="530" t="str">
        <f t="shared" si="97"/>
        <v/>
      </c>
      <c r="CI86" s="530" t="str">
        <f t="shared" si="98"/>
        <v/>
      </c>
      <c r="CJ86" s="530" t="str">
        <f t="shared" si="99"/>
        <v/>
      </c>
      <c r="CK86" s="530" t="str">
        <f t="shared" si="100"/>
        <v/>
      </c>
      <c r="CL86" s="530" t="str">
        <f t="shared" si="101"/>
        <v/>
      </c>
      <c r="CM86" s="82" t="str">
        <f t="shared" si="102"/>
        <v/>
      </c>
      <c r="CN86" s="496" t="str">
        <f t="shared" si="62"/>
        <v/>
      </c>
      <c r="CO86" s="496" t="str">
        <f t="shared" si="108"/>
        <v>0</v>
      </c>
      <c r="CP86" s="491">
        <f t="shared" si="103"/>
        <v>0</v>
      </c>
      <c r="CS86" s="496">
        <f t="shared" si="104"/>
        <v>0</v>
      </c>
      <c r="CT86" s="496">
        <f t="shared" si="105"/>
        <v>0</v>
      </c>
      <c r="CU86" s="497" t="str">
        <f t="shared" si="106"/>
        <v>00</v>
      </c>
    </row>
    <row r="87" spans="1:99" ht="15" hidden="1" customHeight="1">
      <c r="A87" s="951">
        <v>84</v>
      </c>
      <c r="B87" s="1016"/>
      <c r="C87" s="922"/>
      <c r="D87" s="923"/>
      <c r="E87" s="913"/>
      <c r="F87" s="914"/>
      <c r="G87" s="1051"/>
      <c r="H87" s="921"/>
      <c r="I87" s="917"/>
      <c r="J87" s="916"/>
      <c r="K87" s="1012"/>
      <c r="L87" s="1012"/>
      <c r="M87" s="1017"/>
      <c r="N87" s="947"/>
      <c r="O87" s="406" t="str">
        <f t="shared" si="107"/>
        <v/>
      </c>
      <c r="P87" s="407" t="str">
        <f>IF(O87="","",VLOOKUP(O87,所属コード!$A$2:$E$11,2,FALSE))</f>
        <v/>
      </c>
      <c r="Q87" s="1033" t="str">
        <f>IF(O87="","",VLOOKUP(O87,所属コード!$A$2:$G$11,7,FALSE))</f>
        <v/>
      </c>
      <c r="R87" s="1035"/>
      <c r="S87" s="77"/>
      <c r="T87" s="77"/>
      <c r="U87" s="77"/>
      <c r="V87" s="15"/>
      <c r="X87" s="488"/>
      <c r="Y87" s="945" t="str">
        <f t="shared" si="63"/>
        <v/>
      </c>
      <c r="Z87" s="489" t="str">
        <f t="shared" si="64"/>
        <v/>
      </c>
      <c r="AA87" s="488"/>
      <c r="AB87" s="488"/>
      <c r="AC87" s="488"/>
      <c r="AD87" s="488"/>
      <c r="AE87" s="488"/>
      <c r="AF87" s="488"/>
      <c r="AG87" s="491"/>
      <c r="AH87" s="591"/>
      <c r="AI87" s="592"/>
      <c r="AJ87" s="592"/>
      <c r="AK87" s="592"/>
      <c r="AL87" s="592"/>
      <c r="AM87" s="592"/>
      <c r="AN87" s="592"/>
      <c r="AO87" s="592"/>
      <c r="AP87" s="592"/>
      <c r="AQ87" s="592"/>
      <c r="AR87" s="592"/>
      <c r="AS87" s="592"/>
      <c r="AT87" s="592"/>
      <c r="AU87" s="592"/>
      <c r="AV87" s="592"/>
      <c r="AW87" s="604"/>
      <c r="AX87" s="609">
        <f t="shared" si="65"/>
        <v>0</v>
      </c>
      <c r="AY87" s="602">
        <f t="shared" si="58"/>
        <v>0</v>
      </c>
      <c r="AZ87" s="593">
        <f t="shared" si="59"/>
        <v>0</v>
      </c>
      <c r="BA87" s="594">
        <f t="shared" si="60"/>
        <v>0</v>
      </c>
      <c r="BB87" s="593">
        <f t="shared" si="61"/>
        <v>0</v>
      </c>
      <c r="BC87" s="593">
        <f t="shared" si="66"/>
        <v>0</v>
      </c>
      <c r="BD87" s="593">
        <f t="shared" si="67"/>
        <v>0</v>
      </c>
      <c r="BE87" s="593">
        <f t="shared" si="68"/>
        <v>0</v>
      </c>
      <c r="BF87" s="593">
        <f t="shared" si="69"/>
        <v>0</v>
      </c>
      <c r="BG87" s="593">
        <f t="shared" si="70"/>
        <v>0</v>
      </c>
      <c r="BH87" s="593">
        <f t="shared" si="71"/>
        <v>0</v>
      </c>
      <c r="BI87" s="593">
        <f t="shared" si="72"/>
        <v>0</v>
      </c>
      <c r="BJ87" s="593">
        <f t="shared" si="73"/>
        <v>0</v>
      </c>
      <c r="BK87" s="593">
        <f t="shared" si="74"/>
        <v>0</v>
      </c>
      <c r="BL87" s="593">
        <f t="shared" si="75"/>
        <v>0</v>
      </c>
      <c r="BM87" s="593">
        <f t="shared" si="76"/>
        <v>0</v>
      </c>
      <c r="BN87" s="593">
        <f t="shared" si="77"/>
        <v>0</v>
      </c>
      <c r="BO87" s="593">
        <f t="shared" si="78"/>
        <v>0</v>
      </c>
      <c r="BP87" s="593">
        <f t="shared" si="79"/>
        <v>0</v>
      </c>
      <c r="BQ87" s="593">
        <f t="shared" si="80"/>
        <v>0</v>
      </c>
      <c r="BR87" s="593">
        <f t="shared" si="81"/>
        <v>0</v>
      </c>
      <c r="BS87" s="593">
        <f t="shared" si="82"/>
        <v>0</v>
      </c>
      <c r="BT87" s="593">
        <f t="shared" si="83"/>
        <v>0</v>
      </c>
      <c r="BU87" s="593">
        <f t="shared" si="84"/>
        <v>0</v>
      </c>
      <c r="BV87" s="593">
        <f t="shared" si="85"/>
        <v>0</v>
      </c>
      <c r="BW87" s="593">
        <f t="shared" si="86"/>
        <v>0</v>
      </c>
      <c r="BX87" s="593">
        <f t="shared" si="87"/>
        <v>0</v>
      </c>
      <c r="BY87" s="593">
        <f t="shared" si="88"/>
        <v>0</v>
      </c>
      <c r="BZ87" s="593">
        <f t="shared" si="89"/>
        <v>0</v>
      </c>
      <c r="CA87" s="593">
        <f t="shared" si="90"/>
        <v>0</v>
      </c>
      <c r="CB87" s="593">
        <f t="shared" si="91"/>
        <v>0</v>
      </c>
      <c r="CC87" s="593">
        <f t="shared" si="92"/>
        <v>0</v>
      </c>
      <c r="CD87" s="593">
        <f t="shared" si="93"/>
        <v>0</v>
      </c>
      <c r="CE87" s="593">
        <f t="shared" si="94"/>
        <v>0</v>
      </c>
      <c r="CF87" s="595">
        <f t="shared" si="95"/>
        <v>0</v>
      </c>
      <c r="CG87" s="555" t="str">
        <f t="shared" si="96"/>
        <v/>
      </c>
      <c r="CH87" s="530" t="str">
        <f t="shared" si="97"/>
        <v/>
      </c>
      <c r="CI87" s="530" t="str">
        <f t="shared" si="98"/>
        <v/>
      </c>
      <c r="CJ87" s="530" t="str">
        <f t="shared" si="99"/>
        <v/>
      </c>
      <c r="CK87" s="530" t="str">
        <f t="shared" si="100"/>
        <v/>
      </c>
      <c r="CL87" s="530" t="str">
        <f t="shared" si="101"/>
        <v/>
      </c>
      <c r="CM87" s="82" t="str">
        <f t="shared" si="102"/>
        <v/>
      </c>
      <c r="CN87" s="496" t="str">
        <f t="shared" si="62"/>
        <v/>
      </c>
      <c r="CO87" s="496" t="str">
        <f t="shared" si="108"/>
        <v>0</v>
      </c>
      <c r="CP87" s="491">
        <f t="shared" si="103"/>
        <v>0</v>
      </c>
      <c r="CS87" s="496">
        <f t="shared" si="104"/>
        <v>0</v>
      </c>
      <c r="CT87" s="496">
        <f t="shared" si="105"/>
        <v>0</v>
      </c>
      <c r="CU87" s="497" t="str">
        <f t="shared" si="106"/>
        <v>00</v>
      </c>
    </row>
    <row r="88" spans="1:99" ht="15" hidden="1" customHeight="1">
      <c r="A88" s="951">
        <v>85</v>
      </c>
      <c r="B88" s="1016"/>
      <c r="C88" s="922"/>
      <c r="D88" s="923"/>
      <c r="E88" s="913"/>
      <c r="F88" s="914"/>
      <c r="G88" s="1051"/>
      <c r="H88" s="921"/>
      <c r="I88" s="917"/>
      <c r="J88" s="916"/>
      <c r="K88" s="1012"/>
      <c r="L88" s="1012"/>
      <c r="M88" s="1017"/>
      <c r="N88" s="947"/>
      <c r="O88" s="406" t="str">
        <f t="shared" si="107"/>
        <v/>
      </c>
      <c r="P88" s="407" t="str">
        <f>IF(O88="","",VLOOKUP(O88,所属コード!$A$2:$E$11,2,FALSE))</f>
        <v/>
      </c>
      <c r="Q88" s="1033" t="str">
        <f>IF(O88="","",VLOOKUP(O88,所属コード!$A$2:$G$11,7,FALSE))</f>
        <v/>
      </c>
      <c r="R88" s="1035"/>
      <c r="S88" s="77"/>
      <c r="T88" s="77"/>
      <c r="U88" s="77"/>
      <c r="V88" s="15"/>
      <c r="X88" s="488"/>
      <c r="Y88" s="945" t="str">
        <f t="shared" si="63"/>
        <v/>
      </c>
      <c r="Z88" s="489" t="str">
        <f t="shared" si="64"/>
        <v/>
      </c>
      <c r="AA88" s="488"/>
      <c r="AB88" s="488"/>
      <c r="AC88" s="488"/>
      <c r="AD88" s="488"/>
      <c r="AE88" s="488"/>
      <c r="AF88" s="488"/>
      <c r="AG88" s="491"/>
      <c r="AH88" s="591"/>
      <c r="AI88" s="592"/>
      <c r="AJ88" s="592"/>
      <c r="AK88" s="592"/>
      <c r="AL88" s="592"/>
      <c r="AM88" s="592"/>
      <c r="AN88" s="592"/>
      <c r="AO88" s="592"/>
      <c r="AP88" s="592"/>
      <c r="AQ88" s="592"/>
      <c r="AR88" s="592"/>
      <c r="AS88" s="592"/>
      <c r="AT88" s="592"/>
      <c r="AU88" s="592"/>
      <c r="AV88" s="592"/>
      <c r="AW88" s="604"/>
      <c r="AX88" s="609">
        <f t="shared" si="65"/>
        <v>0</v>
      </c>
      <c r="AY88" s="602">
        <f t="shared" si="58"/>
        <v>0</v>
      </c>
      <c r="AZ88" s="593">
        <f t="shared" si="59"/>
        <v>0</v>
      </c>
      <c r="BA88" s="594">
        <f t="shared" si="60"/>
        <v>0</v>
      </c>
      <c r="BB88" s="593">
        <f t="shared" si="61"/>
        <v>0</v>
      </c>
      <c r="BC88" s="593">
        <f t="shared" si="66"/>
        <v>0</v>
      </c>
      <c r="BD88" s="593">
        <f t="shared" si="67"/>
        <v>0</v>
      </c>
      <c r="BE88" s="593">
        <f t="shared" si="68"/>
        <v>0</v>
      </c>
      <c r="BF88" s="593">
        <f t="shared" si="69"/>
        <v>0</v>
      </c>
      <c r="BG88" s="593">
        <f t="shared" si="70"/>
        <v>0</v>
      </c>
      <c r="BH88" s="593">
        <f t="shared" si="71"/>
        <v>0</v>
      </c>
      <c r="BI88" s="593">
        <f t="shared" si="72"/>
        <v>0</v>
      </c>
      <c r="BJ88" s="593">
        <f t="shared" si="73"/>
        <v>0</v>
      </c>
      <c r="BK88" s="593">
        <f t="shared" si="74"/>
        <v>0</v>
      </c>
      <c r="BL88" s="593">
        <f t="shared" si="75"/>
        <v>0</v>
      </c>
      <c r="BM88" s="593">
        <f t="shared" si="76"/>
        <v>0</v>
      </c>
      <c r="BN88" s="593">
        <f t="shared" si="77"/>
        <v>0</v>
      </c>
      <c r="BO88" s="593">
        <f t="shared" si="78"/>
        <v>0</v>
      </c>
      <c r="BP88" s="593">
        <f t="shared" si="79"/>
        <v>0</v>
      </c>
      <c r="BQ88" s="593">
        <f t="shared" si="80"/>
        <v>0</v>
      </c>
      <c r="BR88" s="593">
        <f t="shared" si="81"/>
        <v>0</v>
      </c>
      <c r="BS88" s="593">
        <f t="shared" si="82"/>
        <v>0</v>
      </c>
      <c r="BT88" s="593">
        <f t="shared" si="83"/>
        <v>0</v>
      </c>
      <c r="BU88" s="593">
        <f t="shared" si="84"/>
        <v>0</v>
      </c>
      <c r="BV88" s="593">
        <f t="shared" si="85"/>
        <v>0</v>
      </c>
      <c r="BW88" s="593">
        <f t="shared" si="86"/>
        <v>0</v>
      </c>
      <c r="BX88" s="593">
        <f t="shared" si="87"/>
        <v>0</v>
      </c>
      <c r="BY88" s="593">
        <f t="shared" si="88"/>
        <v>0</v>
      </c>
      <c r="BZ88" s="593">
        <f t="shared" si="89"/>
        <v>0</v>
      </c>
      <c r="CA88" s="593">
        <f t="shared" si="90"/>
        <v>0</v>
      </c>
      <c r="CB88" s="593">
        <f t="shared" si="91"/>
        <v>0</v>
      </c>
      <c r="CC88" s="593">
        <f t="shared" si="92"/>
        <v>0</v>
      </c>
      <c r="CD88" s="593">
        <f t="shared" si="93"/>
        <v>0</v>
      </c>
      <c r="CE88" s="593">
        <f t="shared" si="94"/>
        <v>0</v>
      </c>
      <c r="CF88" s="595">
        <f t="shared" si="95"/>
        <v>0</v>
      </c>
      <c r="CG88" s="555" t="str">
        <f t="shared" si="96"/>
        <v/>
      </c>
      <c r="CH88" s="530" t="str">
        <f t="shared" si="97"/>
        <v/>
      </c>
      <c r="CI88" s="530" t="str">
        <f t="shared" si="98"/>
        <v/>
      </c>
      <c r="CJ88" s="530" t="str">
        <f t="shared" si="99"/>
        <v/>
      </c>
      <c r="CK88" s="530" t="str">
        <f t="shared" si="100"/>
        <v/>
      </c>
      <c r="CL88" s="530" t="str">
        <f t="shared" si="101"/>
        <v/>
      </c>
      <c r="CM88" s="82" t="str">
        <f t="shared" si="102"/>
        <v/>
      </c>
      <c r="CN88" s="496" t="str">
        <f t="shared" si="62"/>
        <v/>
      </c>
      <c r="CO88" s="496" t="str">
        <f t="shared" si="108"/>
        <v>0</v>
      </c>
      <c r="CP88" s="491">
        <f t="shared" si="103"/>
        <v>0</v>
      </c>
      <c r="CS88" s="496">
        <f t="shared" si="104"/>
        <v>0</v>
      </c>
      <c r="CT88" s="496">
        <f t="shared" si="105"/>
        <v>0</v>
      </c>
      <c r="CU88" s="497" t="str">
        <f t="shared" si="106"/>
        <v>00</v>
      </c>
    </row>
    <row r="89" spans="1:99" ht="15" hidden="1" customHeight="1">
      <c r="A89" s="951">
        <v>86</v>
      </c>
      <c r="B89" s="1016"/>
      <c r="C89" s="922"/>
      <c r="D89" s="923"/>
      <c r="E89" s="913"/>
      <c r="F89" s="914"/>
      <c r="G89" s="1051"/>
      <c r="H89" s="921"/>
      <c r="I89" s="917"/>
      <c r="J89" s="916"/>
      <c r="K89" s="1012"/>
      <c r="L89" s="1012"/>
      <c r="M89" s="1017"/>
      <c r="N89" s="947"/>
      <c r="O89" s="406" t="str">
        <f t="shared" si="107"/>
        <v/>
      </c>
      <c r="P89" s="407" t="str">
        <f>IF(O89="","",VLOOKUP(O89,所属コード!$A$2:$E$11,2,FALSE))</f>
        <v/>
      </c>
      <c r="Q89" s="1033" t="str">
        <f>IF(O89="","",VLOOKUP(O89,所属コード!$A$2:$G$11,7,FALSE))</f>
        <v/>
      </c>
      <c r="R89" s="1035"/>
      <c r="S89" s="77"/>
      <c r="T89" s="77"/>
      <c r="U89" s="77"/>
      <c r="V89" s="15"/>
      <c r="X89" s="488"/>
      <c r="Y89" s="945" t="str">
        <f t="shared" si="63"/>
        <v/>
      </c>
      <c r="Z89" s="489" t="str">
        <f t="shared" si="64"/>
        <v/>
      </c>
      <c r="AA89" s="488"/>
      <c r="AB89" s="488"/>
      <c r="AC89" s="488"/>
      <c r="AD89" s="488"/>
      <c r="AE89" s="488"/>
      <c r="AF89" s="488"/>
      <c r="AG89" s="491"/>
      <c r="AH89" s="591"/>
      <c r="AI89" s="592"/>
      <c r="AJ89" s="592"/>
      <c r="AK89" s="592"/>
      <c r="AL89" s="592"/>
      <c r="AM89" s="592"/>
      <c r="AN89" s="592"/>
      <c r="AO89" s="592"/>
      <c r="AP89" s="592"/>
      <c r="AQ89" s="592"/>
      <c r="AR89" s="592"/>
      <c r="AS89" s="592"/>
      <c r="AT89" s="592"/>
      <c r="AU89" s="592"/>
      <c r="AV89" s="592"/>
      <c r="AW89" s="604"/>
      <c r="AX89" s="609">
        <f t="shared" si="65"/>
        <v>0</v>
      </c>
      <c r="AY89" s="602">
        <f t="shared" si="58"/>
        <v>0</v>
      </c>
      <c r="AZ89" s="593">
        <f t="shared" si="59"/>
        <v>0</v>
      </c>
      <c r="BA89" s="594">
        <f t="shared" si="60"/>
        <v>0</v>
      </c>
      <c r="BB89" s="593">
        <f t="shared" si="61"/>
        <v>0</v>
      </c>
      <c r="BC89" s="593">
        <f t="shared" si="66"/>
        <v>0</v>
      </c>
      <c r="BD89" s="593">
        <f t="shared" si="67"/>
        <v>0</v>
      </c>
      <c r="BE89" s="593">
        <f t="shared" si="68"/>
        <v>0</v>
      </c>
      <c r="BF89" s="593">
        <f t="shared" si="69"/>
        <v>0</v>
      </c>
      <c r="BG89" s="593">
        <f t="shared" si="70"/>
        <v>0</v>
      </c>
      <c r="BH89" s="593">
        <f t="shared" si="71"/>
        <v>0</v>
      </c>
      <c r="BI89" s="593">
        <f t="shared" si="72"/>
        <v>0</v>
      </c>
      <c r="BJ89" s="593">
        <f t="shared" si="73"/>
        <v>0</v>
      </c>
      <c r="BK89" s="593">
        <f t="shared" si="74"/>
        <v>0</v>
      </c>
      <c r="BL89" s="593">
        <f t="shared" si="75"/>
        <v>0</v>
      </c>
      <c r="BM89" s="593">
        <f t="shared" si="76"/>
        <v>0</v>
      </c>
      <c r="BN89" s="593">
        <f t="shared" si="77"/>
        <v>0</v>
      </c>
      <c r="BO89" s="593">
        <f t="shared" si="78"/>
        <v>0</v>
      </c>
      <c r="BP89" s="593">
        <f t="shared" si="79"/>
        <v>0</v>
      </c>
      <c r="BQ89" s="593">
        <f t="shared" si="80"/>
        <v>0</v>
      </c>
      <c r="BR89" s="593">
        <f t="shared" si="81"/>
        <v>0</v>
      </c>
      <c r="BS89" s="593">
        <f t="shared" si="82"/>
        <v>0</v>
      </c>
      <c r="BT89" s="593">
        <f t="shared" si="83"/>
        <v>0</v>
      </c>
      <c r="BU89" s="593">
        <f t="shared" si="84"/>
        <v>0</v>
      </c>
      <c r="BV89" s="593">
        <f t="shared" si="85"/>
        <v>0</v>
      </c>
      <c r="BW89" s="593">
        <f t="shared" si="86"/>
        <v>0</v>
      </c>
      <c r="BX89" s="593">
        <f t="shared" si="87"/>
        <v>0</v>
      </c>
      <c r="BY89" s="593">
        <f t="shared" si="88"/>
        <v>0</v>
      </c>
      <c r="BZ89" s="593">
        <f t="shared" si="89"/>
        <v>0</v>
      </c>
      <c r="CA89" s="593">
        <f t="shared" si="90"/>
        <v>0</v>
      </c>
      <c r="CB89" s="593">
        <f t="shared" si="91"/>
        <v>0</v>
      </c>
      <c r="CC89" s="593">
        <f t="shared" si="92"/>
        <v>0</v>
      </c>
      <c r="CD89" s="593">
        <f t="shared" si="93"/>
        <v>0</v>
      </c>
      <c r="CE89" s="593">
        <f t="shared" si="94"/>
        <v>0</v>
      </c>
      <c r="CF89" s="595">
        <f t="shared" si="95"/>
        <v>0</v>
      </c>
      <c r="CG89" s="555" t="str">
        <f t="shared" si="96"/>
        <v/>
      </c>
      <c r="CH89" s="530" t="str">
        <f t="shared" si="97"/>
        <v/>
      </c>
      <c r="CI89" s="530" t="str">
        <f t="shared" si="98"/>
        <v/>
      </c>
      <c r="CJ89" s="530" t="str">
        <f t="shared" si="99"/>
        <v/>
      </c>
      <c r="CK89" s="530" t="str">
        <f t="shared" si="100"/>
        <v/>
      </c>
      <c r="CL89" s="530" t="str">
        <f t="shared" si="101"/>
        <v/>
      </c>
      <c r="CM89" s="82" t="str">
        <f t="shared" si="102"/>
        <v/>
      </c>
      <c r="CN89" s="496" t="str">
        <f t="shared" si="62"/>
        <v/>
      </c>
      <c r="CO89" s="496" t="str">
        <f t="shared" si="108"/>
        <v>0</v>
      </c>
      <c r="CP89" s="491">
        <f t="shared" si="103"/>
        <v>0</v>
      </c>
      <c r="CS89" s="496">
        <f t="shared" si="104"/>
        <v>0</v>
      </c>
      <c r="CT89" s="496">
        <f t="shared" si="105"/>
        <v>0</v>
      </c>
      <c r="CU89" s="497" t="str">
        <f t="shared" si="106"/>
        <v>00</v>
      </c>
    </row>
    <row r="90" spans="1:99" ht="15" hidden="1" customHeight="1">
      <c r="A90" s="951">
        <v>87</v>
      </c>
      <c r="B90" s="1016"/>
      <c r="C90" s="922"/>
      <c r="D90" s="923"/>
      <c r="E90" s="913"/>
      <c r="F90" s="914"/>
      <c r="G90" s="1051"/>
      <c r="H90" s="921"/>
      <c r="I90" s="917"/>
      <c r="J90" s="916"/>
      <c r="K90" s="1012"/>
      <c r="L90" s="1012"/>
      <c r="M90" s="1017"/>
      <c r="N90" s="947"/>
      <c r="O90" s="406" t="str">
        <f t="shared" si="107"/>
        <v/>
      </c>
      <c r="P90" s="407" t="str">
        <f>IF(O90="","",VLOOKUP(O90,所属コード!$A$2:$E$11,2,FALSE))</f>
        <v/>
      </c>
      <c r="Q90" s="1033" t="str">
        <f>IF(O90="","",VLOOKUP(O90,所属コード!$A$2:$G$11,7,FALSE))</f>
        <v/>
      </c>
      <c r="R90" s="1035"/>
      <c r="S90" s="77"/>
      <c r="T90" s="77"/>
      <c r="U90" s="77"/>
      <c r="V90" s="15"/>
      <c r="X90" s="488"/>
      <c r="Y90" s="945" t="str">
        <f t="shared" si="63"/>
        <v/>
      </c>
      <c r="Z90" s="489" t="str">
        <f t="shared" si="64"/>
        <v/>
      </c>
      <c r="AA90" s="488"/>
      <c r="AB90" s="488"/>
      <c r="AC90" s="488"/>
      <c r="AD90" s="488"/>
      <c r="AE90" s="488"/>
      <c r="AF90" s="488"/>
      <c r="AG90" s="491"/>
      <c r="AH90" s="591"/>
      <c r="AI90" s="592"/>
      <c r="AJ90" s="592"/>
      <c r="AK90" s="592"/>
      <c r="AL90" s="592"/>
      <c r="AM90" s="592"/>
      <c r="AN90" s="592"/>
      <c r="AO90" s="592"/>
      <c r="AP90" s="592"/>
      <c r="AQ90" s="592"/>
      <c r="AR90" s="592"/>
      <c r="AS90" s="592"/>
      <c r="AT90" s="592"/>
      <c r="AU90" s="592"/>
      <c r="AV90" s="592"/>
      <c r="AW90" s="604"/>
      <c r="AX90" s="609">
        <f t="shared" si="65"/>
        <v>0</v>
      </c>
      <c r="AY90" s="602">
        <f t="shared" si="58"/>
        <v>0</v>
      </c>
      <c r="AZ90" s="593">
        <f t="shared" si="59"/>
        <v>0</v>
      </c>
      <c r="BA90" s="594">
        <f t="shared" si="60"/>
        <v>0</v>
      </c>
      <c r="BB90" s="593">
        <f t="shared" si="61"/>
        <v>0</v>
      </c>
      <c r="BC90" s="593">
        <f t="shared" si="66"/>
        <v>0</v>
      </c>
      <c r="BD90" s="593">
        <f t="shared" si="67"/>
        <v>0</v>
      </c>
      <c r="BE90" s="593">
        <f t="shared" si="68"/>
        <v>0</v>
      </c>
      <c r="BF90" s="593">
        <f t="shared" si="69"/>
        <v>0</v>
      </c>
      <c r="BG90" s="593">
        <f t="shared" si="70"/>
        <v>0</v>
      </c>
      <c r="BH90" s="593">
        <f t="shared" si="71"/>
        <v>0</v>
      </c>
      <c r="BI90" s="593">
        <f t="shared" si="72"/>
        <v>0</v>
      </c>
      <c r="BJ90" s="593">
        <f t="shared" si="73"/>
        <v>0</v>
      </c>
      <c r="BK90" s="593">
        <f t="shared" si="74"/>
        <v>0</v>
      </c>
      <c r="BL90" s="593">
        <f t="shared" si="75"/>
        <v>0</v>
      </c>
      <c r="BM90" s="593">
        <f t="shared" si="76"/>
        <v>0</v>
      </c>
      <c r="BN90" s="593">
        <f t="shared" si="77"/>
        <v>0</v>
      </c>
      <c r="BO90" s="593">
        <f t="shared" si="78"/>
        <v>0</v>
      </c>
      <c r="BP90" s="593">
        <f t="shared" si="79"/>
        <v>0</v>
      </c>
      <c r="BQ90" s="593">
        <f t="shared" si="80"/>
        <v>0</v>
      </c>
      <c r="BR90" s="593">
        <f t="shared" si="81"/>
        <v>0</v>
      </c>
      <c r="BS90" s="593">
        <f t="shared" si="82"/>
        <v>0</v>
      </c>
      <c r="BT90" s="593">
        <f t="shared" si="83"/>
        <v>0</v>
      </c>
      <c r="BU90" s="593">
        <f t="shared" si="84"/>
        <v>0</v>
      </c>
      <c r="BV90" s="593">
        <f t="shared" si="85"/>
        <v>0</v>
      </c>
      <c r="BW90" s="593">
        <f t="shared" si="86"/>
        <v>0</v>
      </c>
      <c r="BX90" s="593">
        <f t="shared" si="87"/>
        <v>0</v>
      </c>
      <c r="BY90" s="593">
        <f t="shared" si="88"/>
        <v>0</v>
      </c>
      <c r="BZ90" s="593">
        <f t="shared" si="89"/>
        <v>0</v>
      </c>
      <c r="CA90" s="593">
        <f t="shared" si="90"/>
        <v>0</v>
      </c>
      <c r="CB90" s="593">
        <f t="shared" si="91"/>
        <v>0</v>
      </c>
      <c r="CC90" s="593">
        <f t="shared" si="92"/>
        <v>0</v>
      </c>
      <c r="CD90" s="593">
        <f t="shared" si="93"/>
        <v>0</v>
      </c>
      <c r="CE90" s="593">
        <f t="shared" si="94"/>
        <v>0</v>
      </c>
      <c r="CF90" s="595">
        <f t="shared" si="95"/>
        <v>0</v>
      </c>
      <c r="CG90" s="555" t="str">
        <f t="shared" si="96"/>
        <v/>
      </c>
      <c r="CH90" s="530" t="str">
        <f t="shared" si="97"/>
        <v/>
      </c>
      <c r="CI90" s="530" t="str">
        <f t="shared" si="98"/>
        <v/>
      </c>
      <c r="CJ90" s="530" t="str">
        <f t="shared" si="99"/>
        <v/>
      </c>
      <c r="CK90" s="530" t="str">
        <f t="shared" si="100"/>
        <v/>
      </c>
      <c r="CL90" s="530" t="str">
        <f t="shared" si="101"/>
        <v/>
      </c>
      <c r="CM90" s="82" t="str">
        <f t="shared" si="102"/>
        <v/>
      </c>
      <c r="CN90" s="496" t="str">
        <f t="shared" si="62"/>
        <v/>
      </c>
      <c r="CO90" s="496" t="str">
        <f t="shared" si="108"/>
        <v>0</v>
      </c>
      <c r="CP90" s="491">
        <f t="shared" si="103"/>
        <v>0</v>
      </c>
      <c r="CS90" s="496">
        <f t="shared" si="104"/>
        <v>0</v>
      </c>
      <c r="CT90" s="496">
        <f t="shared" si="105"/>
        <v>0</v>
      </c>
      <c r="CU90" s="497" t="str">
        <f t="shared" si="106"/>
        <v>00</v>
      </c>
    </row>
    <row r="91" spans="1:99" ht="15" hidden="1" customHeight="1">
      <c r="A91" s="951">
        <v>88</v>
      </c>
      <c r="B91" s="1016"/>
      <c r="C91" s="922"/>
      <c r="D91" s="923"/>
      <c r="E91" s="913"/>
      <c r="F91" s="914"/>
      <c r="G91" s="1051"/>
      <c r="H91" s="921"/>
      <c r="I91" s="917"/>
      <c r="J91" s="916"/>
      <c r="K91" s="1012"/>
      <c r="L91" s="1012"/>
      <c r="M91" s="1017"/>
      <c r="N91" s="947"/>
      <c r="O91" s="406" t="str">
        <f t="shared" si="107"/>
        <v/>
      </c>
      <c r="P91" s="407" t="str">
        <f>IF(O91="","",VLOOKUP(O91,所属コード!$A$2:$E$11,2,FALSE))</f>
        <v/>
      </c>
      <c r="Q91" s="1033" t="str">
        <f>IF(O91="","",VLOOKUP(O91,所属コード!$A$2:$G$11,7,FALSE))</f>
        <v/>
      </c>
      <c r="R91" s="1035"/>
      <c r="S91" s="77"/>
      <c r="T91" s="77"/>
      <c r="U91" s="77"/>
      <c r="V91" s="15"/>
      <c r="X91" s="488"/>
      <c r="Y91" s="945" t="str">
        <f t="shared" si="63"/>
        <v/>
      </c>
      <c r="Z91" s="489" t="str">
        <f t="shared" si="64"/>
        <v/>
      </c>
      <c r="AA91" s="488"/>
      <c r="AB91" s="488"/>
      <c r="AC91" s="488"/>
      <c r="AD91" s="488"/>
      <c r="AE91" s="488"/>
      <c r="AF91" s="488"/>
      <c r="AG91" s="491"/>
      <c r="AH91" s="591"/>
      <c r="AI91" s="592"/>
      <c r="AJ91" s="592"/>
      <c r="AK91" s="592"/>
      <c r="AL91" s="592"/>
      <c r="AM91" s="592"/>
      <c r="AN91" s="592"/>
      <c r="AO91" s="592"/>
      <c r="AP91" s="592"/>
      <c r="AQ91" s="592"/>
      <c r="AR91" s="592"/>
      <c r="AS91" s="592"/>
      <c r="AT91" s="592"/>
      <c r="AU91" s="592"/>
      <c r="AV91" s="592"/>
      <c r="AW91" s="604"/>
      <c r="AX91" s="609">
        <f t="shared" si="65"/>
        <v>0</v>
      </c>
      <c r="AY91" s="602">
        <f t="shared" si="58"/>
        <v>0</v>
      </c>
      <c r="AZ91" s="593">
        <f t="shared" si="59"/>
        <v>0</v>
      </c>
      <c r="BA91" s="594">
        <f t="shared" si="60"/>
        <v>0</v>
      </c>
      <c r="BB91" s="593">
        <f t="shared" si="61"/>
        <v>0</v>
      </c>
      <c r="BC91" s="593">
        <f t="shared" si="66"/>
        <v>0</v>
      </c>
      <c r="BD91" s="593">
        <f t="shared" si="67"/>
        <v>0</v>
      </c>
      <c r="BE91" s="593">
        <f t="shared" si="68"/>
        <v>0</v>
      </c>
      <c r="BF91" s="593">
        <f t="shared" si="69"/>
        <v>0</v>
      </c>
      <c r="BG91" s="593">
        <f t="shared" si="70"/>
        <v>0</v>
      </c>
      <c r="BH91" s="593">
        <f t="shared" si="71"/>
        <v>0</v>
      </c>
      <c r="BI91" s="593">
        <f t="shared" si="72"/>
        <v>0</v>
      </c>
      <c r="BJ91" s="593">
        <f t="shared" si="73"/>
        <v>0</v>
      </c>
      <c r="BK91" s="593">
        <f t="shared" si="74"/>
        <v>0</v>
      </c>
      <c r="BL91" s="593">
        <f t="shared" si="75"/>
        <v>0</v>
      </c>
      <c r="BM91" s="593">
        <f t="shared" si="76"/>
        <v>0</v>
      </c>
      <c r="BN91" s="593">
        <f t="shared" si="77"/>
        <v>0</v>
      </c>
      <c r="BO91" s="593">
        <f t="shared" si="78"/>
        <v>0</v>
      </c>
      <c r="BP91" s="593">
        <f t="shared" si="79"/>
        <v>0</v>
      </c>
      <c r="BQ91" s="593">
        <f t="shared" si="80"/>
        <v>0</v>
      </c>
      <c r="BR91" s="593">
        <f t="shared" si="81"/>
        <v>0</v>
      </c>
      <c r="BS91" s="593">
        <f t="shared" si="82"/>
        <v>0</v>
      </c>
      <c r="BT91" s="593">
        <f t="shared" si="83"/>
        <v>0</v>
      </c>
      <c r="BU91" s="593">
        <f t="shared" si="84"/>
        <v>0</v>
      </c>
      <c r="BV91" s="593">
        <f t="shared" si="85"/>
        <v>0</v>
      </c>
      <c r="BW91" s="593">
        <f t="shared" si="86"/>
        <v>0</v>
      </c>
      <c r="BX91" s="593">
        <f t="shared" si="87"/>
        <v>0</v>
      </c>
      <c r="BY91" s="593">
        <f t="shared" si="88"/>
        <v>0</v>
      </c>
      <c r="BZ91" s="593">
        <f t="shared" si="89"/>
        <v>0</v>
      </c>
      <c r="CA91" s="593">
        <f t="shared" si="90"/>
        <v>0</v>
      </c>
      <c r="CB91" s="593">
        <f t="shared" si="91"/>
        <v>0</v>
      </c>
      <c r="CC91" s="593">
        <f t="shared" si="92"/>
        <v>0</v>
      </c>
      <c r="CD91" s="593">
        <f t="shared" si="93"/>
        <v>0</v>
      </c>
      <c r="CE91" s="593">
        <f t="shared" si="94"/>
        <v>0</v>
      </c>
      <c r="CF91" s="595">
        <f t="shared" si="95"/>
        <v>0</v>
      </c>
      <c r="CG91" s="555" t="str">
        <f t="shared" si="96"/>
        <v/>
      </c>
      <c r="CH91" s="530" t="str">
        <f t="shared" si="97"/>
        <v/>
      </c>
      <c r="CI91" s="530" t="str">
        <f t="shared" si="98"/>
        <v/>
      </c>
      <c r="CJ91" s="530" t="str">
        <f t="shared" si="99"/>
        <v/>
      </c>
      <c r="CK91" s="530" t="str">
        <f t="shared" si="100"/>
        <v/>
      </c>
      <c r="CL91" s="530" t="str">
        <f t="shared" si="101"/>
        <v/>
      </c>
      <c r="CM91" s="82" t="str">
        <f t="shared" si="102"/>
        <v/>
      </c>
      <c r="CN91" s="496" t="str">
        <f t="shared" si="62"/>
        <v/>
      </c>
      <c r="CO91" s="496" t="str">
        <f t="shared" si="108"/>
        <v>0</v>
      </c>
      <c r="CP91" s="491">
        <f t="shared" si="103"/>
        <v>0</v>
      </c>
      <c r="CS91" s="496">
        <f t="shared" si="104"/>
        <v>0</v>
      </c>
      <c r="CT91" s="496">
        <f t="shared" si="105"/>
        <v>0</v>
      </c>
      <c r="CU91" s="497" t="str">
        <f t="shared" si="106"/>
        <v>00</v>
      </c>
    </row>
    <row r="92" spans="1:99" ht="15" hidden="1" customHeight="1">
      <c r="A92" s="951">
        <v>89</v>
      </c>
      <c r="B92" s="1016"/>
      <c r="C92" s="922"/>
      <c r="D92" s="923"/>
      <c r="E92" s="913"/>
      <c r="F92" s="914"/>
      <c r="G92" s="1051"/>
      <c r="H92" s="921"/>
      <c r="I92" s="917"/>
      <c r="J92" s="916"/>
      <c r="K92" s="1012"/>
      <c r="L92" s="1012"/>
      <c r="M92" s="1017"/>
      <c r="N92" s="947"/>
      <c r="O92" s="406" t="str">
        <f t="shared" si="107"/>
        <v/>
      </c>
      <c r="P92" s="407" t="str">
        <f>IF(O92="","",VLOOKUP(O92,所属コード!$A$2:$E$11,2,FALSE))</f>
        <v/>
      </c>
      <c r="Q92" s="1033" t="str">
        <f>IF(O92="","",VLOOKUP(O92,所属コード!$A$2:$G$11,7,FALSE))</f>
        <v/>
      </c>
      <c r="R92" s="1035"/>
      <c r="S92" s="77"/>
      <c r="T92" s="77"/>
      <c r="U92" s="77"/>
      <c r="V92" s="15"/>
      <c r="X92" s="488"/>
      <c r="Y92" s="945" t="str">
        <f t="shared" si="63"/>
        <v/>
      </c>
      <c r="Z92" s="489" t="str">
        <f t="shared" si="64"/>
        <v/>
      </c>
      <c r="AA92" s="488"/>
      <c r="AB92" s="488"/>
      <c r="AC92" s="488"/>
      <c r="AD92" s="488"/>
      <c r="AE92" s="488"/>
      <c r="AF92" s="488"/>
      <c r="AG92" s="491"/>
      <c r="AH92" s="591"/>
      <c r="AI92" s="592"/>
      <c r="AJ92" s="592"/>
      <c r="AK92" s="592"/>
      <c r="AL92" s="592"/>
      <c r="AM92" s="592"/>
      <c r="AN92" s="592"/>
      <c r="AO92" s="592"/>
      <c r="AP92" s="592"/>
      <c r="AQ92" s="592"/>
      <c r="AR92" s="592"/>
      <c r="AS92" s="592"/>
      <c r="AT92" s="592"/>
      <c r="AU92" s="592"/>
      <c r="AV92" s="592"/>
      <c r="AW92" s="604"/>
      <c r="AX92" s="609">
        <f t="shared" si="65"/>
        <v>0</v>
      </c>
      <c r="AY92" s="602">
        <f t="shared" si="58"/>
        <v>0</v>
      </c>
      <c r="AZ92" s="593">
        <f t="shared" si="59"/>
        <v>0</v>
      </c>
      <c r="BA92" s="594">
        <f t="shared" si="60"/>
        <v>0</v>
      </c>
      <c r="BB92" s="593">
        <f t="shared" si="61"/>
        <v>0</v>
      </c>
      <c r="BC92" s="593">
        <f t="shared" si="66"/>
        <v>0</v>
      </c>
      <c r="BD92" s="593">
        <f t="shared" si="67"/>
        <v>0</v>
      </c>
      <c r="BE92" s="593">
        <f t="shared" si="68"/>
        <v>0</v>
      </c>
      <c r="BF92" s="593">
        <f t="shared" si="69"/>
        <v>0</v>
      </c>
      <c r="BG92" s="593">
        <f t="shared" si="70"/>
        <v>0</v>
      </c>
      <c r="BH92" s="593">
        <f t="shared" si="71"/>
        <v>0</v>
      </c>
      <c r="BI92" s="593">
        <f t="shared" si="72"/>
        <v>0</v>
      </c>
      <c r="BJ92" s="593">
        <f t="shared" si="73"/>
        <v>0</v>
      </c>
      <c r="BK92" s="593">
        <f t="shared" si="74"/>
        <v>0</v>
      </c>
      <c r="BL92" s="593">
        <f t="shared" si="75"/>
        <v>0</v>
      </c>
      <c r="BM92" s="593">
        <f t="shared" si="76"/>
        <v>0</v>
      </c>
      <c r="BN92" s="593">
        <f t="shared" si="77"/>
        <v>0</v>
      </c>
      <c r="BO92" s="593">
        <f t="shared" si="78"/>
        <v>0</v>
      </c>
      <c r="BP92" s="593">
        <f t="shared" si="79"/>
        <v>0</v>
      </c>
      <c r="BQ92" s="593">
        <f t="shared" si="80"/>
        <v>0</v>
      </c>
      <c r="BR92" s="593">
        <f t="shared" si="81"/>
        <v>0</v>
      </c>
      <c r="BS92" s="593">
        <f t="shared" si="82"/>
        <v>0</v>
      </c>
      <c r="BT92" s="593">
        <f t="shared" si="83"/>
        <v>0</v>
      </c>
      <c r="BU92" s="593">
        <f t="shared" si="84"/>
        <v>0</v>
      </c>
      <c r="BV92" s="593">
        <f t="shared" si="85"/>
        <v>0</v>
      </c>
      <c r="BW92" s="593">
        <f t="shared" si="86"/>
        <v>0</v>
      </c>
      <c r="BX92" s="593">
        <f t="shared" si="87"/>
        <v>0</v>
      </c>
      <c r="BY92" s="593">
        <f t="shared" si="88"/>
        <v>0</v>
      </c>
      <c r="BZ92" s="593">
        <f t="shared" si="89"/>
        <v>0</v>
      </c>
      <c r="CA92" s="593">
        <f t="shared" si="90"/>
        <v>0</v>
      </c>
      <c r="CB92" s="593">
        <f t="shared" si="91"/>
        <v>0</v>
      </c>
      <c r="CC92" s="593">
        <f t="shared" si="92"/>
        <v>0</v>
      </c>
      <c r="CD92" s="593">
        <f t="shared" si="93"/>
        <v>0</v>
      </c>
      <c r="CE92" s="593">
        <f t="shared" si="94"/>
        <v>0</v>
      </c>
      <c r="CF92" s="595">
        <f t="shared" si="95"/>
        <v>0</v>
      </c>
      <c r="CG92" s="555" t="str">
        <f t="shared" si="96"/>
        <v/>
      </c>
      <c r="CH92" s="530" t="str">
        <f t="shared" si="97"/>
        <v/>
      </c>
      <c r="CI92" s="530" t="str">
        <f t="shared" si="98"/>
        <v/>
      </c>
      <c r="CJ92" s="530" t="str">
        <f t="shared" si="99"/>
        <v/>
      </c>
      <c r="CK92" s="530" t="str">
        <f t="shared" si="100"/>
        <v/>
      </c>
      <c r="CL92" s="530" t="str">
        <f t="shared" si="101"/>
        <v/>
      </c>
      <c r="CM92" s="82" t="str">
        <f t="shared" si="102"/>
        <v/>
      </c>
      <c r="CN92" s="496" t="str">
        <f t="shared" si="62"/>
        <v/>
      </c>
      <c r="CO92" s="496" t="str">
        <f t="shared" si="108"/>
        <v>0</v>
      </c>
      <c r="CP92" s="491">
        <f t="shared" si="103"/>
        <v>0</v>
      </c>
      <c r="CS92" s="496">
        <f t="shared" si="104"/>
        <v>0</v>
      </c>
      <c r="CT92" s="496">
        <f t="shared" si="105"/>
        <v>0</v>
      </c>
      <c r="CU92" s="497" t="str">
        <f t="shared" si="106"/>
        <v>00</v>
      </c>
    </row>
    <row r="93" spans="1:99" ht="13.5" hidden="1" customHeight="1">
      <c r="A93" s="951">
        <v>90</v>
      </c>
      <c r="B93" s="1016"/>
      <c r="C93" s="922"/>
      <c r="D93" s="923"/>
      <c r="E93" s="913"/>
      <c r="F93" s="914"/>
      <c r="G93" s="1051"/>
      <c r="H93" s="915"/>
      <c r="I93" s="916"/>
      <c r="J93" s="917"/>
      <c r="K93" s="1012"/>
      <c r="L93" s="1012"/>
      <c r="M93" s="1017"/>
      <c r="N93" s="947"/>
      <c r="O93" s="406" t="str">
        <f t="shared" si="107"/>
        <v/>
      </c>
      <c r="P93" s="407" t="str">
        <f>IF(O93="","",VLOOKUP(O93,所属コード!$A$2:$E$11,2,FALSE))</f>
        <v/>
      </c>
      <c r="Q93" s="1033" t="str">
        <f>IF(O93="","",VLOOKUP(O93,所属コード!$A$2:$G$11,7,FALSE))</f>
        <v/>
      </c>
      <c r="R93" s="1035"/>
      <c r="S93" s="77"/>
      <c r="T93" s="77"/>
      <c r="U93" s="77"/>
      <c r="V93" s="15"/>
      <c r="X93" s="488"/>
      <c r="Y93" s="945" t="str">
        <f t="shared" si="63"/>
        <v/>
      </c>
      <c r="Z93" s="489" t="str">
        <f t="shared" si="64"/>
        <v/>
      </c>
      <c r="AA93" s="488"/>
      <c r="AB93" s="488"/>
      <c r="AC93" s="488"/>
      <c r="AD93" s="488"/>
      <c r="AE93" s="488"/>
      <c r="AF93" s="488"/>
      <c r="AG93" s="491"/>
      <c r="AH93" s="591"/>
      <c r="AI93" s="592"/>
      <c r="AJ93" s="592"/>
      <c r="AK93" s="592"/>
      <c r="AL93" s="592"/>
      <c r="AM93" s="592"/>
      <c r="AN93" s="592"/>
      <c r="AO93" s="592"/>
      <c r="AP93" s="592"/>
      <c r="AQ93" s="592"/>
      <c r="AR93" s="592"/>
      <c r="AS93" s="592"/>
      <c r="AT93" s="592"/>
      <c r="AU93" s="592"/>
      <c r="AV93" s="592"/>
      <c r="AW93" s="604"/>
      <c r="AX93" s="609">
        <f t="shared" si="65"/>
        <v>0</v>
      </c>
      <c r="AY93" s="602">
        <f t="shared" si="58"/>
        <v>0</v>
      </c>
      <c r="AZ93" s="593">
        <f t="shared" si="59"/>
        <v>0</v>
      </c>
      <c r="BA93" s="594">
        <f t="shared" si="60"/>
        <v>0</v>
      </c>
      <c r="BB93" s="593">
        <f t="shared" si="61"/>
        <v>0</v>
      </c>
      <c r="BC93" s="593">
        <f t="shared" si="66"/>
        <v>0</v>
      </c>
      <c r="BD93" s="593">
        <f t="shared" si="67"/>
        <v>0</v>
      </c>
      <c r="BE93" s="593">
        <f t="shared" si="68"/>
        <v>0</v>
      </c>
      <c r="BF93" s="593">
        <f t="shared" si="69"/>
        <v>0</v>
      </c>
      <c r="BG93" s="593">
        <f t="shared" si="70"/>
        <v>0</v>
      </c>
      <c r="BH93" s="593">
        <f t="shared" si="71"/>
        <v>0</v>
      </c>
      <c r="BI93" s="593">
        <f t="shared" si="72"/>
        <v>0</v>
      </c>
      <c r="BJ93" s="593">
        <f t="shared" si="73"/>
        <v>0</v>
      </c>
      <c r="BK93" s="593">
        <f t="shared" si="74"/>
        <v>0</v>
      </c>
      <c r="BL93" s="593">
        <f t="shared" si="75"/>
        <v>0</v>
      </c>
      <c r="BM93" s="593">
        <f t="shared" si="76"/>
        <v>0</v>
      </c>
      <c r="BN93" s="593">
        <f t="shared" si="77"/>
        <v>0</v>
      </c>
      <c r="BO93" s="593">
        <f t="shared" si="78"/>
        <v>0</v>
      </c>
      <c r="BP93" s="593">
        <f t="shared" si="79"/>
        <v>0</v>
      </c>
      <c r="BQ93" s="593">
        <f t="shared" si="80"/>
        <v>0</v>
      </c>
      <c r="BR93" s="593">
        <f t="shared" si="81"/>
        <v>0</v>
      </c>
      <c r="BS93" s="593">
        <f t="shared" si="82"/>
        <v>0</v>
      </c>
      <c r="BT93" s="593">
        <f t="shared" si="83"/>
        <v>0</v>
      </c>
      <c r="BU93" s="593">
        <f t="shared" si="84"/>
        <v>0</v>
      </c>
      <c r="BV93" s="593">
        <f t="shared" si="85"/>
        <v>0</v>
      </c>
      <c r="BW93" s="593">
        <f t="shared" si="86"/>
        <v>0</v>
      </c>
      <c r="BX93" s="593">
        <f t="shared" si="87"/>
        <v>0</v>
      </c>
      <c r="BY93" s="593">
        <f t="shared" si="88"/>
        <v>0</v>
      </c>
      <c r="BZ93" s="593">
        <f t="shared" si="89"/>
        <v>0</v>
      </c>
      <c r="CA93" s="593">
        <f t="shared" si="90"/>
        <v>0</v>
      </c>
      <c r="CB93" s="593">
        <f t="shared" si="91"/>
        <v>0</v>
      </c>
      <c r="CC93" s="593">
        <f t="shared" si="92"/>
        <v>0</v>
      </c>
      <c r="CD93" s="593">
        <f t="shared" si="93"/>
        <v>0</v>
      </c>
      <c r="CE93" s="593">
        <f t="shared" si="94"/>
        <v>0</v>
      </c>
      <c r="CF93" s="595">
        <f t="shared" si="95"/>
        <v>0</v>
      </c>
      <c r="CG93" s="555" t="str">
        <f t="shared" si="96"/>
        <v/>
      </c>
      <c r="CH93" s="530" t="str">
        <f t="shared" si="97"/>
        <v/>
      </c>
      <c r="CI93" s="530" t="str">
        <f t="shared" si="98"/>
        <v/>
      </c>
      <c r="CJ93" s="530" t="str">
        <f t="shared" si="99"/>
        <v/>
      </c>
      <c r="CK93" s="530" t="str">
        <f t="shared" si="100"/>
        <v/>
      </c>
      <c r="CL93" s="530" t="str">
        <f t="shared" si="101"/>
        <v/>
      </c>
      <c r="CM93" s="82" t="str">
        <f t="shared" si="102"/>
        <v/>
      </c>
      <c r="CN93" s="496" t="str">
        <f t="shared" si="62"/>
        <v/>
      </c>
      <c r="CO93" s="496" t="str">
        <f t="shared" si="108"/>
        <v>0</v>
      </c>
      <c r="CP93" s="491">
        <f t="shared" si="103"/>
        <v>0</v>
      </c>
      <c r="CS93" s="496">
        <f t="shared" si="104"/>
        <v>0</v>
      </c>
      <c r="CT93" s="496">
        <f t="shared" si="105"/>
        <v>0</v>
      </c>
      <c r="CU93" s="497" t="str">
        <f t="shared" si="106"/>
        <v>00</v>
      </c>
    </row>
    <row r="94" spans="1:99" ht="15" hidden="1" customHeight="1">
      <c r="A94" s="951">
        <v>91</v>
      </c>
      <c r="B94" s="1016"/>
      <c r="C94" s="922"/>
      <c r="D94" s="923"/>
      <c r="E94" s="913"/>
      <c r="F94" s="914"/>
      <c r="G94" s="1051"/>
      <c r="H94" s="915"/>
      <c r="I94" s="916"/>
      <c r="J94" s="917"/>
      <c r="K94" s="1012"/>
      <c r="L94" s="1012"/>
      <c r="M94" s="1017"/>
      <c r="N94" s="947"/>
      <c r="O94" s="406" t="str">
        <f t="shared" si="107"/>
        <v/>
      </c>
      <c r="P94" s="407" t="str">
        <f>IF(O94="","",VLOOKUP(O94,所属コード!$A$2:$E$11,2,FALSE))</f>
        <v/>
      </c>
      <c r="Q94" s="1033" t="str">
        <f>IF(O94="","",VLOOKUP(O94,所属コード!$A$2:$G$11,7,FALSE))</f>
        <v/>
      </c>
      <c r="R94" s="1035"/>
      <c r="S94" s="77"/>
      <c r="T94" s="77"/>
      <c r="U94" s="77"/>
      <c r="V94" s="15"/>
      <c r="X94" s="488"/>
      <c r="Y94" s="945" t="str">
        <f t="shared" si="63"/>
        <v/>
      </c>
      <c r="Z94" s="489" t="str">
        <f t="shared" si="64"/>
        <v/>
      </c>
      <c r="AA94" s="488"/>
      <c r="AB94" s="488"/>
      <c r="AC94" s="488"/>
      <c r="AD94" s="488"/>
      <c r="AE94" s="488"/>
      <c r="AF94" s="488"/>
      <c r="AG94" s="491"/>
      <c r="AH94" s="591"/>
      <c r="AI94" s="592"/>
      <c r="AJ94" s="592"/>
      <c r="AK94" s="592"/>
      <c r="AL94" s="592"/>
      <c r="AM94" s="592"/>
      <c r="AN94" s="592"/>
      <c r="AO94" s="592"/>
      <c r="AP94" s="592"/>
      <c r="AQ94" s="592"/>
      <c r="AR94" s="592"/>
      <c r="AS94" s="592"/>
      <c r="AT94" s="592"/>
      <c r="AU94" s="592"/>
      <c r="AV94" s="592"/>
      <c r="AW94" s="604"/>
      <c r="AX94" s="609">
        <f t="shared" si="65"/>
        <v>0</v>
      </c>
      <c r="AY94" s="602">
        <f t="shared" si="58"/>
        <v>0</v>
      </c>
      <c r="AZ94" s="593">
        <f t="shared" si="59"/>
        <v>0</v>
      </c>
      <c r="BA94" s="594">
        <f t="shared" si="60"/>
        <v>0</v>
      </c>
      <c r="BB94" s="593">
        <f t="shared" si="61"/>
        <v>0</v>
      </c>
      <c r="BC94" s="593">
        <f t="shared" si="66"/>
        <v>0</v>
      </c>
      <c r="BD94" s="593">
        <f t="shared" si="67"/>
        <v>0</v>
      </c>
      <c r="BE94" s="593">
        <f t="shared" si="68"/>
        <v>0</v>
      </c>
      <c r="BF94" s="593">
        <f t="shared" si="69"/>
        <v>0</v>
      </c>
      <c r="BG94" s="593">
        <f t="shared" si="70"/>
        <v>0</v>
      </c>
      <c r="BH94" s="593">
        <f t="shared" si="71"/>
        <v>0</v>
      </c>
      <c r="BI94" s="593">
        <f t="shared" si="72"/>
        <v>0</v>
      </c>
      <c r="BJ94" s="593">
        <f t="shared" si="73"/>
        <v>0</v>
      </c>
      <c r="BK94" s="593">
        <f t="shared" si="74"/>
        <v>0</v>
      </c>
      <c r="BL94" s="593">
        <f t="shared" si="75"/>
        <v>0</v>
      </c>
      <c r="BM94" s="593">
        <f t="shared" si="76"/>
        <v>0</v>
      </c>
      <c r="BN94" s="593">
        <f t="shared" si="77"/>
        <v>0</v>
      </c>
      <c r="BO94" s="593">
        <f t="shared" si="78"/>
        <v>0</v>
      </c>
      <c r="BP94" s="593">
        <f t="shared" si="79"/>
        <v>0</v>
      </c>
      <c r="BQ94" s="593">
        <f t="shared" si="80"/>
        <v>0</v>
      </c>
      <c r="BR94" s="593">
        <f t="shared" si="81"/>
        <v>0</v>
      </c>
      <c r="BS94" s="593">
        <f t="shared" si="82"/>
        <v>0</v>
      </c>
      <c r="BT94" s="593">
        <f t="shared" si="83"/>
        <v>0</v>
      </c>
      <c r="BU94" s="593">
        <f t="shared" si="84"/>
        <v>0</v>
      </c>
      <c r="BV94" s="593">
        <f t="shared" si="85"/>
        <v>0</v>
      </c>
      <c r="BW94" s="593">
        <f t="shared" si="86"/>
        <v>0</v>
      </c>
      <c r="BX94" s="593">
        <f t="shared" si="87"/>
        <v>0</v>
      </c>
      <c r="BY94" s="593">
        <f t="shared" si="88"/>
        <v>0</v>
      </c>
      <c r="BZ94" s="593">
        <f t="shared" si="89"/>
        <v>0</v>
      </c>
      <c r="CA94" s="593">
        <f t="shared" si="90"/>
        <v>0</v>
      </c>
      <c r="CB94" s="593">
        <f t="shared" si="91"/>
        <v>0</v>
      </c>
      <c r="CC94" s="593">
        <f t="shared" si="92"/>
        <v>0</v>
      </c>
      <c r="CD94" s="593">
        <f t="shared" si="93"/>
        <v>0</v>
      </c>
      <c r="CE94" s="593">
        <f t="shared" si="94"/>
        <v>0</v>
      </c>
      <c r="CF94" s="595">
        <f t="shared" si="95"/>
        <v>0</v>
      </c>
      <c r="CG94" s="555" t="str">
        <f t="shared" si="96"/>
        <v/>
      </c>
      <c r="CH94" s="530" t="str">
        <f t="shared" si="97"/>
        <v/>
      </c>
      <c r="CI94" s="530" t="str">
        <f t="shared" si="98"/>
        <v/>
      </c>
      <c r="CJ94" s="530" t="str">
        <f t="shared" si="99"/>
        <v/>
      </c>
      <c r="CK94" s="530" t="str">
        <f t="shared" si="100"/>
        <v/>
      </c>
      <c r="CL94" s="530" t="str">
        <f t="shared" si="101"/>
        <v/>
      </c>
      <c r="CM94" s="82" t="str">
        <f t="shared" si="102"/>
        <v/>
      </c>
      <c r="CN94" s="496" t="str">
        <f t="shared" si="62"/>
        <v/>
      </c>
      <c r="CO94" s="496" t="str">
        <f t="shared" si="108"/>
        <v>0</v>
      </c>
      <c r="CP94" s="491">
        <f t="shared" si="103"/>
        <v>0</v>
      </c>
      <c r="CS94" s="496">
        <f t="shared" si="104"/>
        <v>0</v>
      </c>
      <c r="CT94" s="496">
        <f t="shared" si="105"/>
        <v>0</v>
      </c>
      <c r="CU94" s="497" t="str">
        <f t="shared" si="106"/>
        <v>00</v>
      </c>
    </row>
    <row r="95" spans="1:99" ht="15" hidden="1" customHeight="1">
      <c r="A95" s="951">
        <v>92</v>
      </c>
      <c r="B95" s="1016"/>
      <c r="C95" s="922"/>
      <c r="D95" s="923"/>
      <c r="E95" s="913"/>
      <c r="F95" s="914"/>
      <c r="G95" s="1051"/>
      <c r="H95" s="915"/>
      <c r="I95" s="916"/>
      <c r="J95" s="917"/>
      <c r="K95" s="1012"/>
      <c r="L95" s="1012"/>
      <c r="M95" s="1017"/>
      <c r="N95" s="947"/>
      <c r="O95" s="406" t="str">
        <f t="shared" si="107"/>
        <v/>
      </c>
      <c r="P95" s="407" t="str">
        <f>IF(O95="","",VLOOKUP(O95,所属コード!$A$2:$E$11,2,FALSE))</f>
        <v/>
      </c>
      <c r="Q95" s="1033" t="str">
        <f>IF(O95="","",VLOOKUP(O95,所属コード!$A$2:$G$11,7,FALSE))</f>
        <v/>
      </c>
      <c r="R95" s="1035"/>
      <c r="S95" s="77"/>
      <c r="T95" s="77"/>
      <c r="U95" s="77"/>
      <c r="V95" s="15"/>
      <c r="X95" s="488"/>
      <c r="Y95" s="945" t="str">
        <f t="shared" si="63"/>
        <v/>
      </c>
      <c r="Z95" s="489" t="str">
        <f t="shared" si="64"/>
        <v/>
      </c>
      <c r="AA95" s="488"/>
      <c r="AB95" s="488"/>
      <c r="AC95" s="488"/>
      <c r="AD95" s="488"/>
      <c r="AE95" s="488"/>
      <c r="AF95" s="488"/>
      <c r="AG95" s="491"/>
      <c r="AH95" s="591"/>
      <c r="AI95" s="592"/>
      <c r="AJ95" s="592"/>
      <c r="AK95" s="592"/>
      <c r="AL95" s="592"/>
      <c r="AM95" s="592"/>
      <c r="AN95" s="592"/>
      <c r="AO95" s="592"/>
      <c r="AP95" s="592"/>
      <c r="AQ95" s="592"/>
      <c r="AR95" s="592"/>
      <c r="AS95" s="592"/>
      <c r="AT95" s="592"/>
      <c r="AU95" s="592"/>
      <c r="AV95" s="592"/>
      <c r="AW95" s="604"/>
      <c r="AX95" s="609">
        <f t="shared" si="65"/>
        <v>0</v>
      </c>
      <c r="AY95" s="602">
        <f t="shared" si="58"/>
        <v>0</v>
      </c>
      <c r="AZ95" s="593">
        <f t="shared" si="59"/>
        <v>0</v>
      </c>
      <c r="BA95" s="594">
        <f t="shared" si="60"/>
        <v>0</v>
      </c>
      <c r="BB95" s="593">
        <f t="shared" si="61"/>
        <v>0</v>
      </c>
      <c r="BC95" s="593">
        <f t="shared" si="66"/>
        <v>0</v>
      </c>
      <c r="BD95" s="593">
        <f t="shared" si="67"/>
        <v>0</v>
      </c>
      <c r="BE95" s="593">
        <f t="shared" si="68"/>
        <v>0</v>
      </c>
      <c r="BF95" s="593">
        <f t="shared" si="69"/>
        <v>0</v>
      </c>
      <c r="BG95" s="593">
        <f t="shared" si="70"/>
        <v>0</v>
      </c>
      <c r="BH95" s="593">
        <f t="shared" si="71"/>
        <v>0</v>
      </c>
      <c r="BI95" s="593">
        <f t="shared" si="72"/>
        <v>0</v>
      </c>
      <c r="BJ95" s="593">
        <f t="shared" si="73"/>
        <v>0</v>
      </c>
      <c r="BK95" s="593">
        <f t="shared" si="74"/>
        <v>0</v>
      </c>
      <c r="BL95" s="593">
        <f t="shared" si="75"/>
        <v>0</v>
      </c>
      <c r="BM95" s="593">
        <f t="shared" si="76"/>
        <v>0</v>
      </c>
      <c r="BN95" s="593">
        <f t="shared" si="77"/>
        <v>0</v>
      </c>
      <c r="BO95" s="593">
        <f t="shared" si="78"/>
        <v>0</v>
      </c>
      <c r="BP95" s="593">
        <f t="shared" si="79"/>
        <v>0</v>
      </c>
      <c r="BQ95" s="593">
        <f t="shared" si="80"/>
        <v>0</v>
      </c>
      <c r="BR95" s="593">
        <f t="shared" si="81"/>
        <v>0</v>
      </c>
      <c r="BS95" s="593">
        <f t="shared" si="82"/>
        <v>0</v>
      </c>
      <c r="BT95" s="593">
        <f t="shared" si="83"/>
        <v>0</v>
      </c>
      <c r="BU95" s="593">
        <f t="shared" si="84"/>
        <v>0</v>
      </c>
      <c r="BV95" s="593">
        <f t="shared" si="85"/>
        <v>0</v>
      </c>
      <c r="BW95" s="593">
        <f t="shared" si="86"/>
        <v>0</v>
      </c>
      <c r="BX95" s="593">
        <f t="shared" si="87"/>
        <v>0</v>
      </c>
      <c r="BY95" s="593">
        <f t="shared" si="88"/>
        <v>0</v>
      </c>
      <c r="BZ95" s="593">
        <f t="shared" si="89"/>
        <v>0</v>
      </c>
      <c r="CA95" s="593">
        <f t="shared" si="90"/>
        <v>0</v>
      </c>
      <c r="CB95" s="593">
        <f t="shared" si="91"/>
        <v>0</v>
      </c>
      <c r="CC95" s="593">
        <f t="shared" si="92"/>
        <v>0</v>
      </c>
      <c r="CD95" s="593">
        <f t="shared" si="93"/>
        <v>0</v>
      </c>
      <c r="CE95" s="593">
        <f t="shared" si="94"/>
        <v>0</v>
      </c>
      <c r="CF95" s="595">
        <f t="shared" si="95"/>
        <v>0</v>
      </c>
      <c r="CG95" s="555" t="str">
        <f t="shared" si="96"/>
        <v/>
      </c>
      <c r="CH95" s="530" t="str">
        <f t="shared" si="97"/>
        <v/>
      </c>
      <c r="CI95" s="530" t="str">
        <f t="shared" si="98"/>
        <v/>
      </c>
      <c r="CJ95" s="530" t="str">
        <f t="shared" si="99"/>
        <v/>
      </c>
      <c r="CK95" s="530" t="str">
        <f t="shared" si="100"/>
        <v/>
      </c>
      <c r="CL95" s="530" t="str">
        <f t="shared" si="101"/>
        <v/>
      </c>
      <c r="CM95" s="82" t="str">
        <f t="shared" si="102"/>
        <v/>
      </c>
      <c r="CN95" s="496" t="str">
        <f t="shared" si="62"/>
        <v/>
      </c>
      <c r="CO95" s="496" t="str">
        <f t="shared" si="108"/>
        <v>0</v>
      </c>
      <c r="CP95" s="491">
        <f t="shared" si="103"/>
        <v>0</v>
      </c>
      <c r="CS95" s="496">
        <f t="shared" si="104"/>
        <v>0</v>
      </c>
      <c r="CT95" s="496">
        <f t="shared" si="105"/>
        <v>0</v>
      </c>
      <c r="CU95" s="497" t="str">
        <f t="shared" si="106"/>
        <v>00</v>
      </c>
    </row>
    <row r="96" spans="1:99" ht="15" hidden="1" customHeight="1">
      <c r="A96" s="951">
        <v>93</v>
      </c>
      <c r="B96" s="1016"/>
      <c r="C96" s="922"/>
      <c r="D96" s="923"/>
      <c r="E96" s="913"/>
      <c r="F96" s="914"/>
      <c r="G96" s="1051"/>
      <c r="H96" s="915"/>
      <c r="I96" s="916"/>
      <c r="J96" s="917"/>
      <c r="K96" s="1012"/>
      <c r="L96" s="1012"/>
      <c r="M96" s="1017"/>
      <c r="N96" s="947"/>
      <c r="O96" s="406" t="str">
        <f t="shared" si="107"/>
        <v/>
      </c>
      <c r="P96" s="407" t="str">
        <f>IF(O96="","",VLOOKUP(O96,所属コード!$A$2:$E$11,2,FALSE))</f>
        <v/>
      </c>
      <c r="Q96" s="1033" t="str">
        <f>IF(O96="","",VLOOKUP(O96,所属コード!$A$2:$G$11,7,FALSE))</f>
        <v/>
      </c>
      <c r="R96" s="1035"/>
      <c r="S96" s="77"/>
      <c r="T96" s="77"/>
      <c r="U96" s="77"/>
      <c r="V96" s="15"/>
      <c r="X96" s="488"/>
      <c r="Y96" s="945" t="str">
        <f t="shared" si="63"/>
        <v/>
      </c>
      <c r="Z96" s="489" t="str">
        <f t="shared" si="64"/>
        <v/>
      </c>
      <c r="AA96" s="488"/>
      <c r="AB96" s="488"/>
      <c r="AC96" s="488"/>
      <c r="AD96" s="488"/>
      <c r="AE96" s="488"/>
      <c r="AF96" s="488"/>
      <c r="AG96" s="491"/>
      <c r="AH96" s="591"/>
      <c r="AI96" s="592"/>
      <c r="AJ96" s="592"/>
      <c r="AK96" s="592"/>
      <c r="AL96" s="592"/>
      <c r="AM96" s="592"/>
      <c r="AN96" s="592"/>
      <c r="AO96" s="592"/>
      <c r="AP96" s="592"/>
      <c r="AQ96" s="592"/>
      <c r="AR96" s="592"/>
      <c r="AS96" s="592"/>
      <c r="AT96" s="592"/>
      <c r="AU96" s="592"/>
      <c r="AV96" s="592"/>
      <c r="AW96" s="604"/>
      <c r="AX96" s="609">
        <f t="shared" si="65"/>
        <v>0</v>
      </c>
      <c r="AY96" s="602">
        <f t="shared" si="58"/>
        <v>0</v>
      </c>
      <c r="AZ96" s="593">
        <f t="shared" si="59"/>
        <v>0</v>
      </c>
      <c r="BA96" s="594">
        <f t="shared" si="60"/>
        <v>0</v>
      </c>
      <c r="BB96" s="593">
        <f t="shared" si="61"/>
        <v>0</v>
      </c>
      <c r="BC96" s="593">
        <f t="shared" si="66"/>
        <v>0</v>
      </c>
      <c r="BD96" s="593">
        <f t="shared" si="67"/>
        <v>0</v>
      </c>
      <c r="BE96" s="593">
        <f t="shared" si="68"/>
        <v>0</v>
      </c>
      <c r="BF96" s="593">
        <f t="shared" si="69"/>
        <v>0</v>
      </c>
      <c r="BG96" s="593">
        <f t="shared" si="70"/>
        <v>0</v>
      </c>
      <c r="BH96" s="593">
        <f t="shared" si="71"/>
        <v>0</v>
      </c>
      <c r="BI96" s="593">
        <f t="shared" si="72"/>
        <v>0</v>
      </c>
      <c r="BJ96" s="593">
        <f t="shared" si="73"/>
        <v>0</v>
      </c>
      <c r="BK96" s="593">
        <f t="shared" si="74"/>
        <v>0</v>
      </c>
      <c r="BL96" s="593">
        <f t="shared" si="75"/>
        <v>0</v>
      </c>
      <c r="BM96" s="593">
        <f t="shared" si="76"/>
        <v>0</v>
      </c>
      <c r="BN96" s="593">
        <f t="shared" si="77"/>
        <v>0</v>
      </c>
      <c r="BO96" s="593">
        <f t="shared" si="78"/>
        <v>0</v>
      </c>
      <c r="BP96" s="593">
        <f t="shared" si="79"/>
        <v>0</v>
      </c>
      <c r="BQ96" s="593">
        <f t="shared" si="80"/>
        <v>0</v>
      </c>
      <c r="BR96" s="593">
        <f t="shared" si="81"/>
        <v>0</v>
      </c>
      <c r="BS96" s="593">
        <f t="shared" si="82"/>
        <v>0</v>
      </c>
      <c r="BT96" s="593">
        <f t="shared" si="83"/>
        <v>0</v>
      </c>
      <c r="BU96" s="593">
        <f t="shared" si="84"/>
        <v>0</v>
      </c>
      <c r="BV96" s="593">
        <f t="shared" si="85"/>
        <v>0</v>
      </c>
      <c r="BW96" s="593">
        <f t="shared" si="86"/>
        <v>0</v>
      </c>
      <c r="BX96" s="593">
        <f t="shared" si="87"/>
        <v>0</v>
      </c>
      <c r="BY96" s="593">
        <f t="shared" si="88"/>
        <v>0</v>
      </c>
      <c r="BZ96" s="593">
        <f t="shared" si="89"/>
        <v>0</v>
      </c>
      <c r="CA96" s="593">
        <f t="shared" si="90"/>
        <v>0</v>
      </c>
      <c r="CB96" s="593">
        <f t="shared" si="91"/>
        <v>0</v>
      </c>
      <c r="CC96" s="593">
        <f t="shared" si="92"/>
        <v>0</v>
      </c>
      <c r="CD96" s="593">
        <f t="shared" si="93"/>
        <v>0</v>
      </c>
      <c r="CE96" s="593">
        <f t="shared" si="94"/>
        <v>0</v>
      </c>
      <c r="CF96" s="595">
        <f t="shared" si="95"/>
        <v>0</v>
      </c>
      <c r="CG96" s="555" t="str">
        <f t="shared" si="96"/>
        <v/>
      </c>
      <c r="CH96" s="530" t="str">
        <f t="shared" si="97"/>
        <v/>
      </c>
      <c r="CI96" s="530" t="str">
        <f t="shared" si="98"/>
        <v/>
      </c>
      <c r="CJ96" s="530" t="str">
        <f t="shared" si="99"/>
        <v/>
      </c>
      <c r="CK96" s="530" t="str">
        <f t="shared" si="100"/>
        <v/>
      </c>
      <c r="CL96" s="530" t="str">
        <f t="shared" si="101"/>
        <v/>
      </c>
      <c r="CM96" s="82" t="str">
        <f t="shared" si="102"/>
        <v/>
      </c>
      <c r="CN96" s="496" t="str">
        <f t="shared" si="62"/>
        <v/>
      </c>
      <c r="CO96" s="496" t="str">
        <f t="shared" si="108"/>
        <v>0</v>
      </c>
      <c r="CP96" s="491">
        <f t="shared" si="103"/>
        <v>0</v>
      </c>
      <c r="CS96" s="496">
        <f t="shared" si="104"/>
        <v>0</v>
      </c>
      <c r="CT96" s="496">
        <f t="shared" si="105"/>
        <v>0</v>
      </c>
      <c r="CU96" s="497" t="str">
        <f t="shared" si="106"/>
        <v>00</v>
      </c>
    </row>
    <row r="97" spans="1:99" ht="15" hidden="1" customHeight="1">
      <c r="A97" s="951">
        <v>94</v>
      </c>
      <c r="B97" s="1016"/>
      <c r="C97" s="922"/>
      <c r="D97" s="923"/>
      <c r="E97" s="913"/>
      <c r="F97" s="914"/>
      <c r="G97" s="1051"/>
      <c r="H97" s="915"/>
      <c r="I97" s="916"/>
      <c r="J97" s="917"/>
      <c r="K97" s="1012"/>
      <c r="L97" s="1012"/>
      <c r="M97" s="1017"/>
      <c r="N97" s="947"/>
      <c r="O97" s="406" t="str">
        <f t="shared" si="107"/>
        <v/>
      </c>
      <c r="P97" s="407" t="str">
        <f>IF(O97="","",VLOOKUP(O97,所属コード!$A$2:$E$11,2,FALSE))</f>
        <v/>
      </c>
      <c r="Q97" s="1033" t="str">
        <f>IF(O97="","",VLOOKUP(O97,所属コード!$A$2:$G$11,7,FALSE))</f>
        <v/>
      </c>
      <c r="R97" s="1035"/>
      <c r="S97" s="77"/>
      <c r="T97" s="77"/>
      <c r="U97" s="77"/>
      <c r="V97" s="15"/>
      <c r="X97" s="488"/>
      <c r="Y97" s="945" t="str">
        <f t="shared" si="63"/>
        <v/>
      </c>
      <c r="Z97" s="489" t="str">
        <f t="shared" si="64"/>
        <v/>
      </c>
      <c r="AA97" s="488"/>
      <c r="AB97" s="488"/>
      <c r="AC97" s="488"/>
      <c r="AD97" s="488"/>
      <c r="AE97" s="488"/>
      <c r="AF97" s="488"/>
      <c r="AG97" s="491"/>
      <c r="AH97" s="591"/>
      <c r="AI97" s="592"/>
      <c r="AJ97" s="592"/>
      <c r="AK97" s="592"/>
      <c r="AL97" s="592"/>
      <c r="AM97" s="592"/>
      <c r="AN97" s="592"/>
      <c r="AO97" s="592"/>
      <c r="AP97" s="592"/>
      <c r="AQ97" s="592"/>
      <c r="AR97" s="592"/>
      <c r="AS97" s="592"/>
      <c r="AT97" s="592"/>
      <c r="AU97" s="592"/>
      <c r="AV97" s="592"/>
      <c r="AW97" s="604"/>
      <c r="AX97" s="609">
        <f t="shared" si="65"/>
        <v>0</v>
      </c>
      <c r="AY97" s="602">
        <f t="shared" si="58"/>
        <v>0</v>
      </c>
      <c r="AZ97" s="593">
        <f t="shared" si="59"/>
        <v>0</v>
      </c>
      <c r="BA97" s="594">
        <f t="shared" si="60"/>
        <v>0</v>
      </c>
      <c r="BB97" s="593">
        <f t="shared" si="61"/>
        <v>0</v>
      </c>
      <c r="BC97" s="593">
        <f t="shared" si="66"/>
        <v>0</v>
      </c>
      <c r="BD97" s="593">
        <f t="shared" si="67"/>
        <v>0</v>
      </c>
      <c r="BE97" s="593">
        <f t="shared" si="68"/>
        <v>0</v>
      </c>
      <c r="BF97" s="593">
        <f t="shared" si="69"/>
        <v>0</v>
      </c>
      <c r="BG97" s="593">
        <f t="shared" si="70"/>
        <v>0</v>
      </c>
      <c r="BH97" s="593">
        <f t="shared" si="71"/>
        <v>0</v>
      </c>
      <c r="BI97" s="593">
        <f t="shared" si="72"/>
        <v>0</v>
      </c>
      <c r="BJ97" s="593">
        <f t="shared" si="73"/>
        <v>0</v>
      </c>
      <c r="BK97" s="593">
        <f t="shared" si="74"/>
        <v>0</v>
      </c>
      <c r="BL97" s="593">
        <f t="shared" si="75"/>
        <v>0</v>
      </c>
      <c r="BM97" s="593">
        <f t="shared" si="76"/>
        <v>0</v>
      </c>
      <c r="BN97" s="593">
        <f t="shared" si="77"/>
        <v>0</v>
      </c>
      <c r="BO97" s="593">
        <f t="shared" si="78"/>
        <v>0</v>
      </c>
      <c r="BP97" s="593">
        <f t="shared" si="79"/>
        <v>0</v>
      </c>
      <c r="BQ97" s="593">
        <f t="shared" si="80"/>
        <v>0</v>
      </c>
      <c r="BR97" s="593">
        <f t="shared" si="81"/>
        <v>0</v>
      </c>
      <c r="BS97" s="593">
        <f t="shared" si="82"/>
        <v>0</v>
      </c>
      <c r="BT97" s="593">
        <f t="shared" si="83"/>
        <v>0</v>
      </c>
      <c r="BU97" s="593">
        <f t="shared" si="84"/>
        <v>0</v>
      </c>
      <c r="BV97" s="593">
        <f t="shared" si="85"/>
        <v>0</v>
      </c>
      <c r="BW97" s="593">
        <f t="shared" si="86"/>
        <v>0</v>
      </c>
      <c r="BX97" s="593">
        <f t="shared" si="87"/>
        <v>0</v>
      </c>
      <c r="BY97" s="593">
        <f t="shared" si="88"/>
        <v>0</v>
      </c>
      <c r="BZ97" s="593">
        <f t="shared" si="89"/>
        <v>0</v>
      </c>
      <c r="CA97" s="593">
        <f t="shared" si="90"/>
        <v>0</v>
      </c>
      <c r="CB97" s="593">
        <f t="shared" si="91"/>
        <v>0</v>
      </c>
      <c r="CC97" s="593">
        <f t="shared" si="92"/>
        <v>0</v>
      </c>
      <c r="CD97" s="593">
        <f t="shared" si="93"/>
        <v>0</v>
      </c>
      <c r="CE97" s="593">
        <f t="shared" si="94"/>
        <v>0</v>
      </c>
      <c r="CF97" s="595">
        <f t="shared" si="95"/>
        <v>0</v>
      </c>
      <c r="CG97" s="555" t="str">
        <f t="shared" si="96"/>
        <v/>
      </c>
      <c r="CH97" s="530" t="str">
        <f t="shared" si="97"/>
        <v/>
      </c>
      <c r="CI97" s="530" t="str">
        <f t="shared" si="98"/>
        <v/>
      </c>
      <c r="CJ97" s="530" t="str">
        <f t="shared" si="99"/>
        <v/>
      </c>
      <c r="CK97" s="530" t="str">
        <f t="shared" si="100"/>
        <v/>
      </c>
      <c r="CL97" s="530" t="str">
        <f t="shared" si="101"/>
        <v/>
      </c>
      <c r="CM97" s="82" t="str">
        <f t="shared" si="102"/>
        <v/>
      </c>
      <c r="CN97" s="496" t="str">
        <f t="shared" si="62"/>
        <v/>
      </c>
      <c r="CO97" s="496" t="str">
        <f t="shared" si="108"/>
        <v>0</v>
      </c>
      <c r="CP97" s="491">
        <f t="shared" si="103"/>
        <v>0</v>
      </c>
      <c r="CS97" s="496">
        <f t="shared" si="104"/>
        <v>0</v>
      </c>
      <c r="CT97" s="496">
        <f t="shared" si="105"/>
        <v>0</v>
      </c>
      <c r="CU97" s="497" t="str">
        <f t="shared" si="106"/>
        <v>00</v>
      </c>
    </row>
    <row r="98" spans="1:99" ht="15" hidden="1" customHeight="1">
      <c r="A98" s="951">
        <v>95</v>
      </c>
      <c r="B98" s="1016"/>
      <c r="C98" s="922"/>
      <c r="D98" s="923"/>
      <c r="E98" s="913"/>
      <c r="F98" s="914"/>
      <c r="G98" s="1051"/>
      <c r="H98" s="921"/>
      <c r="I98" s="916"/>
      <c r="J98" s="917"/>
      <c r="K98" s="1012"/>
      <c r="L98" s="1012"/>
      <c r="M98" s="1017"/>
      <c r="N98" s="947"/>
      <c r="O98" s="406" t="str">
        <f t="shared" si="107"/>
        <v/>
      </c>
      <c r="P98" s="407" t="str">
        <f>IF(O98="","",VLOOKUP(O98,所属コード!$A$2:$E$11,2,FALSE))</f>
        <v/>
      </c>
      <c r="Q98" s="1033" t="str">
        <f>IF(O98="","",VLOOKUP(O98,所属コード!$A$2:$G$11,7,FALSE))</f>
        <v/>
      </c>
      <c r="R98" s="1035"/>
      <c r="S98" s="77"/>
      <c r="T98" s="77"/>
      <c r="U98" s="77"/>
      <c r="V98" s="15"/>
      <c r="X98" s="488"/>
      <c r="Y98" s="945" t="str">
        <f t="shared" si="63"/>
        <v/>
      </c>
      <c r="Z98" s="489" t="str">
        <f t="shared" si="64"/>
        <v/>
      </c>
      <c r="AA98" s="488"/>
      <c r="AB98" s="488"/>
      <c r="AC98" s="488"/>
      <c r="AD98" s="488"/>
      <c r="AE98" s="488"/>
      <c r="AF98" s="488"/>
      <c r="AG98" s="491"/>
      <c r="AH98" s="591"/>
      <c r="AI98" s="592"/>
      <c r="AJ98" s="592"/>
      <c r="AK98" s="592"/>
      <c r="AL98" s="592"/>
      <c r="AM98" s="592"/>
      <c r="AN98" s="592"/>
      <c r="AO98" s="592"/>
      <c r="AP98" s="592"/>
      <c r="AQ98" s="592"/>
      <c r="AR98" s="592"/>
      <c r="AS98" s="592"/>
      <c r="AT98" s="592"/>
      <c r="AU98" s="592"/>
      <c r="AV98" s="592"/>
      <c r="AW98" s="604"/>
      <c r="AX98" s="609">
        <f t="shared" si="65"/>
        <v>0</v>
      </c>
      <c r="AY98" s="602">
        <f t="shared" si="58"/>
        <v>0</v>
      </c>
      <c r="AZ98" s="593">
        <f t="shared" si="59"/>
        <v>0</v>
      </c>
      <c r="BA98" s="594">
        <f t="shared" si="60"/>
        <v>0</v>
      </c>
      <c r="BB98" s="593">
        <f t="shared" si="61"/>
        <v>0</v>
      </c>
      <c r="BC98" s="593">
        <f t="shared" si="66"/>
        <v>0</v>
      </c>
      <c r="BD98" s="593">
        <f t="shared" si="67"/>
        <v>0</v>
      </c>
      <c r="BE98" s="593">
        <f t="shared" si="68"/>
        <v>0</v>
      </c>
      <c r="BF98" s="593">
        <f t="shared" si="69"/>
        <v>0</v>
      </c>
      <c r="BG98" s="593">
        <f t="shared" si="70"/>
        <v>0</v>
      </c>
      <c r="BH98" s="593">
        <f t="shared" si="71"/>
        <v>0</v>
      </c>
      <c r="BI98" s="593">
        <f t="shared" si="72"/>
        <v>0</v>
      </c>
      <c r="BJ98" s="593">
        <f t="shared" si="73"/>
        <v>0</v>
      </c>
      <c r="BK98" s="593">
        <f t="shared" si="74"/>
        <v>0</v>
      </c>
      <c r="BL98" s="593">
        <f t="shared" si="75"/>
        <v>0</v>
      </c>
      <c r="BM98" s="593">
        <f t="shared" si="76"/>
        <v>0</v>
      </c>
      <c r="BN98" s="593">
        <f t="shared" si="77"/>
        <v>0</v>
      </c>
      <c r="BO98" s="593">
        <f t="shared" si="78"/>
        <v>0</v>
      </c>
      <c r="BP98" s="593">
        <f t="shared" si="79"/>
        <v>0</v>
      </c>
      <c r="BQ98" s="593">
        <f t="shared" si="80"/>
        <v>0</v>
      </c>
      <c r="BR98" s="593">
        <f t="shared" si="81"/>
        <v>0</v>
      </c>
      <c r="BS98" s="593">
        <f t="shared" si="82"/>
        <v>0</v>
      </c>
      <c r="BT98" s="593">
        <f t="shared" si="83"/>
        <v>0</v>
      </c>
      <c r="BU98" s="593">
        <f t="shared" si="84"/>
        <v>0</v>
      </c>
      <c r="BV98" s="593">
        <f t="shared" si="85"/>
        <v>0</v>
      </c>
      <c r="BW98" s="593">
        <f t="shared" si="86"/>
        <v>0</v>
      </c>
      <c r="BX98" s="593">
        <f t="shared" si="87"/>
        <v>0</v>
      </c>
      <c r="BY98" s="593">
        <f t="shared" si="88"/>
        <v>0</v>
      </c>
      <c r="BZ98" s="593">
        <f t="shared" si="89"/>
        <v>0</v>
      </c>
      <c r="CA98" s="593">
        <f t="shared" si="90"/>
        <v>0</v>
      </c>
      <c r="CB98" s="593">
        <f t="shared" si="91"/>
        <v>0</v>
      </c>
      <c r="CC98" s="593">
        <f t="shared" si="92"/>
        <v>0</v>
      </c>
      <c r="CD98" s="593">
        <f t="shared" si="93"/>
        <v>0</v>
      </c>
      <c r="CE98" s="593">
        <f t="shared" si="94"/>
        <v>0</v>
      </c>
      <c r="CF98" s="595">
        <f t="shared" si="95"/>
        <v>0</v>
      </c>
      <c r="CG98" s="555" t="str">
        <f t="shared" si="96"/>
        <v/>
      </c>
      <c r="CH98" s="530" t="str">
        <f t="shared" si="97"/>
        <v/>
      </c>
      <c r="CI98" s="530" t="str">
        <f t="shared" si="98"/>
        <v/>
      </c>
      <c r="CJ98" s="530" t="str">
        <f t="shared" si="99"/>
        <v/>
      </c>
      <c r="CK98" s="530" t="str">
        <f t="shared" si="100"/>
        <v/>
      </c>
      <c r="CL98" s="530" t="str">
        <f t="shared" si="101"/>
        <v/>
      </c>
      <c r="CM98" s="82" t="str">
        <f t="shared" si="102"/>
        <v/>
      </c>
      <c r="CN98" s="496" t="str">
        <f t="shared" si="62"/>
        <v/>
      </c>
      <c r="CO98" s="496" t="str">
        <f t="shared" si="108"/>
        <v>0</v>
      </c>
      <c r="CP98" s="491">
        <f t="shared" si="103"/>
        <v>0</v>
      </c>
      <c r="CS98" s="496">
        <f t="shared" si="104"/>
        <v>0</v>
      </c>
      <c r="CT98" s="496">
        <f t="shared" si="105"/>
        <v>0</v>
      </c>
      <c r="CU98" s="497" t="str">
        <f t="shared" si="106"/>
        <v>00</v>
      </c>
    </row>
    <row r="99" spans="1:99" ht="15" hidden="1" customHeight="1">
      <c r="A99" s="951">
        <v>96</v>
      </c>
      <c r="B99" s="1016"/>
      <c r="C99" s="922"/>
      <c r="D99" s="923"/>
      <c r="E99" s="913"/>
      <c r="F99" s="914"/>
      <c r="G99" s="1051"/>
      <c r="H99" s="921"/>
      <c r="I99" s="916"/>
      <c r="J99" s="917"/>
      <c r="K99" s="1012"/>
      <c r="L99" s="1012"/>
      <c r="M99" s="1017"/>
      <c r="N99" s="947"/>
      <c r="O99" s="406" t="str">
        <f t="shared" si="107"/>
        <v/>
      </c>
      <c r="P99" s="407" t="str">
        <f>IF(O99="","",VLOOKUP(O99,所属コード!$A$2:$E$11,2,FALSE))</f>
        <v/>
      </c>
      <c r="Q99" s="1033" t="str">
        <f>IF(O99="","",VLOOKUP(O99,所属コード!$A$2:$G$11,7,FALSE))</f>
        <v/>
      </c>
      <c r="R99" s="1035"/>
      <c r="S99" s="77"/>
      <c r="T99" s="77"/>
      <c r="U99" s="77"/>
      <c r="V99" s="15"/>
      <c r="X99" s="488"/>
      <c r="Y99" s="945" t="str">
        <f t="shared" si="63"/>
        <v/>
      </c>
      <c r="Z99" s="489" t="str">
        <f t="shared" si="64"/>
        <v/>
      </c>
      <c r="AA99" s="488"/>
      <c r="AB99" s="488"/>
      <c r="AC99" s="488"/>
      <c r="AD99" s="488"/>
      <c r="AE99" s="488"/>
      <c r="AF99" s="488"/>
      <c r="AG99" s="491"/>
      <c r="AH99" s="591"/>
      <c r="AI99" s="592"/>
      <c r="AJ99" s="592"/>
      <c r="AK99" s="592"/>
      <c r="AL99" s="592"/>
      <c r="AM99" s="592"/>
      <c r="AN99" s="592"/>
      <c r="AO99" s="592"/>
      <c r="AP99" s="592"/>
      <c r="AQ99" s="592"/>
      <c r="AR99" s="592"/>
      <c r="AS99" s="592"/>
      <c r="AT99" s="592"/>
      <c r="AU99" s="592"/>
      <c r="AV99" s="592"/>
      <c r="AW99" s="604"/>
      <c r="AX99" s="609">
        <f t="shared" si="65"/>
        <v>0</v>
      </c>
      <c r="AY99" s="602">
        <f t="shared" si="58"/>
        <v>0</v>
      </c>
      <c r="AZ99" s="593">
        <f t="shared" si="59"/>
        <v>0</v>
      </c>
      <c r="BA99" s="594">
        <f t="shared" si="60"/>
        <v>0</v>
      </c>
      <c r="BB99" s="593">
        <f t="shared" si="61"/>
        <v>0</v>
      </c>
      <c r="BC99" s="593">
        <f t="shared" si="66"/>
        <v>0</v>
      </c>
      <c r="BD99" s="593">
        <f t="shared" si="67"/>
        <v>0</v>
      </c>
      <c r="BE99" s="593">
        <f t="shared" si="68"/>
        <v>0</v>
      </c>
      <c r="BF99" s="593">
        <f t="shared" si="69"/>
        <v>0</v>
      </c>
      <c r="BG99" s="593">
        <f t="shared" si="70"/>
        <v>0</v>
      </c>
      <c r="BH99" s="593">
        <f t="shared" si="71"/>
        <v>0</v>
      </c>
      <c r="BI99" s="593">
        <f t="shared" si="72"/>
        <v>0</v>
      </c>
      <c r="BJ99" s="593">
        <f t="shared" si="73"/>
        <v>0</v>
      </c>
      <c r="BK99" s="593">
        <f t="shared" si="74"/>
        <v>0</v>
      </c>
      <c r="BL99" s="593">
        <f t="shared" si="75"/>
        <v>0</v>
      </c>
      <c r="BM99" s="593">
        <f t="shared" si="76"/>
        <v>0</v>
      </c>
      <c r="BN99" s="593">
        <f t="shared" si="77"/>
        <v>0</v>
      </c>
      <c r="BO99" s="593">
        <f t="shared" si="78"/>
        <v>0</v>
      </c>
      <c r="BP99" s="593">
        <f t="shared" si="79"/>
        <v>0</v>
      </c>
      <c r="BQ99" s="593">
        <f t="shared" si="80"/>
        <v>0</v>
      </c>
      <c r="BR99" s="593">
        <f t="shared" si="81"/>
        <v>0</v>
      </c>
      <c r="BS99" s="593">
        <f t="shared" si="82"/>
        <v>0</v>
      </c>
      <c r="BT99" s="593">
        <f t="shared" si="83"/>
        <v>0</v>
      </c>
      <c r="BU99" s="593">
        <f t="shared" si="84"/>
        <v>0</v>
      </c>
      <c r="BV99" s="593">
        <f t="shared" si="85"/>
        <v>0</v>
      </c>
      <c r="BW99" s="593">
        <f t="shared" si="86"/>
        <v>0</v>
      </c>
      <c r="BX99" s="593">
        <f t="shared" si="87"/>
        <v>0</v>
      </c>
      <c r="BY99" s="593">
        <f t="shared" si="88"/>
        <v>0</v>
      </c>
      <c r="BZ99" s="593">
        <f t="shared" si="89"/>
        <v>0</v>
      </c>
      <c r="CA99" s="593">
        <f t="shared" si="90"/>
        <v>0</v>
      </c>
      <c r="CB99" s="593">
        <f t="shared" si="91"/>
        <v>0</v>
      </c>
      <c r="CC99" s="593">
        <f t="shared" si="92"/>
        <v>0</v>
      </c>
      <c r="CD99" s="593">
        <f t="shared" si="93"/>
        <v>0</v>
      </c>
      <c r="CE99" s="593">
        <f t="shared" si="94"/>
        <v>0</v>
      </c>
      <c r="CF99" s="595">
        <f t="shared" si="95"/>
        <v>0</v>
      </c>
      <c r="CG99" s="555" t="str">
        <f t="shared" si="96"/>
        <v/>
      </c>
      <c r="CH99" s="530" t="str">
        <f t="shared" si="97"/>
        <v/>
      </c>
      <c r="CI99" s="530" t="str">
        <f t="shared" si="98"/>
        <v/>
      </c>
      <c r="CJ99" s="530" t="str">
        <f t="shared" si="99"/>
        <v/>
      </c>
      <c r="CK99" s="530" t="str">
        <f t="shared" si="100"/>
        <v/>
      </c>
      <c r="CL99" s="530" t="str">
        <f t="shared" si="101"/>
        <v/>
      </c>
      <c r="CM99" s="82" t="str">
        <f t="shared" si="102"/>
        <v/>
      </c>
      <c r="CN99" s="496" t="str">
        <f t="shared" si="62"/>
        <v/>
      </c>
      <c r="CO99" s="496" t="str">
        <f t="shared" si="108"/>
        <v>0</v>
      </c>
      <c r="CP99" s="491">
        <f t="shared" si="103"/>
        <v>0</v>
      </c>
      <c r="CS99" s="496">
        <f t="shared" si="104"/>
        <v>0</v>
      </c>
      <c r="CT99" s="496">
        <f t="shared" si="105"/>
        <v>0</v>
      </c>
      <c r="CU99" s="497" t="str">
        <f t="shared" si="106"/>
        <v>00</v>
      </c>
    </row>
    <row r="100" spans="1:99" ht="15" hidden="1" customHeight="1">
      <c r="A100" s="951">
        <v>97</v>
      </c>
      <c r="B100" s="1016"/>
      <c r="C100" s="922"/>
      <c r="D100" s="923"/>
      <c r="E100" s="913"/>
      <c r="F100" s="914"/>
      <c r="G100" s="1051"/>
      <c r="H100" s="921"/>
      <c r="I100" s="917"/>
      <c r="J100" s="916"/>
      <c r="K100" s="1012"/>
      <c r="L100" s="1012"/>
      <c r="M100" s="1017"/>
      <c r="N100" s="947"/>
      <c r="O100" s="406" t="str">
        <f t="shared" si="107"/>
        <v/>
      </c>
      <c r="P100" s="407" t="str">
        <f>IF(O100="","",VLOOKUP(O100,所属コード!$A$2:$E$11,2,FALSE))</f>
        <v/>
      </c>
      <c r="Q100" s="1033" t="str">
        <f>IF(O100="","",VLOOKUP(O100,所属コード!$A$2:$G$11,7,FALSE))</f>
        <v/>
      </c>
      <c r="R100" s="1035"/>
      <c r="S100" s="77"/>
      <c r="T100" s="77"/>
      <c r="U100" s="77"/>
      <c r="V100" s="15"/>
      <c r="X100" s="488"/>
      <c r="Y100" s="945" t="str">
        <f t="shared" si="63"/>
        <v/>
      </c>
      <c r="Z100" s="489" t="str">
        <f t="shared" si="64"/>
        <v/>
      </c>
      <c r="AA100" s="488"/>
      <c r="AB100" s="488"/>
      <c r="AC100" s="488"/>
      <c r="AD100" s="488"/>
      <c r="AE100" s="488"/>
      <c r="AF100" s="488"/>
      <c r="AG100" s="491"/>
      <c r="AH100" s="591"/>
      <c r="AI100" s="592"/>
      <c r="AJ100" s="592"/>
      <c r="AK100" s="592"/>
      <c r="AL100" s="592"/>
      <c r="AM100" s="592"/>
      <c r="AN100" s="592"/>
      <c r="AO100" s="592"/>
      <c r="AP100" s="592"/>
      <c r="AQ100" s="592"/>
      <c r="AR100" s="592"/>
      <c r="AS100" s="592"/>
      <c r="AT100" s="592"/>
      <c r="AU100" s="592"/>
      <c r="AV100" s="592"/>
      <c r="AW100" s="604"/>
      <c r="AX100" s="609">
        <f t="shared" si="65"/>
        <v>0</v>
      </c>
      <c r="AY100" s="602">
        <f t="shared" ref="AY100:AY113" si="109">AO100</f>
        <v>0</v>
      </c>
      <c r="AZ100" s="593">
        <f t="shared" ref="AZ100:AZ113" si="110">AO100</f>
        <v>0</v>
      </c>
      <c r="BA100" s="594">
        <f t="shared" ref="BA100:BA113" si="111">AO100</f>
        <v>0</v>
      </c>
      <c r="BB100" s="593">
        <f t="shared" ref="BB100:BB113" si="112">AP100</f>
        <v>0</v>
      </c>
      <c r="BC100" s="593">
        <f t="shared" si="66"/>
        <v>0</v>
      </c>
      <c r="BD100" s="593">
        <f t="shared" si="67"/>
        <v>0</v>
      </c>
      <c r="BE100" s="593">
        <f t="shared" si="68"/>
        <v>0</v>
      </c>
      <c r="BF100" s="593">
        <f t="shared" si="69"/>
        <v>0</v>
      </c>
      <c r="BG100" s="593">
        <f t="shared" si="70"/>
        <v>0</v>
      </c>
      <c r="BH100" s="593">
        <f t="shared" si="71"/>
        <v>0</v>
      </c>
      <c r="BI100" s="593">
        <f t="shared" si="72"/>
        <v>0</v>
      </c>
      <c r="BJ100" s="593">
        <f t="shared" si="73"/>
        <v>0</v>
      </c>
      <c r="BK100" s="593">
        <f t="shared" si="74"/>
        <v>0</v>
      </c>
      <c r="BL100" s="593">
        <f t="shared" si="75"/>
        <v>0</v>
      </c>
      <c r="BM100" s="593">
        <f t="shared" si="76"/>
        <v>0</v>
      </c>
      <c r="BN100" s="593">
        <f t="shared" si="77"/>
        <v>0</v>
      </c>
      <c r="BO100" s="593">
        <f t="shared" si="78"/>
        <v>0</v>
      </c>
      <c r="BP100" s="593">
        <f t="shared" si="79"/>
        <v>0</v>
      </c>
      <c r="BQ100" s="593">
        <f t="shared" si="80"/>
        <v>0</v>
      </c>
      <c r="BR100" s="593">
        <f t="shared" si="81"/>
        <v>0</v>
      </c>
      <c r="BS100" s="593">
        <f t="shared" si="82"/>
        <v>0</v>
      </c>
      <c r="BT100" s="593">
        <f t="shared" si="83"/>
        <v>0</v>
      </c>
      <c r="BU100" s="593">
        <f t="shared" si="84"/>
        <v>0</v>
      </c>
      <c r="BV100" s="593">
        <f t="shared" si="85"/>
        <v>0</v>
      </c>
      <c r="BW100" s="593">
        <f t="shared" si="86"/>
        <v>0</v>
      </c>
      <c r="BX100" s="593">
        <f t="shared" si="87"/>
        <v>0</v>
      </c>
      <c r="BY100" s="593">
        <f t="shared" si="88"/>
        <v>0</v>
      </c>
      <c r="BZ100" s="593">
        <f t="shared" si="89"/>
        <v>0</v>
      </c>
      <c r="CA100" s="593">
        <f t="shared" si="90"/>
        <v>0</v>
      </c>
      <c r="CB100" s="593">
        <f t="shared" si="91"/>
        <v>0</v>
      </c>
      <c r="CC100" s="593">
        <f t="shared" si="92"/>
        <v>0</v>
      </c>
      <c r="CD100" s="593">
        <f t="shared" si="93"/>
        <v>0</v>
      </c>
      <c r="CE100" s="593">
        <f t="shared" si="94"/>
        <v>0</v>
      </c>
      <c r="CF100" s="595">
        <f t="shared" si="95"/>
        <v>0</v>
      </c>
      <c r="CG100" s="555" t="str">
        <f t="shared" si="96"/>
        <v/>
      </c>
      <c r="CH100" s="530" t="str">
        <f t="shared" si="97"/>
        <v/>
      </c>
      <c r="CI100" s="530" t="str">
        <f t="shared" si="98"/>
        <v/>
      </c>
      <c r="CJ100" s="530" t="str">
        <f t="shared" si="99"/>
        <v/>
      </c>
      <c r="CK100" s="530" t="str">
        <f t="shared" si="100"/>
        <v/>
      </c>
      <c r="CL100" s="530" t="str">
        <f t="shared" si="101"/>
        <v/>
      </c>
      <c r="CM100" s="82" t="str">
        <f t="shared" si="102"/>
        <v/>
      </c>
      <c r="CN100" s="496" t="str">
        <f t="shared" ref="CN100:CN113" si="113">IF(I100="3",3,IF(I100="2",2,IF(I100="1",1,IF(I100=1,1,IF(I100=2,2,IF(I100=3,3,""))))))</f>
        <v/>
      </c>
      <c r="CO100" s="496" t="str">
        <f t="shared" si="108"/>
        <v>0</v>
      </c>
      <c r="CP100" s="491">
        <f t="shared" si="103"/>
        <v>0</v>
      </c>
      <c r="CS100" s="496">
        <f t="shared" si="104"/>
        <v>0</v>
      </c>
      <c r="CT100" s="496">
        <f t="shared" si="105"/>
        <v>0</v>
      </c>
      <c r="CU100" s="497" t="str">
        <f t="shared" si="106"/>
        <v>00</v>
      </c>
    </row>
    <row r="101" spans="1:99" ht="15" hidden="1" customHeight="1">
      <c r="A101" s="951">
        <v>98</v>
      </c>
      <c r="B101" s="1016"/>
      <c r="C101" s="922"/>
      <c r="D101" s="923"/>
      <c r="E101" s="913"/>
      <c r="F101" s="914"/>
      <c r="G101" s="1051"/>
      <c r="H101" s="921"/>
      <c r="I101" s="917"/>
      <c r="J101" s="916"/>
      <c r="K101" s="1012"/>
      <c r="L101" s="1012"/>
      <c r="M101" s="1017"/>
      <c r="N101" s="947"/>
      <c r="O101" s="406" t="str">
        <f t="shared" si="107"/>
        <v/>
      </c>
      <c r="P101" s="407" t="str">
        <f>IF(O101="","",VLOOKUP(O101,所属コード!$A$2:$E$11,2,FALSE))</f>
        <v/>
      </c>
      <c r="Q101" s="1033" t="str">
        <f>IF(O101="","",VLOOKUP(O101,所属コード!$A$2:$G$11,7,FALSE))</f>
        <v/>
      </c>
      <c r="R101" s="1035"/>
      <c r="S101" s="77"/>
      <c r="T101" s="77"/>
      <c r="U101" s="77"/>
      <c r="V101" s="15"/>
      <c r="X101" s="488"/>
      <c r="Y101" s="945" t="str">
        <f t="shared" si="63"/>
        <v/>
      </c>
      <c r="Z101" s="489" t="str">
        <f t="shared" si="64"/>
        <v/>
      </c>
      <c r="AA101" s="488"/>
      <c r="AB101" s="488"/>
      <c r="AC101" s="488"/>
      <c r="AD101" s="488"/>
      <c r="AE101" s="488"/>
      <c r="AF101" s="488"/>
      <c r="AG101" s="491"/>
      <c r="AH101" s="591"/>
      <c r="AI101" s="592"/>
      <c r="AJ101" s="592"/>
      <c r="AK101" s="592"/>
      <c r="AL101" s="592"/>
      <c r="AM101" s="592"/>
      <c r="AN101" s="592"/>
      <c r="AO101" s="592"/>
      <c r="AP101" s="592"/>
      <c r="AQ101" s="592"/>
      <c r="AR101" s="592"/>
      <c r="AS101" s="592"/>
      <c r="AT101" s="592"/>
      <c r="AU101" s="592"/>
      <c r="AV101" s="592"/>
      <c r="AW101" s="604"/>
      <c r="AX101" s="609">
        <f t="shared" si="65"/>
        <v>0</v>
      </c>
      <c r="AY101" s="602">
        <f t="shared" si="109"/>
        <v>0</v>
      </c>
      <c r="AZ101" s="593">
        <f t="shared" si="110"/>
        <v>0</v>
      </c>
      <c r="BA101" s="594">
        <f t="shared" si="111"/>
        <v>0</v>
      </c>
      <c r="BB101" s="593">
        <f t="shared" si="112"/>
        <v>0</v>
      </c>
      <c r="BC101" s="593">
        <f t="shared" si="66"/>
        <v>0</v>
      </c>
      <c r="BD101" s="593">
        <f t="shared" si="67"/>
        <v>0</v>
      </c>
      <c r="BE101" s="593">
        <f t="shared" si="68"/>
        <v>0</v>
      </c>
      <c r="BF101" s="593">
        <f t="shared" si="69"/>
        <v>0</v>
      </c>
      <c r="BG101" s="593">
        <f t="shared" si="70"/>
        <v>0</v>
      </c>
      <c r="BH101" s="593">
        <f t="shared" si="71"/>
        <v>0</v>
      </c>
      <c r="BI101" s="593">
        <f t="shared" si="72"/>
        <v>0</v>
      </c>
      <c r="BJ101" s="593">
        <f t="shared" si="73"/>
        <v>0</v>
      </c>
      <c r="BK101" s="593">
        <f t="shared" si="74"/>
        <v>0</v>
      </c>
      <c r="BL101" s="593">
        <f t="shared" si="75"/>
        <v>0</v>
      </c>
      <c r="BM101" s="593">
        <f t="shared" si="76"/>
        <v>0</v>
      </c>
      <c r="BN101" s="593">
        <f t="shared" si="77"/>
        <v>0</v>
      </c>
      <c r="BO101" s="593">
        <f t="shared" si="78"/>
        <v>0</v>
      </c>
      <c r="BP101" s="593">
        <f t="shared" si="79"/>
        <v>0</v>
      </c>
      <c r="BQ101" s="593">
        <f t="shared" si="80"/>
        <v>0</v>
      </c>
      <c r="BR101" s="593">
        <f t="shared" si="81"/>
        <v>0</v>
      </c>
      <c r="BS101" s="593">
        <f t="shared" si="82"/>
        <v>0</v>
      </c>
      <c r="BT101" s="593">
        <f t="shared" si="83"/>
        <v>0</v>
      </c>
      <c r="BU101" s="593">
        <f t="shared" si="84"/>
        <v>0</v>
      </c>
      <c r="BV101" s="593">
        <f t="shared" si="85"/>
        <v>0</v>
      </c>
      <c r="BW101" s="593">
        <f t="shared" si="86"/>
        <v>0</v>
      </c>
      <c r="BX101" s="593">
        <f t="shared" si="87"/>
        <v>0</v>
      </c>
      <c r="BY101" s="593">
        <f t="shared" si="88"/>
        <v>0</v>
      </c>
      <c r="BZ101" s="593">
        <f t="shared" si="89"/>
        <v>0</v>
      </c>
      <c r="CA101" s="593">
        <f t="shared" si="90"/>
        <v>0</v>
      </c>
      <c r="CB101" s="593">
        <f t="shared" si="91"/>
        <v>0</v>
      </c>
      <c r="CC101" s="593">
        <f t="shared" si="92"/>
        <v>0</v>
      </c>
      <c r="CD101" s="593">
        <f t="shared" si="93"/>
        <v>0</v>
      </c>
      <c r="CE101" s="593">
        <f t="shared" si="94"/>
        <v>0</v>
      </c>
      <c r="CF101" s="595">
        <f t="shared" si="95"/>
        <v>0</v>
      </c>
      <c r="CG101" s="555" t="str">
        <f t="shared" si="96"/>
        <v/>
      </c>
      <c r="CH101" s="530" t="str">
        <f t="shared" si="97"/>
        <v/>
      </c>
      <c r="CI101" s="530" t="str">
        <f t="shared" si="98"/>
        <v/>
      </c>
      <c r="CJ101" s="530" t="str">
        <f t="shared" si="99"/>
        <v/>
      </c>
      <c r="CK101" s="530" t="str">
        <f t="shared" si="100"/>
        <v/>
      </c>
      <c r="CL101" s="530" t="str">
        <f t="shared" si="101"/>
        <v/>
      </c>
      <c r="CM101" s="82" t="str">
        <f t="shared" si="102"/>
        <v/>
      </c>
      <c r="CN101" s="496" t="str">
        <f t="shared" si="113"/>
        <v/>
      </c>
      <c r="CO101" s="496" t="str">
        <f t="shared" si="108"/>
        <v>0</v>
      </c>
      <c r="CP101" s="491">
        <f t="shared" si="103"/>
        <v>0</v>
      </c>
      <c r="CS101" s="496">
        <f t="shared" si="104"/>
        <v>0</v>
      </c>
      <c r="CT101" s="496">
        <f t="shared" si="105"/>
        <v>0</v>
      </c>
      <c r="CU101" s="497" t="str">
        <f t="shared" si="106"/>
        <v>00</v>
      </c>
    </row>
    <row r="102" spans="1:99" ht="15" hidden="1" customHeight="1">
      <c r="A102" s="951">
        <v>99</v>
      </c>
      <c r="B102" s="1016"/>
      <c r="C102" s="922"/>
      <c r="D102" s="923"/>
      <c r="E102" s="913"/>
      <c r="F102" s="914"/>
      <c r="G102" s="1051"/>
      <c r="H102" s="921"/>
      <c r="I102" s="917"/>
      <c r="J102" s="916"/>
      <c r="K102" s="1012"/>
      <c r="L102" s="1012"/>
      <c r="M102" s="1017"/>
      <c r="N102" s="947"/>
      <c r="O102" s="406" t="str">
        <f t="shared" si="107"/>
        <v/>
      </c>
      <c r="P102" s="407" t="str">
        <f>IF(O102="","",VLOOKUP(O102,所属コード!$A$2:$E$11,2,FALSE))</f>
        <v/>
      </c>
      <c r="Q102" s="1033" t="str">
        <f>IF(O102="","",VLOOKUP(O102,所属コード!$A$2:$G$11,7,FALSE))</f>
        <v/>
      </c>
      <c r="R102" s="1035"/>
      <c r="S102" s="77"/>
      <c r="T102" s="77"/>
      <c r="U102" s="77"/>
      <c r="V102" s="15"/>
      <c r="X102" s="488"/>
      <c r="Y102" s="945" t="str">
        <f t="shared" si="63"/>
        <v/>
      </c>
      <c r="Z102" s="489" t="str">
        <f t="shared" si="64"/>
        <v/>
      </c>
      <c r="AA102" s="488"/>
      <c r="AB102" s="488"/>
      <c r="AC102" s="488"/>
      <c r="AD102" s="488"/>
      <c r="AE102" s="488"/>
      <c r="AF102" s="488"/>
      <c r="AG102" s="491"/>
      <c r="AH102" s="591"/>
      <c r="AI102" s="592"/>
      <c r="AJ102" s="592"/>
      <c r="AK102" s="592"/>
      <c r="AL102" s="592"/>
      <c r="AM102" s="592"/>
      <c r="AN102" s="592"/>
      <c r="AO102" s="592"/>
      <c r="AP102" s="592"/>
      <c r="AQ102" s="592"/>
      <c r="AR102" s="592"/>
      <c r="AS102" s="592"/>
      <c r="AT102" s="592"/>
      <c r="AU102" s="592"/>
      <c r="AV102" s="592"/>
      <c r="AW102" s="604"/>
      <c r="AX102" s="609">
        <f t="shared" si="65"/>
        <v>0</v>
      </c>
      <c r="AY102" s="602">
        <f t="shared" si="109"/>
        <v>0</v>
      </c>
      <c r="AZ102" s="593">
        <f t="shared" si="110"/>
        <v>0</v>
      </c>
      <c r="BA102" s="594">
        <f t="shared" si="111"/>
        <v>0</v>
      </c>
      <c r="BB102" s="593">
        <f t="shared" si="112"/>
        <v>0</v>
      </c>
      <c r="BC102" s="593">
        <f t="shared" si="66"/>
        <v>0</v>
      </c>
      <c r="BD102" s="593">
        <f t="shared" si="67"/>
        <v>0</v>
      </c>
      <c r="BE102" s="593">
        <f t="shared" si="68"/>
        <v>0</v>
      </c>
      <c r="BF102" s="593">
        <f t="shared" si="69"/>
        <v>0</v>
      </c>
      <c r="BG102" s="593">
        <f t="shared" si="70"/>
        <v>0</v>
      </c>
      <c r="BH102" s="593">
        <f t="shared" si="71"/>
        <v>0</v>
      </c>
      <c r="BI102" s="593">
        <f t="shared" si="72"/>
        <v>0</v>
      </c>
      <c r="BJ102" s="593">
        <f t="shared" si="73"/>
        <v>0</v>
      </c>
      <c r="BK102" s="593">
        <f t="shared" si="74"/>
        <v>0</v>
      </c>
      <c r="BL102" s="593">
        <f t="shared" si="75"/>
        <v>0</v>
      </c>
      <c r="BM102" s="593">
        <f t="shared" si="76"/>
        <v>0</v>
      </c>
      <c r="BN102" s="593">
        <f t="shared" si="77"/>
        <v>0</v>
      </c>
      <c r="BO102" s="593">
        <f t="shared" si="78"/>
        <v>0</v>
      </c>
      <c r="BP102" s="593">
        <f t="shared" si="79"/>
        <v>0</v>
      </c>
      <c r="BQ102" s="593">
        <f t="shared" si="80"/>
        <v>0</v>
      </c>
      <c r="BR102" s="593">
        <f t="shared" si="81"/>
        <v>0</v>
      </c>
      <c r="BS102" s="593">
        <f t="shared" si="82"/>
        <v>0</v>
      </c>
      <c r="BT102" s="593">
        <f t="shared" si="83"/>
        <v>0</v>
      </c>
      <c r="BU102" s="593">
        <f t="shared" si="84"/>
        <v>0</v>
      </c>
      <c r="BV102" s="593">
        <f t="shared" si="85"/>
        <v>0</v>
      </c>
      <c r="BW102" s="593">
        <f t="shared" si="86"/>
        <v>0</v>
      </c>
      <c r="BX102" s="593">
        <f t="shared" si="87"/>
        <v>0</v>
      </c>
      <c r="BY102" s="593">
        <f t="shared" si="88"/>
        <v>0</v>
      </c>
      <c r="BZ102" s="593">
        <f t="shared" si="89"/>
        <v>0</v>
      </c>
      <c r="CA102" s="593">
        <f t="shared" si="90"/>
        <v>0</v>
      </c>
      <c r="CB102" s="593">
        <f t="shared" si="91"/>
        <v>0</v>
      </c>
      <c r="CC102" s="593">
        <f t="shared" si="92"/>
        <v>0</v>
      </c>
      <c r="CD102" s="593">
        <f t="shared" si="93"/>
        <v>0</v>
      </c>
      <c r="CE102" s="593">
        <f t="shared" si="94"/>
        <v>0</v>
      </c>
      <c r="CF102" s="595">
        <f t="shared" si="95"/>
        <v>0</v>
      </c>
      <c r="CG102" s="555" t="str">
        <f t="shared" si="96"/>
        <v/>
      </c>
      <c r="CH102" s="530" t="str">
        <f t="shared" si="97"/>
        <v/>
      </c>
      <c r="CI102" s="530" t="str">
        <f t="shared" si="98"/>
        <v/>
      </c>
      <c r="CJ102" s="530" t="str">
        <f t="shared" si="99"/>
        <v/>
      </c>
      <c r="CK102" s="530" t="str">
        <f t="shared" si="100"/>
        <v/>
      </c>
      <c r="CL102" s="530" t="str">
        <f t="shared" si="101"/>
        <v/>
      </c>
      <c r="CM102" s="82" t="str">
        <f t="shared" si="102"/>
        <v/>
      </c>
      <c r="CN102" s="496" t="str">
        <f t="shared" si="113"/>
        <v/>
      </c>
      <c r="CO102" s="496" t="str">
        <f t="shared" si="108"/>
        <v>0</v>
      </c>
      <c r="CP102" s="491">
        <f t="shared" si="103"/>
        <v>0</v>
      </c>
      <c r="CS102" s="496">
        <f t="shared" si="104"/>
        <v>0</v>
      </c>
      <c r="CT102" s="496">
        <f t="shared" si="105"/>
        <v>0</v>
      </c>
      <c r="CU102" s="497" t="str">
        <f t="shared" si="106"/>
        <v>00</v>
      </c>
    </row>
    <row r="103" spans="1:99" ht="15" hidden="1" customHeight="1">
      <c r="A103" s="951">
        <v>100</v>
      </c>
      <c r="B103" s="1016"/>
      <c r="C103" s="922"/>
      <c r="D103" s="923"/>
      <c r="E103" s="913"/>
      <c r="F103" s="914"/>
      <c r="G103" s="1051"/>
      <c r="H103" s="921"/>
      <c r="I103" s="917"/>
      <c r="J103" s="916"/>
      <c r="K103" s="1012"/>
      <c r="L103" s="1012"/>
      <c r="M103" s="1017"/>
      <c r="N103" s="947"/>
      <c r="O103" s="406" t="str">
        <f t="shared" si="107"/>
        <v/>
      </c>
      <c r="P103" s="407" t="str">
        <f>IF(O103="","",VLOOKUP(O103,所属コード!$A$2:$E$11,2,FALSE))</f>
        <v/>
      </c>
      <c r="Q103" s="1033" t="str">
        <f>IF(O103="","",VLOOKUP(O103,所属コード!$A$2:$G$11,7,FALSE))</f>
        <v/>
      </c>
      <c r="R103" s="1035"/>
      <c r="S103" s="77"/>
      <c r="T103" s="77"/>
      <c r="U103" s="77"/>
      <c r="V103" s="15"/>
      <c r="X103" s="488"/>
      <c r="Y103" s="945" t="str">
        <f t="shared" si="63"/>
        <v/>
      </c>
      <c r="Z103" s="489" t="str">
        <f t="shared" si="64"/>
        <v/>
      </c>
      <c r="AA103" s="488"/>
      <c r="AB103" s="488"/>
      <c r="AC103" s="488"/>
      <c r="AD103" s="488"/>
      <c r="AE103" s="488"/>
      <c r="AF103" s="488"/>
      <c r="AG103" s="491"/>
      <c r="AH103" s="591"/>
      <c r="AI103" s="592"/>
      <c r="AJ103" s="592"/>
      <c r="AK103" s="592"/>
      <c r="AL103" s="592"/>
      <c r="AM103" s="592"/>
      <c r="AN103" s="592"/>
      <c r="AO103" s="592"/>
      <c r="AP103" s="592"/>
      <c r="AQ103" s="592"/>
      <c r="AR103" s="592"/>
      <c r="AS103" s="592"/>
      <c r="AT103" s="592"/>
      <c r="AU103" s="592"/>
      <c r="AV103" s="592"/>
      <c r="AW103" s="604"/>
      <c r="AX103" s="609">
        <f t="shared" si="65"/>
        <v>0</v>
      </c>
      <c r="AY103" s="602">
        <f t="shared" si="109"/>
        <v>0</v>
      </c>
      <c r="AZ103" s="593">
        <f t="shared" si="110"/>
        <v>0</v>
      </c>
      <c r="BA103" s="594">
        <f t="shared" si="111"/>
        <v>0</v>
      </c>
      <c r="BB103" s="593">
        <f t="shared" si="112"/>
        <v>0</v>
      </c>
      <c r="BC103" s="593">
        <f t="shared" si="66"/>
        <v>0</v>
      </c>
      <c r="BD103" s="593">
        <f t="shared" si="67"/>
        <v>0</v>
      </c>
      <c r="BE103" s="593">
        <f t="shared" si="68"/>
        <v>0</v>
      </c>
      <c r="BF103" s="593">
        <f t="shared" si="69"/>
        <v>0</v>
      </c>
      <c r="BG103" s="593">
        <f t="shared" si="70"/>
        <v>0</v>
      </c>
      <c r="BH103" s="593">
        <f t="shared" si="71"/>
        <v>0</v>
      </c>
      <c r="BI103" s="593">
        <f t="shared" si="72"/>
        <v>0</v>
      </c>
      <c r="BJ103" s="593">
        <f t="shared" si="73"/>
        <v>0</v>
      </c>
      <c r="BK103" s="593">
        <f t="shared" si="74"/>
        <v>0</v>
      </c>
      <c r="BL103" s="593">
        <f t="shared" si="75"/>
        <v>0</v>
      </c>
      <c r="BM103" s="593">
        <f t="shared" si="76"/>
        <v>0</v>
      </c>
      <c r="BN103" s="593">
        <f t="shared" si="77"/>
        <v>0</v>
      </c>
      <c r="BO103" s="593">
        <f t="shared" si="78"/>
        <v>0</v>
      </c>
      <c r="BP103" s="593">
        <f t="shared" si="79"/>
        <v>0</v>
      </c>
      <c r="BQ103" s="593">
        <f t="shared" si="80"/>
        <v>0</v>
      </c>
      <c r="BR103" s="593">
        <f t="shared" si="81"/>
        <v>0</v>
      </c>
      <c r="BS103" s="593">
        <f t="shared" si="82"/>
        <v>0</v>
      </c>
      <c r="BT103" s="593">
        <f t="shared" si="83"/>
        <v>0</v>
      </c>
      <c r="BU103" s="593">
        <f t="shared" si="84"/>
        <v>0</v>
      </c>
      <c r="BV103" s="593">
        <f t="shared" si="85"/>
        <v>0</v>
      </c>
      <c r="BW103" s="593">
        <f t="shared" si="86"/>
        <v>0</v>
      </c>
      <c r="BX103" s="593">
        <f t="shared" si="87"/>
        <v>0</v>
      </c>
      <c r="BY103" s="593">
        <f t="shared" si="88"/>
        <v>0</v>
      </c>
      <c r="BZ103" s="593">
        <f t="shared" si="89"/>
        <v>0</v>
      </c>
      <c r="CA103" s="593">
        <f t="shared" si="90"/>
        <v>0</v>
      </c>
      <c r="CB103" s="593">
        <f t="shared" si="91"/>
        <v>0</v>
      </c>
      <c r="CC103" s="593">
        <f t="shared" si="92"/>
        <v>0</v>
      </c>
      <c r="CD103" s="593">
        <f t="shared" si="93"/>
        <v>0</v>
      </c>
      <c r="CE103" s="593">
        <f t="shared" si="94"/>
        <v>0</v>
      </c>
      <c r="CF103" s="595">
        <f t="shared" si="95"/>
        <v>0</v>
      </c>
      <c r="CG103" s="555" t="str">
        <f t="shared" si="96"/>
        <v/>
      </c>
      <c r="CH103" s="530" t="str">
        <f t="shared" si="97"/>
        <v/>
      </c>
      <c r="CI103" s="530" t="str">
        <f t="shared" si="98"/>
        <v/>
      </c>
      <c r="CJ103" s="530" t="str">
        <f t="shared" si="99"/>
        <v/>
      </c>
      <c r="CK103" s="530" t="str">
        <f t="shared" si="100"/>
        <v/>
      </c>
      <c r="CL103" s="530" t="str">
        <f t="shared" si="101"/>
        <v/>
      </c>
      <c r="CM103" s="82" t="str">
        <f t="shared" si="102"/>
        <v/>
      </c>
      <c r="CN103" s="496" t="str">
        <f t="shared" si="113"/>
        <v/>
      </c>
      <c r="CO103" s="496" t="str">
        <f t="shared" si="108"/>
        <v>0</v>
      </c>
      <c r="CP103" s="491">
        <f t="shared" si="103"/>
        <v>0</v>
      </c>
      <c r="CS103" s="496">
        <f t="shared" si="104"/>
        <v>0</v>
      </c>
      <c r="CT103" s="496">
        <f t="shared" si="105"/>
        <v>0</v>
      </c>
      <c r="CU103" s="497" t="str">
        <f t="shared" si="106"/>
        <v>00</v>
      </c>
    </row>
    <row r="104" spans="1:99" ht="15" hidden="1" customHeight="1">
      <c r="A104" s="951">
        <v>101</v>
      </c>
      <c r="B104" s="1016"/>
      <c r="C104" s="922"/>
      <c r="D104" s="923"/>
      <c r="E104" s="913"/>
      <c r="F104" s="914"/>
      <c r="G104" s="1051"/>
      <c r="H104" s="921"/>
      <c r="I104" s="917"/>
      <c r="J104" s="916"/>
      <c r="K104" s="1012"/>
      <c r="L104" s="1012"/>
      <c r="M104" s="1017"/>
      <c r="N104" s="947"/>
      <c r="O104" s="406" t="str">
        <f t="shared" si="107"/>
        <v/>
      </c>
      <c r="P104" s="407" t="str">
        <f>IF(O104="","",VLOOKUP(O104,所属コード!$A$2:$E$11,2,FALSE))</f>
        <v/>
      </c>
      <c r="Q104" s="1033" t="str">
        <f>IF(O104="","",VLOOKUP(O104,所属コード!$A$2:$G$11,7,FALSE))</f>
        <v/>
      </c>
      <c r="R104" s="1035"/>
      <c r="S104" s="77"/>
      <c r="T104" s="77"/>
      <c r="U104" s="77"/>
      <c r="V104" s="15"/>
      <c r="X104" s="488"/>
      <c r="Y104" s="945" t="str">
        <f t="shared" si="63"/>
        <v/>
      </c>
      <c r="Z104" s="489" t="str">
        <f t="shared" si="64"/>
        <v/>
      </c>
      <c r="AA104" s="488"/>
      <c r="AB104" s="488"/>
      <c r="AC104" s="488"/>
      <c r="AD104" s="488"/>
      <c r="AE104" s="488"/>
      <c r="AF104" s="488"/>
      <c r="AG104" s="491"/>
      <c r="AH104" s="591"/>
      <c r="AI104" s="592"/>
      <c r="AJ104" s="592"/>
      <c r="AK104" s="592"/>
      <c r="AL104" s="592"/>
      <c r="AM104" s="592"/>
      <c r="AN104" s="592"/>
      <c r="AO104" s="592"/>
      <c r="AP104" s="592"/>
      <c r="AQ104" s="592"/>
      <c r="AR104" s="592"/>
      <c r="AS104" s="592"/>
      <c r="AT104" s="592"/>
      <c r="AU104" s="592"/>
      <c r="AV104" s="592"/>
      <c r="AW104" s="604"/>
      <c r="AX104" s="609">
        <f t="shared" si="65"/>
        <v>0</v>
      </c>
      <c r="AY104" s="602">
        <f t="shared" si="109"/>
        <v>0</v>
      </c>
      <c r="AZ104" s="593">
        <f t="shared" si="110"/>
        <v>0</v>
      </c>
      <c r="BA104" s="594">
        <f t="shared" si="111"/>
        <v>0</v>
      </c>
      <c r="BB104" s="593">
        <f t="shared" si="112"/>
        <v>0</v>
      </c>
      <c r="BC104" s="593">
        <f t="shared" si="66"/>
        <v>0</v>
      </c>
      <c r="BD104" s="593">
        <f t="shared" si="67"/>
        <v>0</v>
      </c>
      <c r="BE104" s="593">
        <f t="shared" si="68"/>
        <v>0</v>
      </c>
      <c r="BF104" s="593">
        <f t="shared" si="69"/>
        <v>0</v>
      </c>
      <c r="BG104" s="593">
        <f t="shared" si="70"/>
        <v>0</v>
      </c>
      <c r="BH104" s="593">
        <f t="shared" si="71"/>
        <v>0</v>
      </c>
      <c r="BI104" s="593">
        <f t="shared" si="72"/>
        <v>0</v>
      </c>
      <c r="BJ104" s="593">
        <f t="shared" si="73"/>
        <v>0</v>
      </c>
      <c r="BK104" s="593">
        <f t="shared" si="74"/>
        <v>0</v>
      </c>
      <c r="BL104" s="593">
        <f t="shared" si="75"/>
        <v>0</v>
      </c>
      <c r="BM104" s="593">
        <f t="shared" si="76"/>
        <v>0</v>
      </c>
      <c r="BN104" s="593">
        <f t="shared" si="77"/>
        <v>0</v>
      </c>
      <c r="BO104" s="593">
        <f t="shared" si="78"/>
        <v>0</v>
      </c>
      <c r="BP104" s="593">
        <f t="shared" si="79"/>
        <v>0</v>
      </c>
      <c r="BQ104" s="593">
        <f t="shared" si="80"/>
        <v>0</v>
      </c>
      <c r="BR104" s="593">
        <f t="shared" si="81"/>
        <v>0</v>
      </c>
      <c r="BS104" s="593">
        <f t="shared" si="82"/>
        <v>0</v>
      </c>
      <c r="BT104" s="593">
        <f t="shared" si="83"/>
        <v>0</v>
      </c>
      <c r="BU104" s="593">
        <f t="shared" si="84"/>
        <v>0</v>
      </c>
      <c r="BV104" s="593">
        <f t="shared" si="85"/>
        <v>0</v>
      </c>
      <c r="BW104" s="593">
        <f t="shared" si="86"/>
        <v>0</v>
      </c>
      <c r="BX104" s="593">
        <f t="shared" si="87"/>
        <v>0</v>
      </c>
      <c r="BY104" s="593">
        <f t="shared" si="88"/>
        <v>0</v>
      </c>
      <c r="BZ104" s="593">
        <f t="shared" si="89"/>
        <v>0</v>
      </c>
      <c r="CA104" s="593">
        <f t="shared" si="90"/>
        <v>0</v>
      </c>
      <c r="CB104" s="593">
        <f t="shared" si="91"/>
        <v>0</v>
      </c>
      <c r="CC104" s="593">
        <f t="shared" si="92"/>
        <v>0</v>
      </c>
      <c r="CD104" s="593">
        <f t="shared" si="93"/>
        <v>0</v>
      </c>
      <c r="CE104" s="593">
        <f t="shared" si="94"/>
        <v>0</v>
      </c>
      <c r="CF104" s="595">
        <f t="shared" si="95"/>
        <v>0</v>
      </c>
      <c r="CG104" s="555" t="str">
        <f t="shared" si="96"/>
        <v/>
      </c>
      <c r="CH104" s="530" t="str">
        <f t="shared" si="97"/>
        <v/>
      </c>
      <c r="CI104" s="530" t="str">
        <f t="shared" si="98"/>
        <v/>
      </c>
      <c r="CJ104" s="530" t="str">
        <f t="shared" si="99"/>
        <v/>
      </c>
      <c r="CK104" s="530" t="str">
        <f t="shared" si="100"/>
        <v/>
      </c>
      <c r="CL104" s="530" t="str">
        <f t="shared" si="101"/>
        <v/>
      </c>
      <c r="CM104" s="82" t="str">
        <f t="shared" si="102"/>
        <v/>
      </c>
      <c r="CN104" s="496" t="str">
        <f t="shared" si="113"/>
        <v/>
      </c>
      <c r="CO104" s="496" t="str">
        <f t="shared" si="108"/>
        <v>0</v>
      </c>
      <c r="CP104" s="491">
        <f t="shared" si="103"/>
        <v>0</v>
      </c>
      <c r="CS104" s="496">
        <f t="shared" si="104"/>
        <v>0</v>
      </c>
      <c r="CT104" s="496">
        <f t="shared" si="105"/>
        <v>0</v>
      </c>
      <c r="CU104" s="497" t="str">
        <f t="shared" si="106"/>
        <v>00</v>
      </c>
    </row>
    <row r="105" spans="1:99" ht="15" hidden="1" customHeight="1">
      <c r="A105" s="951">
        <v>102</v>
      </c>
      <c r="B105" s="1016"/>
      <c r="C105" s="922"/>
      <c r="D105" s="923"/>
      <c r="E105" s="913"/>
      <c r="F105" s="914"/>
      <c r="G105" s="1051"/>
      <c r="H105" s="921"/>
      <c r="I105" s="917"/>
      <c r="J105" s="916"/>
      <c r="K105" s="1012"/>
      <c r="L105" s="1012"/>
      <c r="M105" s="1017"/>
      <c r="N105" s="947"/>
      <c r="O105" s="406" t="str">
        <f t="shared" si="107"/>
        <v/>
      </c>
      <c r="P105" s="407" t="str">
        <f>IF(O105="","",VLOOKUP(O105,所属コード!$A$2:$E$11,2,FALSE))</f>
        <v/>
      </c>
      <c r="Q105" s="1033" t="str">
        <f>IF(O105="","",VLOOKUP(O105,所属コード!$A$2:$G$11,7,FALSE))</f>
        <v/>
      </c>
      <c r="R105" s="1035"/>
      <c r="S105" s="77"/>
      <c r="T105" s="77"/>
      <c r="U105" s="77"/>
      <c r="V105" s="15"/>
      <c r="X105" s="488"/>
      <c r="Y105" s="945" t="str">
        <f t="shared" si="63"/>
        <v/>
      </c>
      <c r="Z105" s="489" t="str">
        <f t="shared" si="64"/>
        <v/>
      </c>
      <c r="AA105" s="488"/>
      <c r="AB105" s="488"/>
      <c r="AC105" s="488"/>
      <c r="AD105" s="488"/>
      <c r="AE105" s="488"/>
      <c r="AF105" s="488"/>
      <c r="AG105" s="491"/>
      <c r="AH105" s="591"/>
      <c r="AI105" s="592"/>
      <c r="AJ105" s="592"/>
      <c r="AK105" s="592"/>
      <c r="AL105" s="592"/>
      <c r="AM105" s="592"/>
      <c r="AN105" s="592"/>
      <c r="AO105" s="592"/>
      <c r="AP105" s="592"/>
      <c r="AQ105" s="592"/>
      <c r="AR105" s="592"/>
      <c r="AS105" s="592"/>
      <c r="AT105" s="592"/>
      <c r="AU105" s="592"/>
      <c r="AV105" s="592"/>
      <c r="AW105" s="604"/>
      <c r="AX105" s="609">
        <f t="shared" si="65"/>
        <v>0</v>
      </c>
      <c r="AY105" s="602">
        <f t="shared" si="109"/>
        <v>0</v>
      </c>
      <c r="AZ105" s="593">
        <f t="shared" si="110"/>
        <v>0</v>
      </c>
      <c r="BA105" s="594">
        <f t="shared" si="111"/>
        <v>0</v>
      </c>
      <c r="BB105" s="593">
        <f t="shared" si="112"/>
        <v>0</v>
      </c>
      <c r="BC105" s="593">
        <f t="shared" si="66"/>
        <v>0</v>
      </c>
      <c r="BD105" s="593">
        <f t="shared" si="67"/>
        <v>0</v>
      </c>
      <c r="BE105" s="593">
        <f t="shared" si="68"/>
        <v>0</v>
      </c>
      <c r="BF105" s="593">
        <f t="shared" si="69"/>
        <v>0</v>
      </c>
      <c r="BG105" s="593">
        <f t="shared" si="70"/>
        <v>0</v>
      </c>
      <c r="BH105" s="593">
        <f t="shared" si="71"/>
        <v>0</v>
      </c>
      <c r="BI105" s="593">
        <f t="shared" si="72"/>
        <v>0</v>
      </c>
      <c r="BJ105" s="593">
        <f t="shared" si="73"/>
        <v>0</v>
      </c>
      <c r="BK105" s="593">
        <f t="shared" si="74"/>
        <v>0</v>
      </c>
      <c r="BL105" s="593">
        <f t="shared" si="75"/>
        <v>0</v>
      </c>
      <c r="BM105" s="593">
        <f t="shared" si="76"/>
        <v>0</v>
      </c>
      <c r="BN105" s="593">
        <f t="shared" si="77"/>
        <v>0</v>
      </c>
      <c r="BO105" s="593">
        <f t="shared" si="78"/>
        <v>0</v>
      </c>
      <c r="BP105" s="593">
        <f t="shared" si="79"/>
        <v>0</v>
      </c>
      <c r="BQ105" s="593">
        <f t="shared" si="80"/>
        <v>0</v>
      </c>
      <c r="BR105" s="593">
        <f t="shared" si="81"/>
        <v>0</v>
      </c>
      <c r="BS105" s="593">
        <f t="shared" si="82"/>
        <v>0</v>
      </c>
      <c r="BT105" s="593">
        <f t="shared" si="83"/>
        <v>0</v>
      </c>
      <c r="BU105" s="593">
        <f t="shared" si="84"/>
        <v>0</v>
      </c>
      <c r="BV105" s="593">
        <f t="shared" si="85"/>
        <v>0</v>
      </c>
      <c r="BW105" s="593">
        <f t="shared" si="86"/>
        <v>0</v>
      </c>
      <c r="BX105" s="593">
        <f t="shared" si="87"/>
        <v>0</v>
      </c>
      <c r="BY105" s="593">
        <f t="shared" si="88"/>
        <v>0</v>
      </c>
      <c r="BZ105" s="593">
        <f t="shared" si="89"/>
        <v>0</v>
      </c>
      <c r="CA105" s="593">
        <f t="shared" si="90"/>
        <v>0</v>
      </c>
      <c r="CB105" s="593">
        <f t="shared" si="91"/>
        <v>0</v>
      </c>
      <c r="CC105" s="593">
        <f t="shared" si="92"/>
        <v>0</v>
      </c>
      <c r="CD105" s="593">
        <f t="shared" si="93"/>
        <v>0</v>
      </c>
      <c r="CE105" s="593">
        <f t="shared" si="94"/>
        <v>0</v>
      </c>
      <c r="CF105" s="595">
        <f t="shared" si="95"/>
        <v>0</v>
      </c>
      <c r="CG105" s="555" t="str">
        <f t="shared" si="96"/>
        <v/>
      </c>
      <c r="CH105" s="530" t="str">
        <f t="shared" si="97"/>
        <v/>
      </c>
      <c r="CI105" s="530" t="str">
        <f t="shared" si="98"/>
        <v/>
      </c>
      <c r="CJ105" s="530" t="str">
        <f t="shared" si="99"/>
        <v/>
      </c>
      <c r="CK105" s="530" t="str">
        <f t="shared" si="100"/>
        <v/>
      </c>
      <c r="CL105" s="530" t="str">
        <f t="shared" si="101"/>
        <v/>
      </c>
      <c r="CM105" s="82" t="str">
        <f t="shared" si="102"/>
        <v/>
      </c>
      <c r="CN105" s="496" t="str">
        <f t="shared" si="113"/>
        <v/>
      </c>
      <c r="CO105" s="496" t="str">
        <f t="shared" si="108"/>
        <v>0</v>
      </c>
      <c r="CP105" s="491">
        <f t="shared" si="103"/>
        <v>0</v>
      </c>
      <c r="CS105" s="496">
        <f t="shared" si="104"/>
        <v>0</v>
      </c>
      <c r="CT105" s="496">
        <f t="shared" si="105"/>
        <v>0</v>
      </c>
      <c r="CU105" s="497" t="str">
        <f t="shared" si="106"/>
        <v>00</v>
      </c>
    </row>
    <row r="106" spans="1:99" ht="15" hidden="1" customHeight="1">
      <c r="A106" s="951">
        <v>103</v>
      </c>
      <c r="B106" s="1016"/>
      <c r="C106" s="922"/>
      <c r="D106" s="923"/>
      <c r="E106" s="913"/>
      <c r="F106" s="914"/>
      <c r="G106" s="1051"/>
      <c r="H106" s="921"/>
      <c r="I106" s="917"/>
      <c r="J106" s="916"/>
      <c r="K106" s="1012"/>
      <c r="L106" s="1012"/>
      <c r="M106" s="1017"/>
      <c r="N106" s="947"/>
      <c r="O106" s="406" t="str">
        <f t="shared" si="107"/>
        <v/>
      </c>
      <c r="P106" s="407" t="str">
        <f>IF(O106="","",VLOOKUP(O106,所属コード!$A$2:$E$11,2,FALSE))</f>
        <v/>
      </c>
      <c r="Q106" s="1033" t="str">
        <f>IF(O106="","",VLOOKUP(O106,所属コード!$A$2:$G$11,7,FALSE))</f>
        <v/>
      </c>
      <c r="R106" s="1035"/>
      <c r="S106" s="77"/>
      <c r="T106" s="77"/>
      <c r="U106" s="77"/>
      <c r="V106" s="15"/>
      <c r="X106" s="488"/>
      <c r="Y106" s="945" t="str">
        <f t="shared" si="63"/>
        <v/>
      </c>
      <c r="Z106" s="489" t="str">
        <f t="shared" si="64"/>
        <v/>
      </c>
      <c r="AA106" s="488"/>
      <c r="AB106" s="488"/>
      <c r="AC106" s="488"/>
      <c r="AD106" s="488"/>
      <c r="AE106" s="488"/>
      <c r="AF106" s="488"/>
      <c r="AG106" s="491"/>
      <c r="AH106" s="591"/>
      <c r="AI106" s="592"/>
      <c r="AJ106" s="592"/>
      <c r="AK106" s="592"/>
      <c r="AL106" s="592"/>
      <c r="AM106" s="592"/>
      <c r="AN106" s="592"/>
      <c r="AO106" s="592"/>
      <c r="AP106" s="592"/>
      <c r="AQ106" s="592"/>
      <c r="AR106" s="592"/>
      <c r="AS106" s="592"/>
      <c r="AT106" s="592"/>
      <c r="AU106" s="592"/>
      <c r="AV106" s="592"/>
      <c r="AW106" s="604"/>
      <c r="AX106" s="609">
        <f t="shared" si="65"/>
        <v>0</v>
      </c>
      <c r="AY106" s="602">
        <f t="shared" si="109"/>
        <v>0</v>
      </c>
      <c r="AZ106" s="593">
        <f t="shared" si="110"/>
        <v>0</v>
      </c>
      <c r="BA106" s="594">
        <f t="shared" si="111"/>
        <v>0</v>
      </c>
      <c r="BB106" s="593">
        <f t="shared" si="112"/>
        <v>0</v>
      </c>
      <c r="BC106" s="593">
        <f t="shared" si="66"/>
        <v>0</v>
      </c>
      <c r="BD106" s="593">
        <f t="shared" si="67"/>
        <v>0</v>
      </c>
      <c r="BE106" s="593">
        <f t="shared" si="68"/>
        <v>0</v>
      </c>
      <c r="BF106" s="593">
        <f t="shared" si="69"/>
        <v>0</v>
      </c>
      <c r="BG106" s="593">
        <f t="shared" si="70"/>
        <v>0</v>
      </c>
      <c r="BH106" s="593">
        <f t="shared" si="71"/>
        <v>0</v>
      </c>
      <c r="BI106" s="593">
        <f t="shared" si="72"/>
        <v>0</v>
      </c>
      <c r="BJ106" s="593">
        <f t="shared" si="73"/>
        <v>0</v>
      </c>
      <c r="BK106" s="593">
        <f t="shared" si="74"/>
        <v>0</v>
      </c>
      <c r="BL106" s="593">
        <f t="shared" si="75"/>
        <v>0</v>
      </c>
      <c r="BM106" s="593">
        <f t="shared" si="76"/>
        <v>0</v>
      </c>
      <c r="BN106" s="593">
        <f t="shared" si="77"/>
        <v>0</v>
      </c>
      <c r="BO106" s="593">
        <f t="shared" si="78"/>
        <v>0</v>
      </c>
      <c r="BP106" s="593">
        <f t="shared" si="79"/>
        <v>0</v>
      </c>
      <c r="BQ106" s="593">
        <f t="shared" si="80"/>
        <v>0</v>
      </c>
      <c r="BR106" s="593">
        <f t="shared" si="81"/>
        <v>0</v>
      </c>
      <c r="BS106" s="593">
        <f t="shared" si="82"/>
        <v>0</v>
      </c>
      <c r="BT106" s="593">
        <f t="shared" si="83"/>
        <v>0</v>
      </c>
      <c r="BU106" s="593">
        <f t="shared" si="84"/>
        <v>0</v>
      </c>
      <c r="BV106" s="593">
        <f t="shared" si="85"/>
        <v>0</v>
      </c>
      <c r="BW106" s="593">
        <f t="shared" si="86"/>
        <v>0</v>
      </c>
      <c r="BX106" s="593">
        <f t="shared" si="87"/>
        <v>0</v>
      </c>
      <c r="BY106" s="593">
        <f t="shared" si="88"/>
        <v>0</v>
      </c>
      <c r="BZ106" s="593">
        <f t="shared" si="89"/>
        <v>0</v>
      </c>
      <c r="CA106" s="593">
        <f t="shared" si="90"/>
        <v>0</v>
      </c>
      <c r="CB106" s="593">
        <f t="shared" si="91"/>
        <v>0</v>
      </c>
      <c r="CC106" s="593">
        <f t="shared" si="92"/>
        <v>0</v>
      </c>
      <c r="CD106" s="593">
        <f t="shared" si="93"/>
        <v>0</v>
      </c>
      <c r="CE106" s="593">
        <f t="shared" si="94"/>
        <v>0</v>
      </c>
      <c r="CF106" s="595">
        <f t="shared" si="95"/>
        <v>0</v>
      </c>
      <c r="CG106" s="555" t="str">
        <f t="shared" si="96"/>
        <v/>
      </c>
      <c r="CH106" s="530" t="str">
        <f t="shared" si="97"/>
        <v/>
      </c>
      <c r="CI106" s="530" t="str">
        <f t="shared" si="98"/>
        <v/>
      </c>
      <c r="CJ106" s="530" t="str">
        <f t="shared" si="99"/>
        <v/>
      </c>
      <c r="CK106" s="530" t="str">
        <f t="shared" si="100"/>
        <v/>
      </c>
      <c r="CL106" s="530" t="str">
        <f t="shared" si="101"/>
        <v/>
      </c>
      <c r="CM106" s="82" t="str">
        <f t="shared" si="102"/>
        <v/>
      </c>
      <c r="CN106" s="496" t="str">
        <f t="shared" si="113"/>
        <v/>
      </c>
      <c r="CO106" s="496" t="str">
        <f t="shared" si="108"/>
        <v>0</v>
      </c>
      <c r="CP106" s="491">
        <f t="shared" si="103"/>
        <v>0</v>
      </c>
      <c r="CS106" s="496">
        <f t="shared" si="104"/>
        <v>0</v>
      </c>
      <c r="CT106" s="496">
        <f t="shared" si="105"/>
        <v>0</v>
      </c>
      <c r="CU106" s="497" t="str">
        <f t="shared" si="106"/>
        <v>00</v>
      </c>
    </row>
    <row r="107" spans="1:99" ht="15" hidden="1" customHeight="1">
      <c r="A107" s="951">
        <v>104</v>
      </c>
      <c r="B107" s="1016"/>
      <c r="C107" s="922"/>
      <c r="D107" s="923"/>
      <c r="E107" s="913"/>
      <c r="F107" s="914"/>
      <c r="G107" s="1051"/>
      <c r="H107" s="921"/>
      <c r="I107" s="917"/>
      <c r="J107" s="916"/>
      <c r="K107" s="1012"/>
      <c r="L107" s="1012"/>
      <c r="M107" s="1017"/>
      <c r="N107" s="947"/>
      <c r="O107" s="406" t="str">
        <f t="shared" si="107"/>
        <v/>
      </c>
      <c r="P107" s="407" t="str">
        <f>IF(O107="","",VLOOKUP(O107,所属コード!$A$2:$E$11,2,FALSE))</f>
        <v/>
      </c>
      <c r="Q107" s="1033" t="str">
        <f>IF(O107="","",VLOOKUP(O107,所属コード!$A$2:$G$11,7,FALSE))</f>
        <v/>
      </c>
      <c r="R107" s="1035"/>
      <c r="S107" s="77"/>
      <c r="T107" s="77"/>
      <c r="U107" s="77"/>
      <c r="V107" s="15"/>
      <c r="X107" s="488"/>
      <c r="Y107" s="945" t="str">
        <f t="shared" si="63"/>
        <v/>
      </c>
      <c r="Z107" s="489" t="str">
        <f t="shared" si="64"/>
        <v/>
      </c>
      <c r="AA107" s="488"/>
      <c r="AB107" s="488"/>
      <c r="AC107" s="488"/>
      <c r="AD107" s="488"/>
      <c r="AE107" s="488"/>
      <c r="AF107" s="488"/>
      <c r="AG107" s="491"/>
      <c r="AH107" s="591"/>
      <c r="AI107" s="592"/>
      <c r="AJ107" s="592"/>
      <c r="AK107" s="592"/>
      <c r="AL107" s="592"/>
      <c r="AM107" s="592"/>
      <c r="AN107" s="592"/>
      <c r="AO107" s="592"/>
      <c r="AP107" s="592"/>
      <c r="AQ107" s="592"/>
      <c r="AR107" s="592"/>
      <c r="AS107" s="592"/>
      <c r="AT107" s="592"/>
      <c r="AU107" s="592"/>
      <c r="AV107" s="592"/>
      <c r="AW107" s="604"/>
      <c r="AX107" s="609">
        <f t="shared" si="65"/>
        <v>0</v>
      </c>
      <c r="AY107" s="602">
        <f t="shared" si="109"/>
        <v>0</v>
      </c>
      <c r="AZ107" s="593">
        <f t="shared" si="110"/>
        <v>0</v>
      </c>
      <c r="BA107" s="594">
        <f t="shared" si="111"/>
        <v>0</v>
      </c>
      <c r="BB107" s="593">
        <f t="shared" si="112"/>
        <v>0</v>
      </c>
      <c r="BC107" s="593">
        <f t="shared" si="66"/>
        <v>0</v>
      </c>
      <c r="BD107" s="593">
        <f t="shared" si="67"/>
        <v>0</v>
      </c>
      <c r="BE107" s="593">
        <f t="shared" si="68"/>
        <v>0</v>
      </c>
      <c r="BF107" s="593">
        <f t="shared" si="69"/>
        <v>0</v>
      </c>
      <c r="BG107" s="593">
        <f t="shared" si="70"/>
        <v>0</v>
      </c>
      <c r="BH107" s="593">
        <f t="shared" si="71"/>
        <v>0</v>
      </c>
      <c r="BI107" s="593">
        <f t="shared" si="72"/>
        <v>0</v>
      </c>
      <c r="BJ107" s="593">
        <f t="shared" si="73"/>
        <v>0</v>
      </c>
      <c r="BK107" s="593">
        <f t="shared" si="74"/>
        <v>0</v>
      </c>
      <c r="BL107" s="593">
        <f t="shared" si="75"/>
        <v>0</v>
      </c>
      <c r="BM107" s="593">
        <f t="shared" si="76"/>
        <v>0</v>
      </c>
      <c r="BN107" s="593">
        <f t="shared" si="77"/>
        <v>0</v>
      </c>
      <c r="BO107" s="593">
        <f t="shared" si="78"/>
        <v>0</v>
      </c>
      <c r="BP107" s="593">
        <f t="shared" si="79"/>
        <v>0</v>
      </c>
      <c r="BQ107" s="593">
        <f t="shared" si="80"/>
        <v>0</v>
      </c>
      <c r="BR107" s="593">
        <f t="shared" si="81"/>
        <v>0</v>
      </c>
      <c r="BS107" s="593">
        <f t="shared" si="82"/>
        <v>0</v>
      </c>
      <c r="BT107" s="593">
        <f t="shared" si="83"/>
        <v>0</v>
      </c>
      <c r="BU107" s="593">
        <f t="shared" si="84"/>
        <v>0</v>
      </c>
      <c r="BV107" s="593">
        <f t="shared" si="85"/>
        <v>0</v>
      </c>
      <c r="BW107" s="593">
        <f t="shared" si="86"/>
        <v>0</v>
      </c>
      <c r="BX107" s="593">
        <f t="shared" si="87"/>
        <v>0</v>
      </c>
      <c r="BY107" s="593">
        <f t="shared" si="88"/>
        <v>0</v>
      </c>
      <c r="BZ107" s="593">
        <f t="shared" si="89"/>
        <v>0</v>
      </c>
      <c r="CA107" s="593">
        <f t="shared" si="90"/>
        <v>0</v>
      </c>
      <c r="CB107" s="593">
        <f t="shared" si="91"/>
        <v>0</v>
      </c>
      <c r="CC107" s="593">
        <f t="shared" si="92"/>
        <v>0</v>
      </c>
      <c r="CD107" s="593">
        <f t="shared" si="93"/>
        <v>0</v>
      </c>
      <c r="CE107" s="593">
        <f t="shared" si="94"/>
        <v>0</v>
      </c>
      <c r="CF107" s="595">
        <f t="shared" si="95"/>
        <v>0</v>
      </c>
      <c r="CG107" s="555" t="str">
        <f t="shared" si="96"/>
        <v/>
      </c>
      <c r="CH107" s="530" t="str">
        <f t="shared" si="97"/>
        <v/>
      </c>
      <c r="CI107" s="530" t="str">
        <f t="shared" si="98"/>
        <v/>
      </c>
      <c r="CJ107" s="530" t="str">
        <f t="shared" si="99"/>
        <v/>
      </c>
      <c r="CK107" s="530" t="str">
        <f t="shared" si="100"/>
        <v/>
      </c>
      <c r="CL107" s="530" t="str">
        <f t="shared" si="101"/>
        <v/>
      </c>
      <c r="CM107" s="82" t="str">
        <f t="shared" si="102"/>
        <v/>
      </c>
      <c r="CN107" s="496" t="str">
        <f t="shared" si="113"/>
        <v/>
      </c>
      <c r="CO107" s="496" t="str">
        <f t="shared" si="108"/>
        <v>0</v>
      </c>
      <c r="CP107" s="491">
        <f t="shared" si="103"/>
        <v>0</v>
      </c>
      <c r="CS107" s="496">
        <f t="shared" si="104"/>
        <v>0</v>
      </c>
      <c r="CT107" s="496">
        <f t="shared" si="105"/>
        <v>0</v>
      </c>
      <c r="CU107" s="497" t="str">
        <f t="shared" si="106"/>
        <v>00</v>
      </c>
    </row>
    <row r="108" spans="1:99" ht="15" hidden="1" customHeight="1">
      <c r="A108" s="951">
        <v>105</v>
      </c>
      <c r="B108" s="1016"/>
      <c r="C108" s="922"/>
      <c r="D108" s="923"/>
      <c r="E108" s="913"/>
      <c r="F108" s="914"/>
      <c r="G108" s="1051"/>
      <c r="H108" s="921"/>
      <c r="I108" s="917"/>
      <c r="J108" s="916"/>
      <c r="K108" s="1012"/>
      <c r="L108" s="1012"/>
      <c r="M108" s="1017"/>
      <c r="N108" s="947"/>
      <c r="O108" s="406" t="str">
        <f t="shared" si="107"/>
        <v/>
      </c>
      <c r="P108" s="407" t="str">
        <f>IF(O108="","",VLOOKUP(O108,所属コード!$A$2:$E$11,2,FALSE))</f>
        <v/>
      </c>
      <c r="Q108" s="1033" t="str">
        <f>IF(O108="","",VLOOKUP(O108,所属コード!$A$2:$G$11,7,FALSE))</f>
        <v/>
      </c>
      <c r="R108" s="1035"/>
      <c r="S108" s="77"/>
      <c r="T108" s="77"/>
      <c r="U108" s="77"/>
      <c r="V108" s="15"/>
      <c r="X108" s="488"/>
      <c r="Y108" s="945" t="str">
        <f t="shared" si="63"/>
        <v/>
      </c>
      <c r="Z108" s="489" t="str">
        <f t="shared" si="64"/>
        <v/>
      </c>
      <c r="AA108" s="488"/>
      <c r="AB108" s="488"/>
      <c r="AC108" s="488"/>
      <c r="AD108" s="488"/>
      <c r="AE108" s="488"/>
      <c r="AF108" s="488"/>
      <c r="AG108" s="491"/>
      <c r="AH108" s="591"/>
      <c r="AI108" s="592"/>
      <c r="AJ108" s="592"/>
      <c r="AK108" s="592"/>
      <c r="AL108" s="592"/>
      <c r="AM108" s="592"/>
      <c r="AN108" s="592"/>
      <c r="AO108" s="592"/>
      <c r="AP108" s="592"/>
      <c r="AQ108" s="592"/>
      <c r="AR108" s="592"/>
      <c r="AS108" s="592"/>
      <c r="AT108" s="592"/>
      <c r="AU108" s="592"/>
      <c r="AV108" s="592"/>
      <c r="AW108" s="604"/>
      <c r="AX108" s="609">
        <f t="shared" si="65"/>
        <v>0</v>
      </c>
      <c r="AY108" s="602">
        <f t="shared" si="109"/>
        <v>0</v>
      </c>
      <c r="AZ108" s="593">
        <f t="shared" si="110"/>
        <v>0</v>
      </c>
      <c r="BA108" s="594">
        <f t="shared" si="111"/>
        <v>0</v>
      </c>
      <c r="BB108" s="593">
        <f t="shared" si="112"/>
        <v>0</v>
      </c>
      <c r="BC108" s="593">
        <f t="shared" si="66"/>
        <v>0</v>
      </c>
      <c r="BD108" s="593">
        <f t="shared" si="67"/>
        <v>0</v>
      </c>
      <c r="BE108" s="593">
        <f t="shared" si="68"/>
        <v>0</v>
      </c>
      <c r="BF108" s="593">
        <f t="shared" si="69"/>
        <v>0</v>
      </c>
      <c r="BG108" s="593">
        <f t="shared" si="70"/>
        <v>0</v>
      </c>
      <c r="BH108" s="593">
        <f t="shared" si="71"/>
        <v>0</v>
      </c>
      <c r="BI108" s="593">
        <f t="shared" si="72"/>
        <v>0</v>
      </c>
      <c r="BJ108" s="593">
        <f t="shared" si="73"/>
        <v>0</v>
      </c>
      <c r="BK108" s="593">
        <f t="shared" si="74"/>
        <v>0</v>
      </c>
      <c r="BL108" s="593">
        <f t="shared" si="75"/>
        <v>0</v>
      </c>
      <c r="BM108" s="593">
        <f t="shared" si="76"/>
        <v>0</v>
      </c>
      <c r="BN108" s="593">
        <f t="shared" si="77"/>
        <v>0</v>
      </c>
      <c r="BO108" s="593">
        <f t="shared" si="78"/>
        <v>0</v>
      </c>
      <c r="BP108" s="593">
        <f t="shared" si="79"/>
        <v>0</v>
      </c>
      <c r="BQ108" s="593">
        <f t="shared" si="80"/>
        <v>0</v>
      </c>
      <c r="BR108" s="593">
        <f t="shared" si="81"/>
        <v>0</v>
      </c>
      <c r="BS108" s="593">
        <f t="shared" si="82"/>
        <v>0</v>
      </c>
      <c r="BT108" s="593">
        <f t="shared" si="83"/>
        <v>0</v>
      </c>
      <c r="BU108" s="593">
        <f t="shared" si="84"/>
        <v>0</v>
      </c>
      <c r="BV108" s="593">
        <f t="shared" si="85"/>
        <v>0</v>
      </c>
      <c r="BW108" s="593">
        <f t="shared" si="86"/>
        <v>0</v>
      </c>
      <c r="BX108" s="593">
        <f t="shared" si="87"/>
        <v>0</v>
      </c>
      <c r="BY108" s="593">
        <f t="shared" si="88"/>
        <v>0</v>
      </c>
      <c r="BZ108" s="593">
        <f t="shared" si="89"/>
        <v>0</v>
      </c>
      <c r="CA108" s="593">
        <f t="shared" si="90"/>
        <v>0</v>
      </c>
      <c r="CB108" s="593">
        <f t="shared" si="91"/>
        <v>0</v>
      </c>
      <c r="CC108" s="593">
        <f t="shared" si="92"/>
        <v>0</v>
      </c>
      <c r="CD108" s="593">
        <f t="shared" si="93"/>
        <v>0</v>
      </c>
      <c r="CE108" s="593">
        <f t="shared" si="94"/>
        <v>0</v>
      </c>
      <c r="CF108" s="595">
        <f t="shared" si="95"/>
        <v>0</v>
      </c>
      <c r="CG108" s="555" t="str">
        <f t="shared" si="96"/>
        <v/>
      </c>
      <c r="CH108" s="530" t="str">
        <f t="shared" si="97"/>
        <v/>
      </c>
      <c r="CI108" s="530" t="str">
        <f t="shared" si="98"/>
        <v/>
      </c>
      <c r="CJ108" s="530" t="str">
        <f t="shared" si="99"/>
        <v/>
      </c>
      <c r="CK108" s="530" t="str">
        <f t="shared" si="100"/>
        <v/>
      </c>
      <c r="CL108" s="530" t="str">
        <f t="shared" si="101"/>
        <v/>
      </c>
      <c r="CM108" s="82" t="str">
        <f t="shared" si="102"/>
        <v/>
      </c>
      <c r="CN108" s="496" t="str">
        <f t="shared" si="113"/>
        <v/>
      </c>
      <c r="CO108" s="496" t="str">
        <f t="shared" si="108"/>
        <v>0</v>
      </c>
      <c r="CP108" s="491">
        <f t="shared" si="103"/>
        <v>0</v>
      </c>
      <c r="CS108" s="496">
        <f t="shared" si="104"/>
        <v>0</v>
      </c>
      <c r="CT108" s="496">
        <f t="shared" si="105"/>
        <v>0</v>
      </c>
      <c r="CU108" s="497" t="str">
        <f t="shared" si="106"/>
        <v>00</v>
      </c>
    </row>
    <row r="109" spans="1:99" ht="15" hidden="1" customHeight="1">
      <c r="A109" s="951">
        <v>106</v>
      </c>
      <c r="B109" s="1016"/>
      <c r="C109" s="922"/>
      <c r="D109" s="923"/>
      <c r="E109" s="913"/>
      <c r="F109" s="914"/>
      <c r="G109" s="1051"/>
      <c r="H109" s="921"/>
      <c r="I109" s="917"/>
      <c r="J109" s="916"/>
      <c r="K109" s="1012"/>
      <c r="L109" s="1012"/>
      <c r="M109" s="1017"/>
      <c r="N109" s="947"/>
      <c r="O109" s="406" t="str">
        <f t="shared" si="107"/>
        <v/>
      </c>
      <c r="P109" s="407" t="str">
        <f>IF(O109="","",VLOOKUP(O109,所属コード!$A$2:$E$11,2,FALSE))</f>
        <v/>
      </c>
      <c r="Q109" s="1033" t="str">
        <f>IF(O109="","",VLOOKUP(O109,所属コード!$A$2:$G$11,7,FALSE))</f>
        <v/>
      </c>
      <c r="R109" s="1035"/>
      <c r="S109" s="77"/>
      <c r="T109" s="77"/>
      <c r="U109" s="77"/>
      <c r="V109" s="15"/>
      <c r="X109" s="488"/>
      <c r="Y109" s="945" t="str">
        <f t="shared" si="63"/>
        <v/>
      </c>
      <c r="Z109" s="489" t="str">
        <f t="shared" si="64"/>
        <v/>
      </c>
      <c r="AA109" s="488"/>
      <c r="AB109" s="488"/>
      <c r="AC109" s="488"/>
      <c r="AD109" s="488"/>
      <c r="AE109" s="488"/>
      <c r="AF109" s="488"/>
      <c r="AG109" s="491"/>
      <c r="AH109" s="591"/>
      <c r="AI109" s="592"/>
      <c r="AJ109" s="592"/>
      <c r="AK109" s="592"/>
      <c r="AL109" s="592"/>
      <c r="AM109" s="592"/>
      <c r="AN109" s="592"/>
      <c r="AO109" s="592"/>
      <c r="AP109" s="592"/>
      <c r="AQ109" s="592"/>
      <c r="AR109" s="592"/>
      <c r="AS109" s="592"/>
      <c r="AT109" s="592"/>
      <c r="AU109" s="592"/>
      <c r="AV109" s="592"/>
      <c r="AW109" s="604"/>
      <c r="AX109" s="609">
        <f t="shared" si="65"/>
        <v>0</v>
      </c>
      <c r="AY109" s="602">
        <f t="shared" si="109"/>
        <v>0</v>
      </c>
      <c r="AZ109" s="593">
        <f t="shared" si="110"/>
        <v>0</v>
      </c>
      <c r="BA109" s="594">
        <f t="shared" si="111"/>
        <v>0</v>
      </c>
      <c r="BB109" s="593">
        <f t="shared" si="112"/>
        <v>0</v>
      </c>
      <c r="BC109" s="593">
        <f t="shared" si="66"/>
        <v>0</v>
      </c>
      <c r="BD109" s="593">
        <f t="shared" si="67"/>
        <v>0</v>
      </c>
      <c r="BE109" s="593">
        <f t="shared" si="68"/>
        <v>0</v>
      </c>
      <c r="BF109" s="593">
        <f t="shared" si="69"/>
        <v>0</v>
      </c>
      <c r="BG109" s="593">
        <f t="shared" si="70"/>
        <v>0</v>
      </c>
      <c r="BH109" s="593">
        <f t="shared" si="71"/>
        <v>0</v>
      </c>
      <c r="BI109" s="593">
        <f t="shared" si="72"/>
        <v>0</v>
      </c>
      <c r="BJ109" s="593">
        <f t="shared" si="73"/>
        <v>0</v>
      </c>
      <c r="BK109" s="593">
        <f t="shared" si="74"/>
        <v>0</v>
      </c>
      <c r="BL109" s="593">
        <f t="shared" si="75"/>
        <v>0</v>
      </c>
      <c r="BM109" s="593">
        <f t="shared" si="76"/>
        <v>0</v>
      </c>
      <c r="BN109" s="593">
        <f t="shared" si="77"/>
        <v>0</v>
      </c>
      <c r="BO109" s="593">
        <f t="shared" si="78"/>
        <v>0</v>
      </c>
      <c r="BP109" s="593">
        <f t="shared" si="79"/>
        <v>0</v>
      </c>
      <c r="BQ109" s="593">
        <f t="shared" si="80"/>
        <v>0</v>
      </c>
      <c r="BR109" s="593">
        <f t="shared" si="81"/>
        <v>0</v>
      </c>
      <c r="BS109" s="593">
        <f t="shared" si="82"/>
        <v>0</v>
      </c>
      <c r="BT109" s="593">
        <f t="shared" si="83"/>
        <v>0</v>
      </c>
      <c r="BU109" s="593">
        <f t="shared" si="84"/>
        <v>0</v>
      </c>
      <c r="BV109" s="593">
        <f t="shared" si="85"/>
        <v>0</v>
      </c>
      <c r="BW109" s="593">
        <f t="shared" si="86"/>
        <v>0</v>
      </c>
      <c r="BX109" s="593">
        <f t="shared" si="87"/>
        <v>0</v>
      </c>
      <c r="BY109" s="593">
        <f t="shared" si="88"/>
        <v>0</v>
      </c>
      <c r="BZ109" s="593">
        <f t="shared" si="89"/>
        <v>0</v>
      </c>
      <c r="CA109" s="593">
        <f t="shared" si="90"/>
        <v>0</v>
      </c>
      <c r="CB109" s="593">
        <f t="shared" si="91"/>
        <v>0</v>
      </c>
      <c r="CC109" s="593">
        <f t="shared" si="92"/>
        <v>0</v>
      </c>
      <c r="CD109" s="593">
        <f t="shared" si="93"/>
        <v>0</v>
      </c>
      <c r="CE109" s="593">
        <f t="shared" si="94"/>
        <v>0</v>
      </c>
      <c r="CF109" s="595">
        <f t="shared" si="95"/>
        <v>0</v>
      </c>
      <c r="CG109" s="555" t="str">
        <f t="shared" si="96"/>
        <v/>
      </c>
      <c r="CH109" s="530" t="str">
        <f t="shared" si="97"/>
        <v/>
      </c>
      <c r="CI109" s="530" t="str">
        <f t="shared" si="98"/>
        <v/>
      </c>
      <c r="CJ109" s="530" t="str">
        <f t="shared" si="99"/>
        <v/>
      </c>
      <c r="CK109" s="530" t="str">
        <f t="shared" si="100"/>
        <v/>
      </c>
      <c r="CL109" s="530" t="str">
        <f t="shared" si="101"/>
        <v/>
      </c>
      <c r="CM109" s="82" t="str">
        <f t="shared" si="102"/>
        <v/>
      </c>
      <c r="CN109" s="496" t="str">
        <f t="shared" si="113"/>
        <v/>
      </c>
      <c r="CO109" s="496" t="str">
        <f t="shared" si="108"/>
        <v>0</v>
      </c>
      <c r="CP109" s="491">
        <f t="shared" si="103"/>
        <v>0</v>
      </c>
      <c r="CS109" s="496">
        <f t="shared" si="104"/>
        <v>0</v>
      </c>
      <c r="CT109" s="496">
        <f t="shared" si="105"/>
        <v>0</v>
      </c>
      <c r="CU109" s="497" t="str">
        <f t="shared" si="106"/>
        <v>00</v>
      </c>
    </row>
    <row r="110" spans="1:99" ht="15" hidden="1" customHeight="1">
      <c r="A110" s="951">
        <v>107</v>
      </c>
      <c r="B110" s="1016"/>
      <c r="C110" s="922"/>
      <c r="D110" s="923"/>
      <c r="E110" s="913"/>
      <c r="F110" s="914"/>
      <c r="G110" s="1051"/>
      <c r="H110" s="921"/>
      <c r="I110" s="917"/>
      <c r="J110" s="916"/>
      <c r="K110" s="1012"/>
      <c r="L110" s="1012"/>
      <c r="M110" s="1017"/>
      <c r="N110" s="947"/>
      <c r="O110" s="406" t="str">
        <f t="shared" si="107"/>
        <v/>
      </c>
      <c r="P110" s="407" t="str">
        <f>IF(O110="","",VLOOKUP(O110,所属コード!$A$2:$E$11,2,FALSE))</f>
        <v/>
      </c>
      <c r="Q110" s="1033" t="str">
        <f>IF(O110="","",VLOOKUP(O110,所属コード!$A$2:$G$11,7,FALSE))</f>
        <v/>
      </c>
      <c r="R110" s="1035"/>
      <c r="S110" s="77"/>
      <c r="T110" s="77"/>
      <c r="U110" s="77"/>
      <c r="V110" s="15"/>
      <c r="X110" s="488"/>
      <c r="Y110" s="945" t="str">
        <f t="shared" si="63"/>
        <v/>
      </c>
      <c r="Z110" s="489" t="str">
        <f t="shared" si="64"/>
        <v/>
      </c>
      <c r="AA110" s="488"/>
      <c r="AB110" s="488"/>
      <c r="AC110" s="488"/>
      <c r="AD110" s="488"/>
      <c r="AE110" s="488"/>
      <c r="AF110" s="488"/>
      <c r="AG110" s="491"/>
      <c r="AH110" s="591"/>
      <c r="AI110" s="592"/>
      <c r="AJ110" s="592"/>
      <c r="AK110" s="592"/>
      <c r="AL110" s="592"/>
      <c r="AM110" s="592"/>
      <c r="AN110" s="592"/>
      <c r="AO110" s="592"/>
      <c r="AP110" s="592"/>
      <c r="AQ110" s="592"/>
      <c r="AR110" s="592"/>
      <c r="AS110" s="592"/>
      <c r="AT110" s="592"/>
      <c r="AU110" s="592"/>
      <c r="AV110" s="592"/>
      <c r="AW110" s="604"/>
      <c r="AX110" s="609">
        <f t="shared" si="65"/>
        <v>0</v>
      </c>
      <c r="AY110" s="602">
        <f t="shared" si="109"/>
        <v>0</v>
      </c>
      <c r="AZ110" s="593">
        <f t="shared" si="110"/>
        <v>0</v>
      </c>
      <c r="BA110" s="594">
        <f t="shared" si="111"/>
        <v>0</v>
      </c>
      <c r="BB110" s="593">
        <f t="shared" si="112"/>
        <v>0</v>
      </c>
      <c r="BC110" s="593">
        <f t="shared" si="66"/>
        <v>0</v>
      </c>
      <c r="BD110" s="593">
        <f t="shared" si="67"/>
        <v>0</v>
      </c>
      <c r="BE110" s="593">
        <f t="shared" si="68"/>
        <v>0</v>
      </c>
      <c r="BF110" s="593">
        <f t="shared" si="69"/>
        <v>0</v>
      </c>
      <c r="BG110" s="593">
        <f t="shared" si="70"/>
        <v>0</v>
      </c>
      <c r="BH110" s="593">
        <f t="shared" si="71"/>
        <v>0</v>
      </c>
      <c r="BI110" s="593">
        <f t="shared" si="72"/>
        <v>0</v>
      </c>
      <c r="BJ110" s="593">
        <f t="shared" si="73"/>
        <v>0</v>
      </c>
      <c r="BK110" s="593">
        <f t="shared" si="74"/>
        <v>0</v>
      </c>
      <c r="BL110" s="593">
        <f t="shared" si="75"/>
        <v>0</v>
      </c>
      <c r="BM110" s="593">
        <f t="shared" si="76"/>
        <v>0</v>
      </c>
      <c r="BN110" s="593">
        <f t="shared" si="77"/>
        <v>0</v>
      </c>
      <c r="BO110" s="593">
        <f t="shared" si="78"/>
        <v>0</v>
      </c>
      <c r="BP110" s="593">
        <f t="shared" si="79"/>
        <v>0</v>
      </c>
      <c r="BQ110" s="593">
        <f t="shared" si="80"/>
        <v>0</v>
      </c>
      <c r="BR110" s="593">
        <f t="shared" si="81"/>
        <v>0</v>
      </c>
      <c r="BS110" s="593">
        <f t="shared" si="82"/>
        <v>0</v>
      </c>
      <c r="BT110" s="593">
        <f t="shared" si="83"/>
        <v>0</v>
      </c>
      <c r="BU110" s="593">
        <f t="shared" si="84"/>
        <v>0</v>
      </c>
      <c r="BV110" s="593">
        <f t="shared" si="85"/>
        <v>0</v>
      </c>
      <c r="BW110" s="593">
        <f t="shared" si="86"/>
        <v>0</v>
      </c>
      <c r="BX110" s="593">
        <f t="shared" si="87"/>
        <v>0</v>
      </c>
      <c r="BY110" s="593">
        <f t="shared" si="88"/>
        <v>0</v>
      </c>
      <c r="BZ110" s="593">
        <f t="shared" si="89"/>
        <v>0</v>
      </c>
      <c r="CA110" s="593">
        <f t="shared" si="90"/>
        <v>0</v>
      </c>
      <c r="CB110" s="593">
        <f t="shared" si="91"/>
        <v>0</v>
      </c>
      <c r="CC110" s="593">
        <f t="shared" si="92"/>
        <v>0</v>
      </c>
      <c r="CD110" s="593">
        <f t="shared" si="93"/>
        <v>0</v>
      </c>
      <c r="CE110" s="593">
        <f t="shared" si="94"/>
        <v>0</v>
      </c>
      <c r="CF110" s="595">
        <f t="shared" si="95"/>
        <v>0</v>
      </c>
      <c r="CG110" s="555" t="str">
        <f t="shared" si="96"/>
        <v/>
      </c>
      <c r="CH110" s="530" t="str">
        <f t="shared" si="97"/>
        <v/>
      </c>
      <c r="CI110" s="530" t="str">
        <f t="shared" si="98"/>
        <v/>
      </c>
      <c r="CJ110" s="530" t="str">
        <f t="shared" si="99"/>
        <v/>
      </c>
      <c r="CK110" s="530" t="str">
        <f t="shared" si="100"/>
        <v/>
      </c>
      <c r="CL110" s="530" t="str">
        <f t="shared" si="101"/>
        <v/>
      </c>
      <c r="CM110" s="82" t="str">
        <f t="shared" si="102"/>
        <v/>
      </c>
      <c r="CN110" s="496" t="str">
        <f t="shared" si="113"/>
        <v/>
      </c>
      <c r="CO110" s="496" t="str">
        <f t="shared" si="108"/>
        <v>0</v>
      </c>
      <c r="CP110" s="491">
        <f t="shared" si="103"/>
        <v>0</v>
      </c>
      <c r="CS110" s="496">
        <f t="shared" si="104"/>
        <v>0</v>
      </c>
      <c r="CT110" s="496">
        <f t="shared" si="105"/>
        <v>0</v>
      </c>
      <c r="CU110" s="497" t="str">
        <f t="shared" si="106"/>
        <v>00</v>
      </c>
    </row>
    <row r="111" spans="1:99" ht="15" hidden="1" customHeight="1">
      <c r="A111" s="951">
        <v>108</v>
      </c>
      <c r="B111" s="1016"/>
      <c r="C111" s="922"/>
      <c r="D111" s="923"/>
      <c r="E111" s="913"/>
      <c r="F111" s="914"/>
      <c r="G111" s="1051"/>
      <c r="H111" s="921"/>
      <c r="I111" s="917"/>
      <c r="J111" s="916"/>
      <c r="K111" s="1012"/>
      <c r="L111" s="1012"/>
      <c r="M111" s="1017"/>
      <c r="N111" s="947"/>
      <c r="O111" s="406" t="str">
        <f t="shared" si="107"/>
        <v/>
      </c>
      <c r="P111" s="407" t="str">
        <f>IF(O111="","",VLOOKUP(O111,所属コード!$A$2:$E$11,2,FALSE))</f>
        <v/>
      </c>
      <c r="Q111" s="1033" t="str">
        <f>IF(O111="","",VLOOKUP(O111,所属コード!$A$2:$G$11,7,FALSE))</f>
        <v/>
      </c>
      <c r="R111" s="1035"/>
      <c r="S111" s="77"/>
      <c r="T111" s="77"/>
      <c r="U111" s="77"/>
      <c r="V111" s="15"/>
      <c r="X111" s="488"/>
      <c r="Y111" s="945" t="str">
        <f t="shared" si="63"/>
        <v/>
      </c>
      <c r="Z111" s="489" t="str">
        <f t="shared" si="64"/>
        <v/>
      </c>
      <c r="AA111" s="488"/>
      <c r="AB111" s="488"/>
      <c r="AC111" s="488"/>
      <c r="AD111" s="488"/>
      <c r="AE111" s="488"/>
      <c r="AF111" s="488"/>
      <c r="AG111" s="491"/>
      <c r="AH111" s="591"/>
      <c r="AI111" s="592"/>
      <c r="AJ111" s="592"/>
      <c r="AK111" s="592"/>
      <c r="AL111" s="592"/>
      <c r="AM111" s="592"/>
      <c r="AN111" s="592"/>
      <c r="AO111" s="592"/>
      <c r="AP111" s="592"/>
      <c r="AQ111" s="592"/>
      <c r="AR111" s="592"/>
      <c r="AS111" s="592"/>
      <c r="AT111" s="592"/>
      <c r="AU111" s="592"/>
      <c r="AV111" s="592"/>
      <c r="AW111" s="604"/>
      <c r="AX111" s="609">
        <f t="shared" si="65"/>
        <v>0</v>
      </c>
      <c r="AY111" s="602">
        <f t="shared" si="109"/>
        <v>0</v>
      </c>
      <c r="AZ111" s="593">
        <f t="shared" si="110"/>
        <v>0</v>
      </c>
      <c r="BA111" s="594">
        <f t="shared" si="111"/>
        <v>0</v>
      </c>
      <c r="BB111" s="593">
        <f t="shared" si="112"/>
        <v>0</v>
      </c>
      <c r="BC111" s="593">
        <f t="shared" si="66"/>
        <v>0</v>
      </c>
      <c r="BD111" s="593">
        <f t="shared" si="67"/>
        <v>0</v>
      </c>
      <c r="BE111" s="593">
        <f t="shared" si="68"/>
        <v>0</v>
      </c>
      <c r="BF111" s="593">
        <f t="shared" si="69"/>
        <v>0</v>
      </c>
      <c r="BG111" s="593">
        <f t="shared" si="70"/>
        <v>0</v>
      </c>
      <c r="BH111" s="593">
        <f t="shared" si="71"/>
        <v>0</v>
      </c>
      <c r="BI111" s="593">
        <f t="shared" si="72"/>
        <v>0</v>
      </c>
      <c r="BJ111" s="593">
        <f t="shared" si="73"/>
        <v>0</v>
      </c>
      <c r="BK111" s="593">
        <f t="shared" si="74"/>
        <v>0</v>
      </c>
      <c r="BL111" s="593">
        <f t="shared" si="75"/>
        <v>0</v>
      </c>
      <c r="BM111" s="593">
        <f t="shared" si="76"/>
        <v>0</v>
      </c>
      <c r="BN111" s="593">
        <f t="shared" si="77"/>
        <v>0</v>
      </c>
      <c r="BO111" s="593">
        <f t="shared" si="78"/>
        <v>0</v>
      </c>
      <c r="BP111" s="593">
        <f t="shared" si="79"/>
        <v>0</v>
      </c>
      <c r="BQ111" s="593">
        <f t="shared" si="80"/>
        <v>0</v>
      </c>
      <c r="BR111" s="593">
        <f t="shared" si="81"/>
        <v>0</v>
      </c>
      <c r="BS111" s="593">
        <f t="shared" si="82"/>
        <v>0</v>
      </c>
      <c r="BT111" s="593">
        <f t="shared" si="83"/>
        <v>0</v>
      </c>
      <c r="BU111" s="593">
        <f t="shared" si="84"/>
        <v>0</v>
      </c>
      <c r="BV111" s="593">
        <f t="shared" si="85"/>
        <v>0</v>
      </c>
      <c r="BW111" s="593">
        <f t="shared" si="86"/>
        <v>0</v>
      </c>
      <c r="BX111" s="593">
        <f t="shared" si="87"/>
        <v>0</v>
      </c>
      <c r="BY111" s="593">
        <f t="shared" si="88"/>
        <v>0</v>
      </c>
      <c r="BZ111" s="593">
        <f t="shared" si="89"/>
        <v>0</v>
      </c>
      <c r="CA111" s="593">
        <f t="shared" si="90"/>
        <v>0</v>
      </c>
      <c r="CB111" s="593">
        <f t="shared" si="91"/>
        <v>0</v>
      </c>
      <c r="CC111" s="593">
        <f t="shared" si="92"/>
        <v>0</v>
      </c>
      <c r="CD111" s="593">
        <f t="shared" si="93"/>
        <v>0</v>
      </c>
      <c r="CE111" s="593">
        <f t="shared" si="94"/>
        <v>0</v>
      </c>
      <c r="CF111" s="595">
        <f t="shared" si="95"/>
        <v>0</v>
      </c>
      <c r="CG111" s="555" t="str">
        <f t="shared" si="96"/>
        <v/>
      </c>
      <c r="CH111" s="530" t="str">
        <f t="shared" si="97"/>
        <v/>
      </c>
      <c r="CI111" s="530" t="str">
        <f t="shared" si="98"/>
        <v/>
      </c>
      <c r="CJ111" s="530" t="str">
        <f t="shared" si="99"/>
        <v/>
      </c>
      <c r="CK111" s="530" t="str">
        <f t="shared" si="100"/>
        <v/>
      </c>
      <c r="CL111" s="530" t="str">
        <f t="shared" si="101"/>
        <v/>
      </c>
      <c r="CM111" s="82" t="str">
        <f t="shared" si="102"/>
        <v/>
      </c>
      <c r="CN111" s="496" t="str">
        <f t="shared" si="113"/>
        <v/>
      </c>
      <c r="CO111" s="496" t="str">
        <f t="shared" si="108"/>
        <v>0</v>
      </c>
      <c r="CP111" s="491">
        <f t="shared" si="103"/>
        <v>0</v>
      </c>
      <c r="CS111" s="496">
        <f t="shared" si="104"/>
        <v>0</v>
      </c>
      <c r="CT111" s="496">
        <f t="shared" si="105"/>
        <v>0</v>
      </c>
      <c r="CU111" s="497" t="str">
        <f t="shared" si="106"/>
        <v>00</v>
      </c>
    </row>
    <row r="112" spans="1:99" ht="15" hidden="1" customHeight="1">
      <c r="A112" s="951">
        <v>109</v>
      </c>
      <c r="B112" s="1016"/>
      <c r="C112" s="922"/>
      <c r="D112" s="923"/>
      <c r="E112" s="913"/>
      <c r="F112" s="914"/>
      <c r="G112" s="1051"/>
      <c r="H112" s="921"/>
      <c r="I112" s="917"/>
      <c r="J112" s="916"/>
      <c r="K112" s="1012"/>
      <c r="L112" s="1012"/>
      <c r="M112" s="1017"/>
      <c r="N112" s="947"/>
      <c r="O112" s="406" t="str">
        <f t="shared" si="107"/>
        <v/>
      </c>
      <c r="P112" s="407" t="str">
        <f>IF(O112="","",VLOOKUP(O112,所属コード!$A$2:$E$11,2,FALSE))</f>
        <v/>
      </c>
      <c r="Q112" s="1033" t="str">
        <f>IF(O112="","",VLOOKUP(O112,所属コード!$A$2:$G$11,7,FALSE))</f>
        <v/>
      </c>
      <c r="R112" s="1035"/>
      <c r="S112" s="77"/>
      <c r="T112" s="77"/>
      <c r="U112" s="77"/>
      <c r="V112" s="15"/>
      <c r="X112" s="488"/>
      <c r="Y112" s="945" t="str">
        <f t="shared" si="63"/>
        <v/>
      </c>
      <c r="Z112" s="489" t="str">
        <f t="shared" si="64"/>
        <v/>
      </c>
      <c r="AA112" s="488"/>
      <c r="AB112" s="488"/>
      <c r="AC112" s="488"/>
      <c r="AD112" s="488"/>
      <c r="AE112" s="488"/>
      <c r="AF112" s="488"/>
      <c r="AG112" s="491"/>
      <c r="AH112" s="591"/>
      <c r="AI112" s="592"/>
      <c r="AJ112" s="592"/>
      <c r="AK112" s="592"/>
      <c r="AL112" s="592"/>
      <c r="AM112" s="592"/>
      <c r="AN112" s="592"/>
      <c r="AO112" s="592"/>
      <c r="AP112" s="592"/>
      <c r="AQ112" s="592"/>
      <c r="AR112" s="592"/>
      <c r="AS112" s="592"/>
      <c r="AT112" s="592"/>
      <c r="AU112" s="592"/>
      <c r="AV112" s="592"/>
      <c r="AW112" s="604"/>
      <c r="AX112" s="609">
        <f t="shared" si="65"/>
        <v>0</v>
      </c>
      <c r="AY112" s="602">
        <f t="shared" si="109"/>
        <v>0</v>
      </c>
      <c r="AZ112" s="593">
        <f t="shared" si="110"/>
        <v>0</v>
      </c>
      <c r="BA112" s="594">
        <f t="shared" si="111"/>
        <v>0</v>
      </c>
      <c r="BB112" s="593">
        <f t="shared" si="112"/>
        <v>0</v>
      </c>
      <c r="BC112" s="593">
        <f t="shared" si="66"/>
        <v>0</v>
      </c>
      <c r="BD112" s="593">
        <f t="shared" si="67"/>
        <v>0</v>
      </c>
      <c r="BE112" s="593">
        <f t="shared" si="68"/>
        <v>0</v>
      </c>
      <c r="BF112" s="593">
        <f t="shared" si="69"/>
        <v>0</v>
      </c>
      <c r="BG112" s="593">
        <f t="shared" si="70"/>
        <v>0</v>
      </c>
      <c r="BH112" s="593">
        <f t="shared" si="71"/>
        <v>0</v>
      </c>
      <c r="BI112" s="593">
        <f t="shared" si="72"/>
        <v>0</v>
      </c>
      <c r="BJ112" s="593">
        <f t="shared" si="73"/>
        <v>0</v>
      </c>
      <c r="BK112" s="593">
        <f t="shared" si="74"/>
        <v>0</v>
      </c>
      <c r="BL112" s="593">
        <f t="shared" si="75"/>
        <v>0</v>
      </c>
      <c r="BM112" s="593">
        <f t="shared" si="76"/>
        <v>0</v>
      </c>
      <c r="BN112" s="593">
        <f t="shared" si="77"/>
        <v>0</v>
      </c>
      <c r="BO112" s="593">
        <f t="shared" si="78"/>
        <v>0</v>
      </c>
      <c r="BP112" s="593">
        <f t="shared" si="79"/>
        <v>0</v>
      </c>
      <c r="BQ112" s="593">
        <f t="shared" si="80"/>
        <v>0</v>
      </c>
      <c r="BR112" s="593">
        <f t="shared" si="81"/>
        <v>0</v>
      </c>
      <c r="BS112" s="593">
        <f t="shared" si="82"/>
        <v>0</v>
      </c>
      <c r="BT112" s="593">
        <f t="shared" si="83"/>
        <v>0</v>
      </c>
      <c r="BU112" s="593">
        <f t="shared" si="84"/>
        <v>0</v>
      </c>
      <c r="BV112" s="593">
        <f t="shared" si="85"/>
        <v>0</v>
      </c>
      <c r="BW112" s="593">
        <f t="shared" si="86"/>
        <v>0</v>
      </c>
      <c r="BX112" s="593">
        <f t="shared" si="87"/>
        <v>0</v>
      </c>
      <c r="BY112" s="593">
        <f t="shared" si="88"/>
        <v>0</v>
      </c>
      <c r="BZ112" s="593">
        <f t="shared" si="89"/>
        <v>0</v>
      </c>
      <c r="CA112" s="593">
        <f t="shared" si="90"/>
        <v>0</v>
      </c>
      <c r="CB112" s="593">
        <f t="shared" si="91"/>
        <v>0</v>
      </c>
      <c r="CC112" s="593">
        <f t="shared" si="92"/>
        <v>0</v>
      </c>
      <c r="CD112" s="593">
        <f t="shared" si="93"/>
        <v>0</v>
      </c>
      <c r="CE112" s="593">
        <f t="shared" si="94"/>
        <v>0</v>
      </c>
      <c r="CF112" s="595">
        <f t="shared" si="95"/>
        <v>0</v>
      </c>
      <c r="CG112" s="555" t="str">
        <f t="shared" si="96"/>
        <v/>
      </c>
      <c r="CH112" s="530" t="str">
        <f t="shared" si="97"/>
        <v/>
      </c>
      <c r="CI112" s="530" t="str">
        <f t="shared" si="98"/>
        <v/>
      </c>
      <c r="CJ112" s="530" t="str">
        <f t="shared" si="99"/>
        <v/>
      </c>
      <c r="CK112" s="530" t="str">
        <f t="shared" si="100"/>
        <v/>
      </c>
      <c r="CL112" s="530" t="str">
        <f t="shared" si="101"/>
        <v/>
      </c>
      <c r="CM112" s="82" t="str">
        <f t="shared" si="102"/>
        <v/>
      </c>
      <c r="CN112" s="496" t="str">
        <f t="shared" si="113"/>
        <v/>
      </c>
      <c r="CO112" s="496" t="str">
        <f t="shared" si="108"/>
        <v>0</v>
      </c>
      <c r="CP112" s="491">
        <f t="shared" si="103"/>
        <v>0</v>
      </c>
      <c r="CS112" s="496">
        <f t="shared" si="104"/>
        <v>0</v>
      </c>
      <c r="CT112" s="496">
        <f t="shared" si="105"/>
        <v>0</v>
      </c>
      <c r="CU112" s="497" t="str">
        <f t="shared" si="106"/>
        <v>00</v>
      </c>
    </row>
    <row r="113" spans="1:99" ht="15" hidden="1" customHeight="1" thickBot="1">
      <c r="A113" s="952">
        <v>110</v>
      </c>
      <c r="B113" s="1018"/>
      <c r="C113" s="1019"/>
      <c r="D113" s="1020"/>
      <c r="E113" s="1021"/>
      <c r="F113" s="1022"/>
      <c r="G113" s="1052"/>
      <c r="H113" s="1023"/>
      <c r="I113" s="1024"/>
      <c r="J113" s="1025"/>
      <c r="K113" s="1014"/>
      <c r="L113" s="1014"/>
      <c r="M113" s="1026"/>
      <c r="N113" s="948"/>
      <c r="O113" s="408" t="str">
        <f t="shared" si="107"/>
        <v/>
      </c>
      <c r="P113" s="409" t="str">
        <f>IF(O113="","",VLOOKUP(O113,所属コード!$A$2:$E$11,2,FALSE))</f>
        <v/>
      </c>
      <c r="Q113" s="1034" t="str">
        <f>IF(O113="","",VLOOKUP(O113,所属コード!$A$2:$G$11,7,FALSE))</f>
        <v/>
      </c>
      <c r="R113" s="1035"/>
      <c r="S113" s="77"/>
      <c r="T113" s="77"/>
      <c r="U113" s="77"/>
      <c r="V113" s="15"/>
      <c r="X113" s="488"/>
      <c r="Y113" s="945" t="str">
        <f t="shared" si="63"/>
        <v/>
      </c>
      <c r="Z113" s="489" t="str">
        <f t="shared" si="64"/>
        <v/>
      </c>
      <c r="AA113" s="488"/>
      <c r="AB113" s="488"/>
      <c r="AC113" s="488"/>
      <c r="AD113" s="488"/>
      <c r="AE113" s="488"/>
      <c r="AF113" s="488"/>
      <c r="AG113" s="491"/>
      <c r="AH113" s="596"/>
      <c r="AI113" s="597"/>
      <c r="AJ113" s="597"/>
      <c r="AK113" s="597"/>
      <c r="AL113" s="597"/>
      <c r="AM113" s="597"/>
      <c r="AN113" s="597"/>
      <c r="AO113" s="597"/>
      <c r="AP113" s="597"/>
      <c r="AQ113" s="597"/>
      <c r="AR113" s="597"/>
      <c r="AS113" s="597"/>
      <c r="AT113" s="597"/>
      <c r="AU113" s="597"/>
      <c r="AV113" s="597"/>
      <c r="AW113" s="605"/>
      <c r="AX113" s="610">
        <f t="shared" si="65"/>
        <v>0</v>
      </c>
      <c r="AY113" s="603">
        <f t="shared" si="109"/>
        <v>0</v>
      </c>
      <c r="AZ113" s="598">
        <f t="shared" si="110"/>
        <v>0</v>
      </c>
      <c r="BA113" s="599">
        <f t="shared" si="111"/>
        <v>0</v>
      </c>
      <c r="BB113" s="598">
        <f t="shared" si="112"/>
        <v>0</v>
      </c>
      <c r="BC113" s="598">
        <f t="shared" si="66"/>
        <v>0</v>
      </c>
      <c r="BD113" s="598">
        <f t="shared" si="67"/>
        <v>0</v>
      </c>
      <c r="BE113" s="598">
        <f t="shared" si="68"/>
        <v>0</v>
      </c>
      <c r="BF113" s="598">
        <f t="shared" si="69"/>
        <v>0</v>
      </c>
      <c r="BG113" s="598">
        <f t="shared" si="70"/>
        <v>0</v>
      </c>
      <c r="BH113" s="598">
        <f t="shared" si="71"/>
        <v>0</v>
      </c>
      <c r="BI113" s="598">
        <f t="shared" si="72"/>
        <v>0</v>
      </c>
      <c r="BJ113" s="598">
        <f t="shared" si="73"/>
        <v>0</v>
      </c>
      <c r="BK113" s="598">
        <f t="shared" si="74"/>
        <v>0</v>
      </c>
      <c r="BL113" s="598">
        <f t="shared" si="75"/>
        <v>0</v>
      </c>
      <c r="BM113" s="598">
        <f t="shared" si="76"/>
        <v>0</v>
      </c>
      <c r="BN113" s="598">
        <f t="shared" si="77"/>
        <v>0</v>
      </c>
      <c r="BO113" s="598">
        <f t="shared" si="78"/>
        <v>0</v>
      </c>
      <c r="BP113" s="598">
        <f t="shared" si="79"/>
        <v>0</v>
      </c>
      <c r="BQ113" s="598">
        <f t="shared" si="80"/>
        <v>0</v>
      </c>
      <c r="BR113" s="598">
        <f t="shared" si="81"/>
        <v>0</v>
      </c>
      <c r="BS113" s="598">
        <f t="shared" si="82"/>
        <v>0</v>
      </c>
      <c r="BT113" s="598">
        <f t="shared" si="83"/>
        <v>0</v>
      </c>
      <c r="BU113" s="598">
        <f t="shared" si="84"/>
        <v>0</v>
      </c>
      <c r="BV113" s="598">
        <f t="shared" si="85"/>
        <v>0</v>
      </c>
      <c r="BW113" s="598">
        <f t="shared" si="86"/>
        <v>0</v>
      </c>
      <c r="BX113" s="598">
        <f t="shared" si="87"/>
        <v>0</v>
      </c>
      <c r="BY113" s="598">
        <f t="shared" si="88"/>
        <v>0</v>
      </c>
      <c r="BZ113" s="598">
        <f t="shared" si="89"/>
        <v>0</v>
      </c>
      <c r="CA113" s="598">
        <f t="shared" si="90"/>
        <v>0</v>
      </c>
      <c r="CB113" s="598">
        <f t="shared" si="91"/>
        <v>0</v>
      </c>
      <c r="CC113" s="598">
        <f t="shared" si="92"/>
        <v>0</v>
      </c>
      <c r="CD113" s="598">
        <f t="shared" si="93"/>
        <v>0</v>
      </c>
      <c r="CE113" s="598">
        <f t="shared" si="94"/>
        <v>0</v>
      </c>
      <c r="CF113" s="600">
        <f t="shared" si="95"/>
        <v>0</v>
      </c>
      <c r="CG113" s="555" t="str">
        <f t="shared" si="96"/>
        <v/>
      </c>
      <c r="CH113" s="530" t="str">
        <f t="shared" si="97"/>
        <v/>
      </c>
      <c r="CI113" s="530" t="str">
        <f t="shared" si="98"/>
        <v/>
      </c>
      <c r="CJ113" s="530" t="str">
        <f t="shared" si="99"/>
        <v/>
      </c>
      <c r="CK113" s="530" t="str">
        <f t="shared" si="100"/>
        <v/>
      </c>
      <c r="CL113" s="530" t="str">
        <f t="shared" si="101"/>
        <v/>
      </c>
      <c r="CM113" s="82" t="str">
        <f t="shared" si="102"/>
        <v/>
      </c>
      <c r="CN113" s="496" t="str">
        <f t="shared" si="113"/>
        <v/>
      </c>
      <c r="CO113" s="496" t="str">
        <f t="shared" si="108"/>
        <v>0</v>
      </c>
      <c r="CP113" s="491">
        <f t="shared" si="103"/>
        <v>0</v>
      </c>
      <c r="CS113" s="496">
        <f t="shared" si="104"/>
        <v>0</v>
      </c>
      <c r="CT113" s="496">
        <f t="shared" si="105"/>
        <v>0</v>
      </c>
      <c r="CU113" s="497" t="str">
        <f t="shared" si="106"/>
        <v>00</v>
      </c>
    </row>
    <row r="114" spans="1:99" ht="15" customHeight="1">
      <c r="V114" s="498"/>
      <c r="X114" s="486"/>
      <c r="Y114" s="486"/>
      <c r="Z114" s="499"/>
      <c r="AA114" s="486"/>
      <c r="AB114" s="486"/>
      <c r="AC114" s="486"/>
      <c r="AD114" s="486"/>
      <c r="AE114" s="486"/>
      <c r="AF114" s="486"/>
      <c r="AG114" s="486"/>
      <c r="AH114" s="486"/>
      <c r="AI114" s="486"/>
      <c r="AJ114" s="486"/>
      <c r="AK114" s="486"/>
      <c r="AL114" s="486"/>
      <c r="AM114" s="486"/>
      <c r="AN114" s="486"/>
      <c r="AO114" s="486"/>
      <c r="AP114" s="486"/>
      <c r="AQ114" s="486"/>
      <c r="AR114" s="486"/>
      <c r="AS114" s="486"/>
      <c r="AT114" s="486"/>
      <c r="AU114" s="486"/>
      <c r="AV114" s="486"/>
      <c r="AW114" s="486"/>
      <c r="AX114" s="486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  <c r="CF114" s="550"/>
      <c r="CG114" s="486"/>
      <c r="CH114" s="530" t="str">
        <f>IF(AJ114="","",LEN(AJ114))</f>
        <v/>
      </c>
      <c r="CI114" s="530" t="str">
        <f>IF(AJ114="","",FIND("　",AJ114,1))</f>
        <v/>
      </c>
      <c r="CJ114" s="530" t="str">
        <f>IF(AJ114="","",CH114-CI114)</f>
        <v/>
      </c>
      <c r="CK114" s="530" t="str">
        <f>IF(AJ114="","",LEFT(AJ114,CI114-1))</f>
        <v/>
      </c>
      <c r="CL114" s="530" t="str">
        <f>IF(AJ114="","",RIGHT(AJ114,CJ114))</f>
        <v/>
      </c>
      <c r="CM114" s="82" t="str">
        <f>IF(AJ114="","",IF(CH114=4,CONCATENATE(CK114,"　","　",CL114),IF(CH114=6,CONCATENATE(CK114,CL114),AJ114)))</f>
        <v/>
      </c>
      <c r="CN114" s="486"/>
    </row>
    <row r="115" spans="1:99" ht="15" customHeight="1">
      <c r="P115" s="500"/>
      <c r="V115" s="498"/>
      <c r="Z115" s="501"/>
      <c r="CH115" s="530" t="str">
        <f>IF(AJ115="","",LEN(AJ115))</f>
        <v/>
      </c>
      <c r="CI115" s="530" t="str">
        <f>IF(AJ115="","",FIND("　",AJ115,1))</f>
        <v/>
      </c>
      <c r="CJ115" s="530" t="str">
        <f>IF(AJ115="","",CH115-CI115)</f>
        <v/>
      </c>
      <c r="CK115" s="530" t="str">
        <f>IF(AJ115="","",LEFT(AJ115,CI115-1))</f>
        <v/>
      </c>
      <c r="CL115" s="530" t="str">
        <f>IF(AJ115="","",RIGHT(AJ115,CJ115))</f>
        <v/>
      </c>
      <c r="CM115" s="82" t="str">
        <f>IF(AJ115="","",IF(CH115=4,CONCATENATE(CK115,"　","　",CL115),IF(CH115=6,CONCATENATE(CK115,CL115),AJ115)))</f>
        <v/>
      </c>
    </row>
    <row r="116" spans="1:99" ht="15" customHeight="1">
      <c r="V116" s="498"/>
      <c r="Z116" s="501"/>
      <c r="CH116" s="530" t="str">
        <f>IF(AJ116="","",LEN(AJ116))</f>
        <v/>
      </c>
      <c r="CI116" s="530" t="str">
        <f>IF(AJ116="","",FIND("　",AJ116,1))</f>
        <v/>
      </c>
      <c r="CJ116" s="530" t="str">
        <f>IF(AJ116="","",CH116-CI116)</f>
        <v/>
      </c>
      <c r="CK116" s="530" t="str">
        <f>IF(AJ116="","",LEFT(AJ116,CI116-1))</f>
        <v/>
      </c>
      <c r="CL116" s="530" t="str">
        <f>IF(AJ116="","",RIGHT(AJ116,CJ116))</f>
        <v/>
      </c>
      <c r="CM116" s="82" t="str">
        <f>IF(AJ116="","",IF(CH116=4,CONCATENATE(CK116,"　","　",CL116),IF(CH116=6,CONCATENATE(CK116,CL116),AJ116)))</f>
        <v/>
      </c>
    </row>
    <row r="117" spans="1:99" ht="15" customHeight="1">
      <c r="V117" s="498"/>
      <c r="Z117" s="501"/>
      <c r="CH117" s="530" t="str">
        <f>IF(AJ117="","",LEN(AJ117))</f>
        <v/>
      </c>
      <c r="CI117" s="530" t="str">
        <f>IF(AJ117="","",FIND("　",AJ117,1))</f>
        <v/>
      </c>
      <c r="CJ117" s="530" t="str">
        <f>IF(AJ117="","",CH117-CI117)</f>
        <v/>
      </c>
      <c r="CK117" s="530" t="str">
        <f>IF(AJ117="","",LEFT(AJ117,CI117-1))</f>
        <v/>
      </c>
      <c r="CL117" s="530" t="str">
        <f>IF(AJ117="","",RIGHT(AJ117,CJ117))</f>
        <v/>
      </c>
      <c r="CM117" s="82" t="str">
        <f>IF(AJ117="","",IF(CH117=4,CONCATENATE(CK117,"　","　",CL117),IF(CH117=6,CONCATENATE(CK117,CL117),AJ117)))</f>
        <v/>
      </c>
    </row>
    <row r="118" spans="1:99" ht="15" customHeight="1">
      <c r="V118" s="498"/>
      <c r="Z118" s="501"/>
      <c r="CH118" s="530" t="str">
        <f>IF(AJ118="","",LEN(AJ118))</f>
        <v/>
      </c>
      <c r="CI118" s="530" t="str">
        <f>IF(AJ118="","",FIND("　",AJ118,1))</f>
        <v/>
      </c>
      <c r="CJ118" s="530" t="str">
        <f>IF(AJ118="","",CH118-CI118)</f>
        <v/>
      </c>
      <c r="CK118" s="530" t="str">
        <f>IF(AJ118="","",LEFT(AJ118,CI118-1))</f>
        <v/>
      </c>
      <c r="CL118" s="530" t="str">
        <f>IF(AJ118="","",RIGHT(AJ118,CJ118))</f>
        <v/>
      </c>
      <c r="CM118" s="82" t="str">
        <f>IF(AJ118="","",IF(CH118=4,CONCATENATE(CK118,"　","　",CL118),IF(CH118=6,CONCATENATE(CK118,CL118),AJ118)))</f>
        <v/>
      </c>
    </row>
    <row r="119" spans="1:99" ht="15" customHeight="1">
      <c r="V119" s="498"/>
      <c r="Z119" s="501"/>
    </row>
    <row r="120" spans="1:99" ht="15" customHeight="1">
      <c r="V120" s="498"/>
      <c r="Z120" s="501"/>
    </row>
    <row r="121" spans="1:99" ht="15" customHeight="1">
      <c r="V121" s="15"/>
      <c r="Z121" s="501"/>
    </row>
    <row r="122" spans="1:99" ht="15" customHeight="1">
      <c r="V122" s="15"/>
    </row>
    <row r="123" spans="1:99" ht="15" customHeight="1">
      <c r="V123" s="15"/>
    </row>
    <row r="124" spans="1:99" ht="15" customHeight="1">
      <c r="V124" s="15"/>
    </row>
    <row r="125" spans="1:99" ht="15" customHeight="1">
      <c r="V125" s="15"/>
    </row>
    <row r="126" spans="1:99" ht="15" customHeight="1">
      <c r="V126" s="15"/>
    </row>
    <row r="127" spans="1:99" ht="15" customHeight="1">
      <c r="V127" s="15"/>
    </row>
    <row r="128" spans="1:99" ht="15" customHeight="1">
      <c r="V128" s="15"/>
    </row>
    <row r="129" spans="22:22" ht="15" customHeight="1">
      <c r="V129" s="15"/>
    </row>
    <row r="130" spans="22:22" ht="15" customHeight="1">
      <c r="V130" s="15"/>
    </row>
  </sheetData>
  <sheetProtection sheet="1" objects="1" scenarios="1"/>
  <mergeCells count="10">
    <mergeCell ref="R2:T2"/>
    <mergeCell ref="A1:C1"/>
    <mergeCell ref="I1:L1"/>
    <mergeCell ref="D1:E1"/>
    <mergeCell ref="C2:C3"/>
    <mergeCell ref="D2:E2"/>
    <mergeCell ref="F2:F3"/>
    <mergeCell ref="I2:I3"/>
    <mergeCell ref="J2:J3"/>
    <mergeCell ref="K2:M2"/>
  </mergeCells>
  <phoneticPr fontId="4"/>
  <conditionalFormatting sqref="N4:N113">
    <cfRule type="expression" dxfId="617" priority="13" stopIfTrue="1">
      <formula>L4="女"</formula>
    </cfRule>
  </conditionalFormatting>
  <conditionalFormatting sqref="G4:G113">
    <cfRule type="expression" dxfId="616" priority="2" stopIfTrue="1">
      <formula>J4="女"</formula>
    </cfRule>
  </conditionalFormatting>
  <conditionalFormatting sqref="G10 G22 G34 G46 G58 G70 G82 G94 G106">
    <cfRule type="expression" dxfId="615" priority="1" stopIfTrue="1">
      <formula>J10="女"</formula>
    </cfRule>
  </conditionalFormatting>
  <dataValidations xWindow="458" yWindow="200" count="20">
    <dataValidation imeMode="disabled" allowBlank="1" showInputMessage="1" showErrorMessage="1" sqref="X4:AG113 E4:E113 K11:M113 I11:I114 O1:P1 N3:N113 AX4:CF113"/>
    <dataValidation imeMode="disabled" allowBlank="1" showInputMessage="1" showErrorMessage="1" prompt="トラックはドットで、フィールドはmで区切って下さい。" sqref="AH4:AI113 AK4:AW113"/>
    <dataValidation errorStyle="warning" allowBlank="1" showErrorMessage="1" error="所属がない場合は直接入力して下さい_x000a_学校番号はエラーが出ますが無視して下さい" prompt="セレクトより選んで下さい_x000a_後はセルをコピーして下さい" sqref="O5:O113"/>
    <dataValidation imeMode="disabled" allowBlank="1" sqref="R4:U113 P4:P113"/>
    <dataValidation imeMode="hiragana" allowBlank="1" sqref="Q1:Q1048576"/>
    <dataValidation allowBlank="1" showErrorMessage="1" sqref="I115:I65536"/>
    <dataValidation type="list" allowBlank="1" showInputMessage="1" showErrorMessage="1" sqref="O3">
      <formula1>$V$3:$V$104</formula1>
    </dataValidation>
    <dataValidation errorStyle="warning" allowBlank="1" showErrorMessage="1" error="所属がない場合は直接入力して下さい_x000a_学校番号はエラーが出ますが無視して下さい" prompt="セレクトより選んで下さい_x000a_後は選手名を入力すれば記入されます" sqref="O4"/>
    <dataValidation imeMode="hiragana" allowBlank="1" showInputMessage="1" showErrorMessage="1" sqref="F1 J11:J113"/>
    <dataValidation imeMode="disabled" allowBlank="1" showErrorMessage="1" sqref="N1"/>
    <dataValidation imeMode="disabled" allowBlank="1" showInputMessage="1" showErrorMessage="1" prompt="1分**秒で入力して下さい_x000a_54秒00⇒0.54.00_x000a_" sqref="AJ4:AJ113"/>
    <dataValidation imeMode="fullKatakana" allowBlank="1" showInputMessage="1" promptTitle="フリガナ" prompt="全角カタカナで入力して姓と名の間は全角1文字スペースを入力してください_x000a_例：タカハシ　ナオコ" sqref="H4:H113"/>
    <dataValidation type="list" imeMode="hiragana" allowBlank="1" showInputMessage="1" errorTitle="不正な値" error="不正な値が入力されました" promptTitle="登録の種類" prompt="登録の種類には　継続　新規　追加　のいずれかを入力してください" sqref="F11:F113">
      <formula1>"継続,新規"</formula1>
    </dataValidation>
    <dataValidation type="list" imeMode="hiragana" allowBlank="1" sqref="G1">
      <formula1>$CQ$4:$CQ$11</formula1>
    </dataValidation>
    <dataValidation imeMode="hiragana" allowBlank="1" showInputMessage="1" sqref="D1:E1"/>
    <dataValidation imeMode="disabled" allowBlank="1" showInputMessage="1" sqref="I1:L1 K4:M10"/>
    <dataValidation type="list" imeMode="on" allowBlank="1" showInputMessage="1" showErrorMessage="1" errorTitle="不正な値" error="不正な値が入力されました" promptTitle="登録の種類" prompt="登録の種類には　継続　新規　追加　のいずれかを入力してください" sqref="F4:F10">
      <formula1>"継続,新規,追加"</formula1>
    </dataValidation>
    <dataValidation imeMode="hiragana" allowBlank="1" showInputMessage="1" showErrorMessage="1" promptTitle="氏名の入力" prompt="姓と名の間は全角スペースを入力してください_x000a_例：　高橋　尚子" sqref="G4:G113"/>
    <dataValidation imeMode="off" allowBlank="1" showInputMessage="1" promptTitle="登録月日の入力" prompt="月/日（例：9/30）で入力" sqref="B4:B10"/>
    <dataValidation type="whole" imeMode="disabled" allowBlank="1" showInputMessage="1" showErrorMessage="1" sqref="I4:I10">
      <formula1>1</formula1>
      <formula2>6</formula2>
    </dataValidation>
  </dataValidations>
  <printOptions horizontalCentered="1"/>
  <pageMargins left="0.78740157480314965" right="0.59055118110236227" top="0.78740157480314965" bottom="0.78740157480314965" header="0.51181102362204722" footer="0.51181102362204722"/>
  <pageSetup paperSize="9" orientation="portrait" horizontalDpi="4294967292" verticalDpi="300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 enableFormatConditionsCalculation="0">
    <tabColor indexed="29"/>
    <pageSetUpPr fitToPage="1"/>
  </sheetPr>
  <dimension ref="A1:BG128"/>
  <sheetViews>
    <sheetView showGridLines="0" showZeros="0" topLeftCell="E1" workbookViewId="0">
      <selection activeCell="BB13" sqref="BB13"/>
    </sheetView>
  </sheetViews>
  <sheetFormatPr defaultColWidth="8.625" defaultRowHeight="13.5"/>
  <cols>
    <col min="1" max="1" width="8.25" style="747" hidden="1" customWidth="1"/>
    <col min="2" max="2" width="8.5" style="747" hidden="1" customWidth="1"/>
    <col min="3" max="3" width="9.875" style="747" hidden="1" customWidth="1"/>
    <col min="4" max="4" width="9.375" style="747" hidden="1" customWidth="1"/>
    <col min="5" max="5" width="10.25" style="747" bestFit="1" customWidth="1"/>
    <col min="6" max="6" width="14.375" style="747" customWidth="1"/>
    <col min="7" max="7" width="14.375" style="790" customWidth="1"/>
    <col min="8" max="8" width="9" style="136" hidden="1" customWidth="1"/>
    <col min="9" max="9" width="4.75" style="136" customWidth="1"/>
    <col min="10" max="10" width="4.625" style="657" customWidth="1"/>
    <col min="11" max="11" width="5" style="657" hidden="1" customWidth="1"/>
    <col min="12" max="12" width="5" style="747" hidden="1" customWidth="1"/>
    <col min="13" max="13" width="6.75" style="139" hidden="1" customWidth="1"/>
    <col min="14" max="14" width="10.5" style="137" bestFit="1" customWidth="1"/>
    <col min="15" max="15" width="12.75" style="138" bestFit="1" customWidth="1"/>
    <col min="16" max="16" width="5" style="139" hidden="1" customWidth="1"/>
    <col min="17" max="17" width="10.25" style="137" customWidth="1"/>
    <col min="18" max="18" width="8.125" style="138" hidden="1" customWidth="1"/>
    <col min="19" max="19" width="7.25" style="139" hidden="1" customWidth="1"/>
    <col min="20" max="20" width="12.75" style="140" bestFit="1" customWidth="1"/>
    <col min="21" max="21" width="9.5" style="138" hidden="1" customWidth="1"/>
    <col min="22" max="22" width="9" style="141" customWidth="1"/>
    <col min="23" max="23" width="0.25" style="140" hidden="1" customWidth="1"/>
    <col min="24" max="24" width="3.25" style="138" hidden="1" customWidth="1"/>
    <col min="25" max="25" width="6.75" style="139" hidden="1" customWidth="1"/>
    <col min="26" max="26" width="5" style="140" hidden="1" customWidth="1"/>
    <col min="27" max="27" width="6.75" style="138" hidden="1" customWidth="1"/>
    <col min="28" max="28" width="6.75" style="657" hidden="1" customWidth="1"/>
    <col min="29" max="29" width="5.875" style="657" hidden="1" customWidth="1"/>
    <col min="30" max="30" width="18" style="747" hidden="1" customWidth="1"/>
    <col min="31" max="31" width="8.375" style="142" hidden="1" customWidth="1"/>
    <col min="32" max="32" width="2.5" style="769" hidden="1" customWidth="1"/>
    <col min="33" max="33" width="14.625" style="769" hidden="1" customWidth="1"/>
    <col min="34" max="34" width="2.5" style="769" hidden="1" customWidth="1"/>
    <col min="35" max="35" width="2.5" style="747" hidden="1" customWidth="1"/>
    <col min="36" max="36" width="11.125" style="747" hidden="1" customWidth="1"/>
    <col min="37" max="37" width="12.375" style="747" hidden="1" customWidth="1"/>
    <col min="38" max="38" width="7" style="747" hidden="1" customWidth="1"/>
    <col min="39" max="39" width="5.375" style="747" hidden="1" customWidth="1"/>
    <col min="40" max="40" width="6.75" style="747" hidden="1" customWidth="1"/>
    <col min="41" max="41" width="7.75" style="747" hidden="1" customWidth="1"/>
    <col min="42" max="42" width="11" style="142" customWidth="1"/>
    <col min="43" max="43" width="5.25" style="142" customWidth="1"/>
    <col min="44" max="44" width="12.375" style="747" hidden="1" customWidth="1"/>
    <col min="45" max="45" width="8.125" style="747" hidden="1" customWidth="1"/>
    <col min="46" max="46" width="7.125" style="747" hidden="1" customWidth="1"/>
    <col min="47" max="47" width="6.5" style="747" hidden="1" customWidth="1"/>
    <col min="48" max="48" width="11.25" style="747" hidden="1" customWidth="1"/>
    <col min="49" max="49" width="7" style="747" hidden="1" customWidth="1"/>
    <col min="50" max="52" width="8.625" style="747" hidden="1" customWidth="1"/>
    <col min="53" max="16384" width="8.625" style="747"/>
  </cols>
  <sheetData>
    <row r="1" spans="1:59" ht="21.75" customHeight="1">
      <c r="B1" s="217"/>
      <c r="C1" s="437"/>
      <c r="D1" s="748"/>
      <c r="E1" s="217" t="s">
        <v>301</v>
      </c>
      <c r="F1" s="437">
        <f>IF(前年度登録!$O$4="","",前年度登録!$O$4)</f>
        <v>0</v>
      </c>
      <c r="G1" s="266" t="s">
        <v>256</v>
      </c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7"/>
      <c r="T1" s="268"/>
      <c r="U1" s="269"/>
      <c r="V1" s="270"/>
      <c r="W1" s="268"/>
      <c r="X1" s="269"/>
      <c r="Y1" s="267"/>
      <c r="Z1" s="268"/>
      <c r="AA1" s="269"/>
      <c r="AB1" s="655"/>
      <c r="AC1" s="655"/>
      <c r="AD1" s="748"/>
      <c r="AE1" s="271"/>
      <c r="AF1" s="272"/>
      <c r="AG1" s="272"/>
      <c r="AH1" s="272"/>
      <c r="AI1" s="748"/>
      <c r="AJ1" s="748"/>
      <c r="AK1" s="748"/>
      <c r="AL1" s="748"/>
      <c r="AM1" s="748"/>
      <c r="AN1" s="748"/>
      <c r="AO1" s="748"/>
      <c r="AP1" s="271"/>
      <c r="AQ1" s="271"/>
      <c r="AR1" s="748"/>
      <c r="AS1" s="748"/>
      <c r="AT1" s="748"/>
      <c r="AU1" s="748"/>
      <c r="AV1" s="748"/>
      <c r="AX1" s="748"/>
      <c r="AY1" s="748"/>
      <c r="AZ1" s="748"/>
      <c r="BA1" s="1265"/>
      <c r="BB1" s="1265"/>
      <c r="BC1" s="1265"/>
      <c r="BD1" s="1265"/>
      <c r="BE1" s="1265"/>
      <c r="BF1" s="1265"/>
      <c r="BG1" s="1265"/>
    </row>
    <row r="2" spans="1:59" ht="34.5" customHeight="1">
      <c r="B2" s="217"/>
      <c r="C2" s="273"/>
      <c r="D2" s="274"/>
      <c r="E2" s="217" t="s">
        <v>302</v>
      </c>
      <c r="F2" s="273" t="e">
        <f>前年度登録!P4</f>
        <v>#N/A</v>
      </c>
      <c r="G2" s="1153" t="s">
        <v>491</v>
      </c>
      <c r="H2" s="1153"/>
      <c r="I2" s="1153"/>
      <c r="J2" s="1153"/>
      <c r="K2" s="1153"/>
      <c r="L2" s="1153"/>
      <c r="M2" s="1153"/>
      <c r="N2" s="1153"/>
      <c r="O2" s="1153"/>
      <c r="P2" s="1153"/>
      <c r="Q2" s="1153"/>
      <c r="R2" s="1153"/>
      <c r="S2" s="277"/>
      <c r="T2" s="278"/>
      <c r="U2" s="275"/>
      <c r="V2" s="1160"/>
      <c r="W2" s="1160"/>
      <c r="X2" s="269"/>
      <c r="Y2" s="267"/>
      <c r="Z2" s="268"/>
      <c r="AA2" s="269"/>
      <c r="AB2" s="655"/>
      <c r="AC2" s="655"/>
      <c r="AD2" s="748"/>
      <c r="AE2" s="271"/>
      <c r="AF2" s="280"/>
      <c r="AG2" s="280"/>
      <c r="AH2" s="280"/>
      <c r="AI2" s="748"/>
      <c r="AJ2" s="1161"/>
      <c r="AK2" s="1161"/>
      <c r="AL2" s="1161"/>
      <c r="AM2" s="1161"/>
      <c r="AN2" s="748"/>
      <c r="AO2" s="748"/>
      <c r="AP2" s="271"/>
      <c r="AQ2" s="271"/>
      <c r="AR2" s="748"/>
      <c r="AS2" s="748"/>
      <c r="AT2" s="748"/>
      <c r="AU2" s="748"/>
      <c r="AV2" s="748"/>
      <c r="AX2" s="748"/>
      <c r="AY2" s="748"/>
      <c r="AZ2" s="748"/>
      <c r="BA2" s="1265"/>
      <c r="BB2" s="1265"/>
      <c r="BC2" s="1265"/>
      <c r="BD2" s="1265"/>
      <c r="BE2" s="1265"/>
      <c r="BF2" s="1265"/>
      <c r="BG2" s="1265"/>
    </row>
    <row r="3" spans="1:59" ht="34.5" customHeight="1">
      <c r="B3" s="218"/>
      <c r="C3" s="240"/>
      <c r="D3" s="240"/>
      <c r="E3" s="218" t="s">
        <v>291</v>
      </c>
      <c r="F3" s="240" t="str">
        <f>IF(前年度登録!$D$1="","",前年度登録!$D$1)</f>
        <v/>
      </c>
      <c r="G3" s="294" t="s">
        <v>268</v>
      </c>
      <c r="H3" s="293"/>
      <c r="I3" s="293"/>
      <c r="J3" s="429"/>
      <c r="K3" s="429"/>
      <c r="L3" s="429"/>
      <c r="M3" s="429"/>
      <c r="N3" s="429"/>
      <c r="O3" s="429">
        <f>$AF$118</f>
        <v>0</v>
      </c>
      <c r="P3" s="283"/>
      <c r="Q3" s="1260"/>
      <c r="R3" s="1260"/>
      <c r="S3" s="1261"/>
      <c r="T3" s="1262"/>
      <c r="U3" s="1263"/>
      <c r="V3" s="1264"/>
      <c r="W3" s="279"/>
      <c r="X3" s="286"/>
      <c r="Y3" s="287"/>
      <c r="Z3" s="288"/>
      <c r="AA3" s="286"/>
      <c r="AB3" s="650"/>
      <c r="AC3" s="650"/>
      <c r="AD3" s="749"/>
      <c r="AE3" s="290"/>
      <c r="AF3" s="291"/>
      <c r="AG3" s="291"/>
      <c r="AH3" s="291"/>
      <c r="AI3" s="749"/>
      <c r="AJ3" s="281"/>
      <c r="AK3" s="281"/>
      <c r="AL3" s="281"/>
      <c r="AM3" s="281"/>
      <c r="AN3" s="748"/>
      <c r="AO3" s="748"/>
      <c r="AP3" s="271"/>
      <c r="AQ3" s="271"/>
      <c r="AR3" s="748"/>
      <c r="AS3" s="748"/>
      <c r="AT3" s="748"/>
      <c r="AU3" s="748"/>
      <c r="AV3" s="748"/>
      <c r="AX3" s="748"/>
      <c r="AY3" s="748"/>
      <c r="AZ3" s="748"/>
      <c r="BA3" s="1265"/>
      <c r="BB3" s="1265"/>
      <c r="BC3" s="1265"/>
      <c r="BD3" s="1265"/>
      <c r="BE3" s="1265"/>
      <c r="BF3" s="1265"/>
      <c r="BG3" s="1265"/>
    </row>
    <row r="4" spans="1:59" ht="34.5" customHeight="1" thickBot="1">
      <c r="B4" s="218"/>
      <c r="C4" s="240"/>
      <c r="D4" s="240"/>
      <c r="E4" s="218" t="s">
        <v>209</v>
      </c>
      <c r="F4" s="240" t="str">
        <f>IF(前年度登録!$I$1="","",前年度登録!$I$1)</f>
        <v/>
      </c>
      <c r="G4" s="294" t="s">
        <v>231</v>
      </c>
      <c r="H4" s="293"/>
      <c r="I4" s="294"/>
      <c r="J4" s="617"/>
      <c r="K4" s="617"/>
      <c r="L4" s="617"/>
      <c r="M4" s="617"/>
      <c r="N4" s="617"/>
      <c r="O4" s="617">
        <f>$AF$118*1000+O5*800</f>
        <v>0</v>
      </c>
      <c r="P4" s="283"/>
      <c r="Q4" s="1260"/>
      <c r="R4" s="1260"/>
      <c r="S4" s="1261"/>
      <c r="T4" s="1262"/>
      <c r="U4" s="1263"/>
      <c r="V4" s="1264"/>
      <c r="W4" s="279"/>
      <c r="X4" s="286"/>
      <c r="Y4" s="287"/>
      <c r="Z4" s="288"/>
      <c r="AA4" s="286"/>
      <c r="AB4" s="650"/>
      <c r="AC4" s="650"/>
      <c r="AD4" s="749"/>
      <c r="AE4" s="290"/>
      <c r="AF4" s="291"/>
      <c r="AG4" s="291"/>
      <c r="AH4" s="291"/>
      <c r="AI4" s="749"/>
      <c r="AJ4" s="281"/>
      <c r="AK4" s="281"/>
      <c r="AL4" s="281"/>
      <c r="AM4" s="281"/>
      <c r="AN4" s="748"/>
      <c r="AO4" s="748"/>
      <c r="AP4" s="271"/>
      <c r="AQ4" s="271"/>
      <c r="AR4" s="748"/>
      <c r="AS4" s="748"/>
      <c r="AT4" s="748"/>
      <c r="AU4" s="748"/>
      <c r="AV4" s="748"/>
      <c r="AX4" s="748"/>
      <c r="AY4" s="748"/>
      <c r="AZ4" s="748"/>
      <c r="BA4" s="1265"/>
      <c r="BB4" s="1265"/>
      <c r="BC4" s="1265"/>
      <c r="BD4" s="1265"/>
      <c r="BE4" s="1265"/>
      <c r="BF4" s="1265"/>
      <c r="BG4" s="1265"/>
    </row>
    <row r="5" spans="1:59" ht="34.5" customHeight="1" thickBot="1">
      <c r="B5" s="295"/>
      <c r="C5" s="274"/>
      <c r="D5" s="274"/>
      <c r="E5" s="274"/>
      <c r="F5" s="274"/>
      <c r="G5" s="1111" t="s">
        <v>514</v>
      </c>
      <c r="H5" s="1112"/>
      <c r="I5" s="1112"/>
      <c r="J5" s="1112"/>
      <c r="K5" s="1112"/>
      <c r="L5" s="1112"/>
      <c r="M5" s="1112"/>
      <c r="N5" s="1112"/>
      <c r="O5" s="1114"/>
      <c r="P5" s="1110"/>
      <c r="Q5" s="1113" t="s">
        <v>515</v>
      </c>
      <c r="R5" s="276"/>
      <c r="S5" s="284"/>
      <c r="T5" s="285"/>
      <c r="U5" s="283"/>
      <c r="V5" s="279"/>
      <c r="W5" s="279"/>
      <c r="X5" s="286"/>
      <c r="Y5" s="287"/>
      <c r="Z5" s="288"/>
      <c r="AA5" s="286"/>
      <c r="AB5" s="650"/>
      <c r="AC5" s="650"/>
      <c r="AD5" s="749"/>
      <c r="AE5" s="290"/>
      <c r="AF5" s="291"/>
      <c r="AG5" s="291"/>
      <c r="AH5" s="291"/>
      <c r="AI5" s="749"/>
      <c r="AJ5" s="281"/>
      <c r="AK5" s="281"/>
      <c r="AL5" s="281"/>
      <c r="AM5" s="281"/>
      <c r="AN5" s="748"/>
      <c r="AO5" s="748"/>
      <c r="AP5" s="271"/>
      <c r="AQ5" s="271"/>
      <c r="AR5" s="748"/>
      <c r="AS5" s="748"/>
      <c r="AT5" s="748"/>
      <c r="AU5" s="748"/>
      <c r="AV5" s="748"/>
      <c r="AX5" s="748"/>
      <c r="AY5" s="748"/>
      <c r="AZ5" s="748"/>
      <c r="BA5" s="1265"/>
      <c r="BB5" s="1265"/>
      <c r="BC5" s="1265"/>
      <c r="BD5" s="1265"/>
      <c r="BE5" s="1265"/>
      <c r="BF5" s="1265"/>
      <c r="BG5" s="1265"/>
    </row>
    <row r="6" spans="1:59" s="750" customFormat="1" ht="12.75" thickBot="1">
      <c r="A6" s="750" t="s">
        <v>9</v>
      </c>
      <c r="B6" s="751" t="s">
        <v>0</v>
      </c>
      <c r="C6" s="750" t="s">
        <v>442</v>
      </c>
      <c r="D6" s="750" t="s">
        <v>473</v>
      </c>
      <c r="E6" s="752" t="s">
        <v>5</v>
      </c>
      <c r="F6" s="753" t="s">
        <v>241</v>
      </c>
      <c r="G6" s="751" t="s">
        <v>2</v>
      </c>
      <c r="H6" s="751" t="s">
        <v>10</v>
      </c>
      <c r="I6" s="751" t="s">
        <v>3</v>
      </c>
      <c r="J6" s="936" t="s">
        <v>1</v>
      </c>
      <c r="K6" s="681" t="s">
        <v>443</v>
      </c>
      <c r="L6" s="681" t="s">
        <v>474</v>
      </c>
      <c r="M6" s="754" t="s">
        <v>242</v>
      </c>
      <c r="N6" s="1259" t="s">
        <v>556</v>
      </c>
      <c r="O6" s="755" t="s">
        <v>232</v>
      </c>
      <c r="P6" s="751" t="s">
        <v>475</v>
      </c>
      <c r="Q6" s="756" t="s">
        <v>476</v>
      </c>
      <c r="R6" s="757"/>
      <c r="S6" s="757"/>
      <c r="T6" s="755" t="s">
        <v>233</v>
      </c>
      <c r="U6" s="751" t="s">
        <v>475</v>
      </c>
      <c r="V6" s="758" t="s">
        <v>476</v>
      </c>
      <c r="W6" s="757"/>
      <c r="X6" s="757"/>
      <c r="Y6" s="759" t="s">
        <v>47</v>
      </c>
      <c r="Z6" s="760"/>
      <c r="AA6" s="761" t="s">
        <v>477</v>
      </c>
      <c r="AB6" s="762" t="s">
        <v>478</v>
      </c>
      <c r="AC6" s="763" t="s">
        <v>475</v>
      </c>
      <c r="AD6" s="764" t="s">
        <v>476</v>
      </c>
      <c r="AE6" s="765" t="s">
        <v>479</v>
      </c>
      <c r="AF6" s="766" t="s">
        <v>475</v>
      </c>
      <c r="AG6" s="764" t="s">
        <v>480</v>
      </c>
      <c r="AH6" s="767"/>
      <c r="AI6" s="767"/>
      <c r="AK6" s="937">
        <v>100</v>
      </c>
      <c r="AL6" s="938"/>
      <c r="AM6" s="939"/>
      <c r="AN6" s="939"/>
      <c r="AP6" s="1158" t="s">
        <v>329</v>
      </c>
      <c r="AQ6" s="1159"/>
      <c r="AR6" s="940"/>
      <c r="AS6" s="940"/>
      <c r="AV6" s="941">
        <v>100</v>
      </c>
      <c r="AW6" s="941">
        <v>100</v>
      </c>
      <c r="AX6" s="770"/>
      <c r="AY6" s="770"/>
      <c r="AZ6" s="770"/>
      <c r="BA6" s="1266"/>
      <c r="BB6" s="1266"/>
      <c r="BC6" s="1266"/>
      <c r="BD6" s="1266"/>
      <c r="BE6" s="1266"/>
      <c r="BF6" s="1266"/>
      <c r="BG6" s="1266"/>
    </row>
    <row r="7" spans="1:59" ht="14.25" thickBot="1">
      <c r="B7" s="771" t="e">
        <f>前年度登録!P4</f>
        <v>#N/A</v>
      </c>
      <c r="E7" s="772">
        <f>前年度登録!E4</f>
        <v>0</v>
      </c>
      <c r="F7" s="531" t="str">
        <f>前年度登録!CM4</f>
        <v/>
      </c>
      <c r="G7" s="989" t="str">
        <f>前年度登録!Z4</f>
        <v/>
      </c>
      <c r="H7" s="531" t="str">
        <f>前年度登録!CM4</f>
        <v/>
      </c>
      <c r="I7" s="150" t="str">
        <f>前年度登録!Y4</f>
        <v/>
      </c>
      <c r="J7" s="942" t="str">
        <f>前年度登録!CN4</f>
        <v/>
      </c>
      <c r="K7" s="889">
        <f>前年度登録!CP4</f>
        <v>0</v>
      </c>
      <c r="L7" s="890" t="str">
        <f>前年度登録!CU4</f>
        <v>00</v>
      </c>
      <c r="M7" s="771" t="e">
        <f>前年度登録!Q4</f>
        <v>#N/A</v>
      </c>
      <c r="N7" s="1257">
        <f>前年度登録!D4</f>
        <v>0</v>
      </c>
      <c r="O7" s="301"/>
      <c r="P7" s="254" t="str">
        <f>IF(O7="","",IF(I7=1,VLOOKUP(O7,男子種目コード!$A$1:$B$33,2,FALSE),IF(I7=2,VLOOKUP(O7,女子種目コード!$A$1:$B$27,2,FALSE))))</f>
        <v/>
      </c>
      <c r="Q7" s="493" t="str">
        <f>IF(O7="","",HLOOKUP(O7,前年度登録!$AH$3:$CH$118,2,FALSE))</f>
        <v/>
      </c>
      <c r="R7" s="622" t="str">
        <f>IF(O7="","",0)</f>
        <v/>
      </c>
      <c r="S7" s="623" t="str">
        <f>IF(O7="","",2)</f>
        <v/>
      </c>
      <c r="T7" s="301"/>
      <c r="U7" s="254" t="str">
        <f>IF(T7="","",IF(I7=1,VLOOKUP(T7,男子種目コード!$A$1:$B$33,2,FALSE),IF(I7=2,VLOOKUP(T7,女子種目コード!$A$1:$B$27,2,FALSE))))</f>
        <v/>
      </c>
      <c r="V7" s="542" t="str">
        <f>IF(T7="","",HLOOKUP(T7,前年度登録!$AH$3:$CH$118,2,FALSE))</f>
        <v/>
      </c>
      <c r="W7" s="619" t="str">
        <f>IF(T7="","",0)</f>
        <v/>
      </c>
      <c r="X7" s="623" t="str">
        <f>IF(T7="","",2)</f>
        <v/>
      </c>
      <c r="Y7" s="153"/>
      <c r="Z7" s="154"/>
      <c r="AA7" s="151"/>
      <c r="AB7" s="155"/>
      <c r="AC7" s="156"/>
      <c r="AD7" s="157"/>
      <c r="AE7" s="158"/>
      <c r="AF7" s="159"/>
      <c r="AG7" s="152"/>
      <c r="AH7" s="657"/>
      <c r="AI7" s="657"/>
      <c r="AK7" s="768">
        <v>200</v>
      </c>
      <c r="AL7" s="769" t="str">
        <f t="shared" ref="AL7:AL38" si="0">IF(O7="","",1)</f>
        <v/>
      </c>
      <c r="AM7" s="721">
        <f t="shared" ref="AM7:AM38" si="1">IF(OR(AL7=1,T7=""),0,1)</f>
        <v>0</v>
      </c>
      <c r="AN7" s="721">
        <f t="shared" ref="AN7:AN38" si="2">IF(OR(AL7=1,AM7=1,AB7=""),0,1)</f>
        <v>0</v>
      </c>
      <c r="AP7" s="1154" t="s">
        <v>106</v>
      </c>
      <c r="AQ7" s="1155"/>
      <c r="AT7" s="721"/>
      <c r="AV7" s="911">
        <v>200</v>
      </c>
      <c r="AW7" s="911">
        <v>200</v>
      </c>
      <c r="AX7" s="748"/>
      <c r="AY7" s="748"/>
      <c r="AZ7" s="748"/>
      <c r="BA7" s="1265"/>
      <c r="BB7" s="1265"/>
      <c r="BC7" s="1265"/>
      <c r="BD7" s="1265"/>
      <c r="BE7" s="1265"/>
      <c r="BF7" s="1265"/>
      <c r="BG7" s="1265"/>
    </row>
    <row r="8" spans="1:59">
      <c r="B8" s="773" t="str">
        <f>前年度登録!P5</f>
        <v/>
      </c>
      <c r="E8" s="774">
        <f>前年度登録!E5</f>
        <v>0</v>
      </c>
      <c r="F8" s="532" t="str">
        <f>前年度登録!CM5</f>
        <v/>
      </c>
      <c r="G8" s="990" t="str">
        <f>前年度登録!Z5</f>
        <v/>
      </c>
      <c r="H8" s="532" t="str">
        <f>前年度登録!CM5</f>
        <v/>
      </c>
      <c r="I8" s="185" t="str">
        <f>前年度登録!Y5</f>
        <v/>
      </c>
      <c r="J8" s="943" t="str">
        <f>前年度登録!CN5</f>
        <v/>
      </c>
      <c r="K8" s="891">
        <f>前年度登録!CP5</f>
        <v>0</v>
      </c>
      <c r="L8" s="892" t="str">
        <f>前年度登録!CU5</f>
        <v>00</v>
      </c>
      <c r="M8" s="773" t="str">
        <f>前年度登録!Q5</f>
        <v/>
      </c>
      <c r="N8" s="1258">
        <f>前年度登録!D5</f>
        <v>0</v>
      </c>
      <c r="O8" s="303"/>
      <c r="P8" s="258" t="str">
        <f>IF(O8="","",IF(I8=1,VLOOKUP(O8,男子種目コード!$A$1:$B$33,2,FALSE),IF(I8=2,VLOOKUP(O8,女子種目コード!$A$1:$B$27,2,FALSE))))</f>
        <v/>
      </c>
      <c r="Q8" s="494" t="str">
        <f>IF(O8="","",HLOOKUP(O8,前年度登録!$AH$3:$CH$118,3,FALSE))</f>
        <v/>
      </c>
      <c r="R8" s="624" t="str">
        <f t="shared" ref="R8:R71" si="3">IF(O8="","",0)</f>
        <v/>
      </c>
      <c r="S8" s="625" t="str">
        <f t="shared" ref="S8:S71" si="4">IF(O8="","",2)</f>
        <v/>
      </c>
      <c r="T8" s="303"/>
      <c r="U8" s="258" t="str">
        <f>IF(T8="","",IF(I8=1,VLOOKUP(T8,男子種目コード!$A$1:$B$33,2,FALSE),IF(I8=2,VLOOKUP(T8,女子種目コード!$A$1:$B$27,2,FALSE))))</f>
        <v/>
      </c>
      <c r="V8" s="540" t="str">
        <f>IF(T8="","",HLOOKUP(T8,前年度登録!$AH$3:$CH$118,3,FALSE))</f>
        <v/>
      </c>
      <c r="W8" s="620" t="str">
        <f t="shared" ref="W8:W71" si="5">IF(T8="","",0)</f>
        <v/>
      </c>
      <c r="X8" s="625" t="str">
        <f t="shared" ref="X8:X71" si="6">IF(T8="","",2)</f>
        <v/>
      </c>
      <c r="Y8" s="158"/>
      <c r="Z8" s="163"/>
      <c r="AA8" s="161"/>
      <c r="AB8" s="164"/>
      <c r="AC8" s="165"/>
      <c r="AD8" s="157"/>
      <c r="AE8" s="158"/>
      <c r="AF8" s="159"/>
      <c r="AG8" s="162"/>
      <c r="AH8" s="657"/>
      <c r="AI8" s="657"/>
      <c r="AK8" s="768">
        <v>400</v>
      </c>
      <c r="AL8" s="769" t="str">
        <f t="shared" si="0"/>
        <v/>
      </c>
      <c r="AM8" s="721">
        <f t="shared" si="1"/>
        <v>0</v>
      </c>
      <c r="AN8" s="721">
        <f t="shared" si="2"/>
        <v>0</v>
      </c>
      <c r="AP8" s="775">
        <v>100</v>
      </c>
      <c r="AQ8" s="191">
        <f>COUNTIF($P$7:$P$116,1)+COUNTIF($U$7:$U$116,1)</f>
        <v>0</v>
      </c>
      <c r="AT8" s="721"/>
      <c r="AU8" s="721"/>
      <c r="AV8" s="911">
        <v>400</v>
      </c>
      <c r="AW8" s="911">
        <v>400</v>
      </c>
      <c r="AX8" s="748"/>
      <c r="AY8" s="748"/>
      <c r="AZ8" s="748"/>
      <c r="BA8" s="1265"/>
      <c r="BB8" s="1265"/>
      <c r="BC8" s="1265"/>
      <c r="BD8" s="1265"/>
      <c r="BE8" s="1265"/>
      <c r="BF8" s="1265"/>
      <c r="BG8" s="1265"/>
    </row>
    <row r="9" spans="1:59" ht="13.5" customHeight="1">
      <c r="B9" s="773" t="str">
        <f>前年度登録!P6</f>
        <v/>
      </c>
      <c r="E9" s="774">
        <f>前年度登録!E6</f>
        <v>0</v>
      </c>
      <c r="F9" s="532" t="str">
        <f>前年度登録!CM6</f>
        <v/>
      </c>
      <c r="G9" s="990" t="str">
        <f>前年度登録!Z6</f>
        <v/>
      </c>
      <c r="H9" s="532" t="str">
        <f>前年度登録!CM6</f>
        <v/>
      </c>
      <c r="I9" s="185" t="str">
        <f>前年度登録!Y6</f>
        <v/>
      </c>
      <c r="J9" s="943" t="str">
        <f>前年度登録!CN6</f>
        <v/>
      </c>
      <c r="K9" s="891">
        <f>前年度登録!CP6</f>
        <v>0</v>
      </c>
      <c r="L9" s="892" t="str">
        <f>前年度登録!CU6</f>
        <v>00</v>
      </c>
      <c r="M9" s="773" t="str">
        <f>前年度登録!Q6</f>
        <v/>
      </c>
      <c r="N9" s="1258">
        <f>前年度登録!D6</f>
        <v>0</v>
      </c>
      <c r="O9" s="303"/>
      <c r="P9" s="258" t="str">
        <f>IF(O9="","",IF(I9=1,VLOOKUP(O9,男子種目コード!$A$1:$B$33,2,FALSE),IF(I9=2,VLOOKUP(O9,女子種目コード!$A$1:$B$27,2,FALSE))))</f>
        <v/>
      </c>
      <c r="Q9" s="494" t="str">
        <f>IF(O9="","",HLOOKUP(O9,前年度登録!$AH$3:$CH$118,4,FALSE))</f>
        <v/>
      </c>
      <c r="R9" s="624" t="str">
        <f t="shared" si="3"/>
        <v/>
      </c>
      <c r="S9" s="625" t="str">
        <f t="shared" si="4"/>
        <v/>
      </c>
      <c r="T9" s="303"/>
      <c r="U9" s="258" t="str">
        <f>IF(T9="","",IF(I9=1,VLOOKUP(T9,男子種目コード!$A$1:$B$33,2,FALSE),IF(I9=2,VLOOKUP(T9,女子種目コード!$A$1:$B$27,2,FALSE))))</f>
        <v/>
      </c>
      <c r="V9" s="540" t="str">
        <f>IF(T9="","",HLOOKUP(T9,前年度登録!$AH$3:$CH$118,4,FALSE))</f>
        <v/>
      </c>
      <c r="W9" s="620" t="str">
        <f t="shared" si="5"/>
        <v/>
      </c>
      <c r="X9" s="625" t="str">
        <f t="shared" si="6"/>
        <v/>
      </c>
      <c r="Y9" s="158"/>
      <c r="Z9" s="163"/>
      <c r="AA9" s="161"/>
      <c r="AB9" s="164"/>
      <c r="AC9" s="165"/>
      <c r="AD9" s="157"/>
      <c r="AE9" s="158"/>
      <c r="AF9" s="159"/>
      <c r="AG9" s="162"/>
      <c r="AH9" s="657"/>
      <c r="AI9" s="657"/>
      <c r="AK9" s="768">
        <v>800</v>
      </c>
      <c r="AL9" s="769" t="str">
        <f t="shared" si="0"/>
        <v/>
      </c>
      <c r="AM9" s="721">
        <f t="shared" si="1"/>
        <v>0</v>
      </c>
      <c r="AN9" s="721">
        <f t="shared" si="2"/>
        <v>0</v>
      </c>
      <c r="AP9" s="776">
        <v>200</v>
      </c>
      <c r="AQ9" s="193">
        <f>COUNTIF($P$7:$P$116,2)+COUNTIF($U$7:$U$116,2)</f>
        <v>0</v>
      </c>
      <c r="AT9" s="721"/>
      <c r="AV9" s="911">
        <v>800</v>
      </c>
      <c r="AW9" s="911">
        <v>800</v>
      </c>
      <c r="AX9" s="748"/>
      <c r="AY9" s="748"/>
      <c r="AZ9" s="748"/>
      <c r="BA9" s="1265"/>
      <c r="BB9" s="1265"/>
      <c r="BC9" s="1265"/>
      <c r="BD9" s="1265"/>
      <c r="BE9" s="1265"/>
      <c r="BF9" s="1265"/>
      <c r="BG9" s="1265"/>
    </row>
    <row r="10" spans="1:59">
      <c r="B10" s="773" t="str">
        <f>前年度登録!P7</f>
        <v/>
      </c>
      <c r="E10" s="774">
        <f>前年度登録!E7</f>
        <v>0</v>
      </c>
      <c r="F10" s="532" t="str">
        <f>前年度登録!CM7</f>
        <v/>
      </c>
      <c r="G10" s="990" t="str">
        <f>前年度登録!Z7</f>
        <v/>
      </c>
      <c r="H10" s="532" t="str">
        <f>前年度登録!CM7</f>
        <v/>
      </c>
      <c r="I10" s="185" t="str">
        <f>前年度登録!Y7</f>
        <v/>
      </c>
      <c r="J10" s="943" t="str">
        <f>前年度登録!CN7</f>
        <v/>
      </c>
      <c r="K10" s="891">
        <f>前年度登録!CP7</f>
        <v>0</v>
      </c>
      <c r="L10" s="892" t="str">
        <f>前年度登録!CU7</f>
        <v>00</v>
      </c>
      <c r="M10" s="773" t="str">
        <f>前年度登録!Q7</f>
        <v/>
      </c>
      <c r="N10" s="1258">
        <f>前年度登録!D7</f>
        <v>0</v>
      </c>
      <c r="O10" s="303"/>
      <c r="P10" s="258" t="str">
        <f>IF(O10="","",IF(I10=1,VLOOKUP(O10,男子種目コード!$A$1:$B$33,2,FALSE),IF(I10=2,VLOOKUP(O10,女子種目コード!$A$1:$B$27,2,FALSE))))</f>
        <v/>
      </c>
      <c r="Q10" s="494" t="str">
        <f>IF(O10="","",HLOOKUP(O10,前年度登録!$AH$3:$CH$118,5,FALSE))</f>
        <v/>
      </c>
      <c r="R10" s="624" t="str">
        <f t="shared" si="3"/>
        <v/>
      </c>
      <c r="S10" s="625" t="str">
        <f t="shared" si="4"/>
        <v/>
      </c>
      <c r="T10" s="303"/>
      <c r="U10" s="258" t="str">
        <f>IF(T10="","",IF(I10=1,VLOOKUP(T10,男子種目コード!$A$1:$B$33,2,FALSE),IF(I10=2,VLOOKUP(T10,女子種目コード!$A$1:$B$27,2,FALSE))))</f>
        <v/>
      </c>
      <c r="V10" s="540" t="str">
        <f>IF(T10="","",HLOOKUP(T10,前年度登録!$AH$3:$CH$118,5,FALSE))</f>
        <v/>
      </c>
      <c r="W10" s="620" t="str">
        <f t="shared" si="5"/>
        <v/>
      </c>
      <c r="X10" s="625" t="str">
        <f t="shared" si="6"/>
        <v/>
      </c>
      <c r="Y10" s="158"/>
      <c r="Z10" s="163"/>
      <c r="AA10" s="161"/>
      <c r="AB10" s="164"/>
      <c r="AC10" s="165"/>
      <c r="AD10" s="157"/>
      <c r="AE10" s="158"/>
      <c r="AF10" s="159"/>
      <c r="AG10" s="162"/>
      <c r="AH10" s="657"/>
      <c r="AI10" s="657"/>
      <c r="AK10" s="768">
        <v>1500</v>
      </c>
      <c r="AL10" s="769" t="str">
        <f t="shared" si="0"/>
        <v/>
      </c>
      <c r="AM10" s="721">
        <f t="shared" si="1"/>
        <v>0</v>
      </c>
      <c r="AN10" s="721">
        <f t="shared" si="2"/>
        <v>0</v>
      </c>
      <c r="AP10" s="776">
        <v>400</v>
      </c>
      <c r="AQ10" s="193">
        <f>COUNTIF($P$7:$P$116,3)+COUNTIF($U$7:$U$116,3)</f>
        <v>0</v>
      </c>
      <c r="AT10" s="721"/>
      <c r="AV10" s="911">
        <v>1500</v>
      </c>
      <c r="AW10" s="911">
        <v>1500</v>
      </c>
      <c r="AX10" s="748"/>
      <c r="AY10" s="748"/>
      <c r="AZ10" s="748"/>
      <c r="BA10" s="1265"/>
      <c r="BB10" s="1265"/>
      <c r="BC10" s="1265"/>
      <c r="BD10" s="1265"/>
      <c r="BE10" s="1265"/>
      <c r="BF10" s="1265"/>
      <c r="BG10" s="1265"/>
    </row>
    <row r="11" spans="1:59">
      <c r="B11" s="773" t="str">
        <f>前年度登録!P8</f>
        <v/>
      </c>
      <c r="E11" s="774">
        <f>前年度登録!E8</f>
        <v>0</v>
      </c>
      <c r="F11" s="532" t="str">
        <f>前年度登録!CM8</f>
        <v/>
      </c>
      <c r="G11" s="990" t="str">
        <f>前年度登録!Z8</f>
        <v/>
      </c>
      <c r="H11" s="532" t="str">
        <f>前年度登録!CM8</f>
        <v/>
      </c>
      <c r="I11" s="185" t="str">
        <f>前年度登録!Y8</f>
        <v/>
      </c>
      <c r="J11" s="943" t="str">
        <f>前年度登録!CN8</f>
        <v/>
      </c>
      <c r="K11" s="891">
        <f>前年度登録!CP8</f>
        <v>0</v>
      </c>
      <c r="L11" s="892" t="str">
        <f>前年度登録!CU8</f>
        <v>00</v>
      </c>
      <c r="M11" s="773" t="str">
        <f>前年度登録!Q8</f>
        <v/>
      </c>
      <c r="N11" s="1258">
        <f>前年度登録!D8</f>
        <v>0</v>
      </c>
      <c r="O11" s="303"/>
      <c r="P11" s="258" t="str">
        <f>IF(O11="","",IF(I11=1,VLOOKUP(O11,男子種目コード!$A$1:$B$33,2,FALSE),IF(I11=2,VLOOKUP(O11,女子種目コード!$A$1:$B$27,2,FALSE))))</f>
        <v/>
      </c>
      <c r="Q11" s="494" t="str">
        <f>IF(O11="","",HLOOKUP(O11,前年度登録!$AH$3:$CH$118,6,FALSE))</f>
        <v/>
      </c>
      <c r="R11" s="624" t="str">
        <f t="shared" si="3"/>
        <v/>
      </c>
      <c r="S11" s="625" t="str">
        <f t="shared" si="4"/>
        <v/>
      </c>
      <c r="T11" s="303"/>
      <c r="U11" s="258" t="str">
        <f>IF(T11="","",IF(I11=1,VLOOKUP(T11,男子種目コード!$A$1:$B$33,2,FALSE),IF(I11=2,VLOOKUP(T11,女子種目コード!$A$1:$B$27,2,FALSE))))</f>
        <v/>
      </c>
      <c r="V11" s="540" t="str">
        <f>IF(T11="","",HLOOKUP(T11,前年度登録!$AH$3:$CH$118,6,FALSE))</f>
        <v/>
      </c>
      <c r="W11" s="620" t="str">
        <f t="shared" si="5"/>
        <v/>
      </c>
      <c r="X11" s="625" t="str">
        <f t="shared" si="6"/>
        <v/>
      </c>
      <c r="Y11" s="158"/>
      <c r="Z11" s="163"/>
      <c r="AA11" s="161"/>
      <c r="AB11" s="164"/>
      <c r="AC11" s="165"/>
      <c r="AD11" s="157"/>
      <c r="AE11" s="158"/>
      <c r="AF11" s="159"/>
      <c r="AG11" s="162"/>
      <c r="AH11" s="657"/>
      <c r="AI11" s="657"/>
      <c r="AK11" s="768">
        <v>5000</v>
      </c>
      <c r="AL11" s="769" t="str">
        <f t="shared" si="0"/>
        <v/>
      </c>
      <c r="AM11" s="721">
        <f t="shared" si="1"/>
        <v>0</v>
      </c>
      <c r="AN11" s="721">
        <f t="shared" si="2"/>
        <v>0</v>
      </c>
      <c r="AP11" s="776">
        <v>800</v>
      </c>
      <c r="AQ11" s="193">
        <f>COUNTIF($P$7:$P$116,4)+COUNTIF($U$7:$U$116,4)</f>
        <v>0</v>
      </c>
      <c r="AR11" s="777"/>
      <c r="AS11" s="777"/>
      <c r="AV11" s="911">
        <v>5000</v>
      </c>
      <c r="AW11" s="911">
        <v>5000</v>
      </c>
      <c r="AX11" s="748"/>
      <c r="AY11" s="748"/>
      <c r="AZ11" s="748"/>
      <c r="BA11" s="1265"/>
      <c r="BB11" s="1265"/>
      <c r="BC11" s="1265"/>
      <c r="BD11" s="1265"/>
      <c r="BE11" s="1265"/>
      <c r="BF11" s="1265"/>
      <c r="BG11" s="1265"/>
    </row>
    <row r="12" spans="1:59">
      <c r="B12" s="773" t="str">
        <f>前年度登録!P9</f>
        <v/>
      </c>
      <c r="E12" s="774">
        <f>前年度登録!E9</f>
        <v>0</v>
      </c>
      <c r="F12" s="532" t="str">
        <f>前年度登録!CM9</f>
        <v/>
      </c>
      <c r="G12" s="990" t="str">
        <f>前年度登録!Z9</f>
        <v/>
      </c>
      <c r="H12" s="532" t="str">
        <f>前年度登録!CM9</f>
        <v/>
      </c>
      <c r="I12" s="185" t="str">
        <f>前年度登録!Y9</f>
        <v/>
      </c>
      <c r="J12" s="943" t="str">
        <f>前年度登録!CN9</f>
        <v/>
      </c>
      <c r="K12" s="891">
        <f>前年度登録!CP9</f>
        <v>0</v>
      </c>
      <c r="L12" s="892" t="str">
        <f>前年度登録!CU9</f>
        <v>00</v>
      </c>
      <c r="M12" s="773" t="str">
        <f>前年度登録!Q9</f>
        <v/>
      </c>
      <c r="N12" s="1258">
        <f>前年度登録!D9</f>
        <v>0</v>
      </c>
      <c r="O12" s="303"/>
      <c r="P12" s="258" t="str">
        <f>IF(O12="","",IF(I12=1,VLOOKUP(O12,男子種目コード!$A$1:$B$33,2,FALSE),IF(I12=2,VLOOKUP(O12,女子種目コード!$A$1:$B$27,2,FALSE))))</f>
        <v/>
      </c>
      <c r="Q12" s="494" t="str">
        <f>IF(O12="","",HLOOKUP(O12,前年度登録!$AH$3:$CH$118,7,FALSE))</f>
        <v/>
      </c>
      <c r="R12" s="624" t="str">
        <f t="shared" si="3"/>
        <v/>
      </c>
      <c r="S12" s="625" t="str">
        <f t="shared" si="4"/>
        <v/>
      </c>
      <c r="T12" s="303"/>
      <c r="U12" s="258" t="str">
        <f>IF(T12="","",IF(I12=1,VLOOKUP(T12,男子種目コード!$A$1:$B$33,2,FALSE),IF(I12=2,VLOOKUP(T12,女子種目コード!$A$1:$B$27,2,FALSE))))</f>
        <v/>
      </c>
      <c r="V12" s="540" t="str">
        <f>IF(T12="","",HLOOKUP(T12,前年度登録!$AH$3:$CH$118,7,FALSE))</f>
        <v/>
      </c>
      <c r="W12" s="620" t="str">
        <f t="shared" si="5"/>
        <v/>
      </c>
      <c r="X12" s="625" t="str">
        <f t="shared" si="6"/>
        <v/>
      </c>
      <c r="Y12" s="158"/>
      <c r="Z12" s="163"/>
      <c r="AA12" s="161"/>
      <c r="AB12" s="164"/>
      <c r="AC12" s="165"/>
      <c r="AD12" s="157"/>
      <c r="AE12" s="158"/>
      <c r="AF12" s="159"/>
      <c r="AG12" s="162"/>
      <c r="AH12" s="657"/>
      <c r="AI12" s="657"/>
      <c r="AK12" s="768">
        <v>10000</v>
      </c>
      <c r="AL12" s="769" t="str">
        <f t="shared" si="0"/>
        <v/>
      </c>
      <c r="AM12" s="721">
        <f t="shared" si="1"/>
        <v>0</v>
      </c>
      <c r="AN12" s="721">
        <f t="shared" si="2"/>
        <v>0</v>
      </c>
      <c r="AP12" s="776">
        <v>1500</v>
      </c>
      <c r="AQ12" s="193">
        <f>COUNTIF($P$7:$P$116,5)+COUNTIF($U$7:$U$116,5)</f>
        <v>0</v>
      </c>
      <c r="AR12" s="777"/>
      <c r="AS12" s="777"/>
      <c r="AV12" s="911">
        <v>10000</v>
      </c>
      <c r="AW12" s="911">
        <v>10000</v>
      </c>
      <c r="AX12" s="748"/>
      <c r="AY12" s="748"/>
      <c r="AZ12" s="748"/>
      <c r="BA12" s="1265"/>
      <c r="BB12" s="1265"/>
      <c r="BC12" s="1265"/>
      <c r="BD12" s="1265"/>
      <c r="BE12" s="1265"/>
      <c r="BF12" s="1265"/>
      <c r="BG12" s="1265"/>
    </row>
    <row r="13" spans="1:59">
      <c r="B13" s="773" t="str">
        <f>前年度登録!P10</f>
        <v/>
      </c>
      <c r="E13" s="774">
        <f>前年度登録!E10</f>
        <v>0</v>
      </c>
      <c r="F13" s="532" t="str">
        <f>前年度登録!CM10</f>
        <v/>
      </c>
      <c r="G13" s="990" t="str">
        <f>前年度登録!Z10</f>
        <v/>
      </c>
      <c r="H13" s="532" t="str">
        <f>前年度登録!CM10</f>
        <v/>
      </c>
      <c r="I13" s="185" t="str">
        <f>前年度登録!Y10</f>
        <v/>
      </c>
      <c r="J13" s="943" t="str">
        <f>前年度登録!CN10</f>
        <v/>
      </c>
      <c r="K13" s="891">
        <f>前年度登録!CP10</f>
        <v>0</v>
      </c>
      <c r="L13" s="892" t="str">
        <f>前年度登録!CU10</f>
        <v>00</v>
      </c>
      <c r="M13" s="773" t="str">
        <f>前年度登録!Q10</f>
        <v/>
      </c>
      <c r="N13" s="1258">
        <f>前年度登録!D10</f>
        <v>0</v>
      </c>
      <c r="O13" s="303"/>
      <c r="P13" s="258" t="str">
        <f>IF(O13="","",IF(I13=1,VLOOKUP(O13,男子種目コード!$A$1:$B$33,2,FALSE),IF(I13=2,VLOOKUP(O13,女子種目コード!$A$1:$B$27,2,FALSE))))</f>
        <v/>
      </c>
      <c r="Q13" s="494" t="str">
        <f>IF(O13="","",HLOOKUP(O13,前年度登録!$AH$3:$CH$118,8,FALSE))</f>
        <v/>
      </c>
      <c r="R13" s="624" t="str">
        <f t="shared" si="3"/>
        <v/>
      </c>
      <c r="S13" s="625" t="str">
        <f t="shared" si="4"/>
        <v/>
      </c>
      <c r="T13" s="303"/>
      <c r="U13" s="258" t="str">
        <f>IF(T13="","",IF(I13=1,VLOOKUP(T13,男子種目コード!$A$1:$B$33,2,FALSE),IF(I13=2,VLOOKUP(T13,女子種目コード!$A$1:$B$27,2,FALSE))))</f>
        <v/>
      </c>
      <c r="V13" s="540" t="str">
        <f>IF(T13="","",HLOOKUP(T13,前年度登録!$AH$3:$CH$118,8,FALSE))</f>
        <v/>
      </c>
      <c r="W13" s="620" t="str">
        <f t="shared" si="5"/>
        <v/>
      </c>
      <c r="X13" s="625" t="str">
        <f t="shared" si="6"/>
        <v/>
      </c>
      <c r="Y13" s="158"/>
      <c r="Z13" s="163"/>
      <c r="AA13" s="161"/>
      <c r="AB13" s="164"/>
      <c r="AC13" s="165"/>
      <c r="AD13" s="157"/>
      <c r="AE13" s="158"/>
      <c r="AF13" s="159"/>
      <c r="AG13" s="162"/>
      <c r="AH13" s="657"/>
      <c r="AI13" s="657"/>
      <c r="AK13" s="768" t="s">
        <v>244</v>
      </c>
      <c r="AL13" s="769" t="str">
        <f t="shared" si="0"/>
        <v/>
      </c>
      <c r="AM13" s="721">
        <f t="shared" si="1"/>
        <v>0</v>
      </c>
      <c r="AN13" s="721">
        <f t="shared" si="2"/>
        <v>0</v>
      </c>
      <c r="AP13" s="778" t="s">
        <v>338</v>
      </c>
      <c r="AQ13" s="193">
        <f>COUNTIF($P$7:$P$116,24)+COUNTIF($U$7:$U$116,24)</f>
        <v>0</v>
      </c>
      <c r="AV13" s="912" t="s">
        <v>453</v>
      </c>
      <c r="AW13" s="911" t="s">
        <v>454</v>
      </c>
      <c r="AX13" s="748"/>
      <c r="AY13" s="748"/>
      <c r="AZ13" s="748"/>
      <c r="BA13" s="1265"/>
      <c r="BB13" s="1265"/>
      <c r="BC13" s="1265"/>
      <c r="BD13" s="1265"/>
      <c r="BE13" s="1265"/>
      <c r="BF13" s="1265"/>
      <c r="BG13" s="1265"/>
    </row>
    <row r="14" spans="1:59">
      <c r="B14" s="773" t="str">
        <f>前年度登録!P11</f>
        <v/>
      </c>
      <c r="E14" s="774">
        <f>前年度登録!E11</f>
        <v>0</v>
      </c>
      <c r="F14" s="532" t="str">
        <f>前年度登録!CM11</f>
        <v/>
      </c>
      <c r="G14" s="990" t="str">
        <f>前年度登録!Z11</f>
        <v/>
      </c>
      <c r="H14" s="532" t="str">
        <f>前年度登録!CM11</f>
        <v/>
      </c>
      <c r="I14" s="185" t="str">
        <f>前年度登録!Y11</f>
        <v/>
      </c>
      <c r="J14" s="943" t="str">
        <f>前年度登録!CN11</f>
        <v/>
      </c>
      <c r="K14" s="891">
        <f>前年度登録!CP11</f>
        <v>0</v>
      </c>
      <c r="L14" s="892" t="str">
        <f>前年度登録!CU11</f>
        <v>00</v>
      </c>
      <c r="M14" s="773" t="str">
        <f>前年度登録!Q11</f>
        <v/>
      </c>
      <c r="N14" s="1258">
        <f>前年度登録!D11</f>
        <v>0</v>
      </c>
      <c r="O14" s="303"/>
      <c r="P14" s="258" t="str">
        <f>IF(O14="","",IF(I14=1,VLOOKUP(O14,男子種目コード!$A$1:$B$33,2,FALSE),IF(I14=2,VLOOKUP(O14,女子種目コード!$A$1:$B$27,2,FALSE))))</f>
        <v/>
      </c>
      <c r="Q14" s="494" t="str">
        <f>IF(O14="","",HLOOKUP(O14,前年度登録!$AH$3:$CH$118,9,FALSE))</f>
        <v/>
      </c>
      <c r="R14" s="624" t="str">
        <f t="shared" si="3"/>
        <v/>
      </c>
      <c r="S14" s="625" t="str">
        <f t="shared" si="4"/>
        <v/>
      </c>
      <c r="T14" s="303"/>
      <c r="U14" s="258" t="str">
        <f>IF(T14="","",IF(I14=1,VLOOKUP(T14,男子種目コード!$A$1:$B$33,2,FALSE),IF(I14=2,VLOOKUP(T14,女子種目コード!$A$1:$B$27,2,FALSE))))</f>
        <v/>
      </c>
      <c r="V14" s="540" t="str">
        <f>IF(T14="","",HLOOKUP(T14,前年度登録!$AH$3:$CH$118,9,FALSE))</f>
        <v/>
      </c>
      <c r="W14" s="620" t="str">
        <f t="shared" si="5"/>
        <v/>
      </c>
      <c r="X14" s="625" t="str">
        <f t="shared" si="6"/>
        <v/>
      </c>
      <c r="Y14" s="158"/>
      <c r="Z14" s="163"/>
      <c r="AA14" s="161"/>
      <c r="AB14" s="164"/>
      <c r="AC14" s="165"/>
      <c r="AD14" s="157"/>
      <c r="AE14" s="158"/>
      <c r="AF14" s="159"/>
      <c r="AG14" s="162"/>
      <c r="AH14" s="657"/>
      <c r="AI14" s="657"/>
      <c r="AK14" s="779" t="s">
        <v>245</v>
      </c>
      <c r="AL14" s="769" t="str">
        <f t="shared" si="0"/>
        <v/>
      </c>
      <c r="AM14" s="721">
        <f t="shared" si="1"/>
        <v>0</v>
      </c>
      <c r="AN14" s="721">
        <f t="shared" si="2"/>
        <v>0</v>
      </c>
      <c r="AP14" s="778" t="s">
        <v>506</v>
      </c>
      <c r="AQ14" s="193">
        <f>COUNTIF($P$7:$P$116,28)+COUNTIF($U$7:$U$116,28)</f>
        <v>0</v>
      </c>
      <c r="AT14" s="721"/>
      <c r="AU14" s="721"/>
      <c r="AV14" s="912" t="s">
        <v>455</v>
      </c>
      <c r="AW14" s="912" t="s">
        <v>455</v>
      </c>
      <c r="AX14" s="748"/>
      <c r="AY14" s="748"/>
      <c r="AZ14" s="748"/>
      <c r="BA14" s="1265"/>
      <c r="BB14" s="1265"/>
      <c r="BC14" s="1265"/>
      <c r="BD14" s="1265"/>
      <c r="BE14" s="1265"/>
      <c r="BF14" s="1265"/>
      <c r="BG14" s="1265"/>
    </row>
    <row r="15" spans="1:59">
      <c r="B15" s="773" t="str">
        <f>前年度登録!P12</f>
        <v/>
      </c>
      <c r="E15" s="774">
        <f>前年度登録!E12</f>
        <v>0</v>
      </c>
      <c r="F15" s="532" t="str">
        <f>前年度登録!CM12</f>
        <v/>
      </c>
      <c r="G15" s="990" t="str">
        <f>前年度登録!Z12</f>
        <v/>
      </c>
      <c r="H15" s="532" t="str">
        <f>前年度登録!CM12</f>
        <v/>
      </c>
      <c r="I15" s="185" t="str">
        <f>前年度登録!Y12</f>
        <v/>
      </c>
      <c r="J15" s="943" t="str">
        <f>前年度登録!CN12</f>
        <v/>
      </c>
      <c r="K15" s="891">
        <f>前年度登録!CP12</f>
        <v>0</v>
      </c>
      <c r="L15" s="892" t="str">
        <f>前年度登録!CU12</f>
        <v>00</v>
      </c>
      <c r="M15" s="773" t="str">
        <f>前年度登録!Q12</f>
        <v/>
      </c>
      <c r="N15" s="1258">
        <f>前年度登録!D12</f>
        <v>0</v>
      </c>
      <c r="O15" s="303"/>
      <c r="P15" s="258" t="str">
        <f>IF(O15="","",IF(I15=1,VLOOKUP(O15,男子種目コード!$A$1:$B$33,2,FALSE),IF(I15=2,VLOOKUP(O15,女子種目コード!$A$1:$B$27,2,FALSE))))</f>
        <v/>
      </c>
      <c r="Q15" s="494" t="str">
        <f>IF(O15="","",HLOOKUP(O15,前年度登録!$AH$3:$CH$118,10,FALSE))</f>
        <v/>
      </c>
      <c r="R15" s="624" t="str">
        <f t="shared" si="3"/>
        <v/>
      </c>
      <c r="S15" s="625" t="str">
        <f t="shared" si="4"/>
        <v/>
      </c>
      <c r="T15" s="303"/>
      <c r="U15" s="258" t="str">
        <f>IF(T15="","",IF(I15=1,VLOOKUP(T15,男子種目コード!$A$1:$B$33,2,FALSE),IF(I15=2,VLOOKUP(T15,女子種目コード!$A$1:$B$27,2,FALSE))))</f>
        <v/>
      </c>
      <c r="V15" s="540" t="str">
        <f>IF(T15="","",HLOOKUP(T15,前年度登録!$AH$3:$CH$118,10,FALSE))</f>
        <v/>
      </c>
      <c r="W15" s="620" t="str">
        <f t="shared" si="5"/>
        <v/>
      </c>
      <c r="X15" s="625" t="str">
        <f t="shared" si="6"/>
        <v/>
      </c>
      <c r="Y15" s="158"/>
      <c r="Z15" s="163"/>
      <c r="AA15" s="161"/>
      <c r="AB15" s="164"/>
      <c r="AC15" s="165"/>
      <c r="AD15" s="157"/>
      <c r="AE15" s="158"/>
      <c r="AF15" s="159"/>
      <c r="AG15" s="162"/>
      <c r="AH15" s="657"/>
      <c r="AI15" s="657"/>
      <c r="AK15" s="779" t="s">
        <v>246</v>
      </c>
      <c r="AL15" s="769" t="str">
        <f t="shared" si="0"/>
        <v/>
      </c>
      <c r="AM15" s="721">
        <f t="shared" si="1"/>
        <v>0</v>
      </c>
      <c r="AN15" s="721">
        <f t="shared" si="2"/>
        <v>0</v>
      </c>
      <c r="AP15" s="776">
        <v>5000</v>
      </c>
      <c r="AQ15" s="193">
        <f>COUNTIF($P$7:$P$116,6)+COUNTIF($U$7:$U$116,6)</f>
        <v>0</v>
      </c>
      <c r="AT15" s="721"/>
      <c r="AU15" s="721"/>
      <c r="AV15" s="912" t="s">
        <v>456</v>
      </c>
      <c r="AW15" s="912" t="s">
        <v>456</v>
      </c>
      <c r="AX15" s="748"/>
      <c r="AY15" s="748"/>
      <c r="AZ15" s="748"/>
      <c r="BA15" s="1265"/>
      <c r="BB15" s="1265"/>
      <c r="BC15" s="1265"/>
      <c r="BD15" s="1265"/>
      <c r="BE15" s="1265"/>
      <c r="BF15" s="1265"/>
      <c r="BG15" s="1265"/>
    </row>
    <row r="16" spans="1:59">
      <c r="B16" s="773" t="str">
        <f>前年度登録!P13</f>
        <v/>
      </c>
      <c r="E16" s="774">
        <f>前年度登録!E13</f>
        <v>0</v>
      </c>
      <c r="F16" s="532" t="str">
        <f>前年度登録!CM13</f>
        <v/>
      </c>
      <c r="G16" s="990" t="str">
        <f>前年度登録!Z13</f>
        <v/>
      </c>
      <c r="H16" s="532" t="str">
        <f>前年度登録!CM13</f>
        <v/>
      </c>
      <c r="I16" s="185" t="str">
        <f>前年度登録!Y13</f>
        <v/>
      </c>
      <c r="J16" s="943" t="str">
        <f>前年度登録!CN13</f>
        <v/>
      </c>
      <c r="K16" s="891">
        <f>前年度登録!CP13</f>
        <v>0</v>
      </c>
      <c r="L16" s="892" t="str">
        <f>前年度登録!CU13</f>
        <v>00</v>
      </c>
      <c r="M16" s="773" t="str">
        <f>前年度登録!Q13</f>
        <v/>
      </c>
      <c r="N16" s="1258">
        <f>前年度登録!D13</f>
        <v>0</v>
      </c>
      <c r="O16" s="303"/>
      <c r="P16" s="258" t="str">
        <f>IF(O16="","",IF(I16=1,VLOOKUP(O16,男子種目コード!$A$1:$B$33,2,FALSE),IF(I16=2,VLOOKUP(O16,女子種目コード!$A$1:$B$27,2,FALSE))))</f>
        <v/>
      </c>
      <c r="Q16" s="494" t="str">
        <f>IF(O16="","",HLOOKUP(O16,前年度登録!$AH$3:$CH$118,11,FALSE))</f>
        <v/>
      </c>
      <c r="R16" s="624" t="str">
        <f t="shared" si="3"/>
        <v/>
      </c>
      <c r="S16" s="625" t="str">
        <f t="shared" si="4"/>
        <v/>
      </c>
      <c r="T16" s="303"/>
      <c r="U16" s="258" t="str">
        <f>IF(T16="","",IF(I16=1,VLOOKUP(T16,男子種目コード!$A$1:$B$33,2,FALSE),IF(I16=2,VLOOKUP(T16,女子種目コード!$A$1:$B$27,2,FALSE))))</f>
        <v/>
      </c>
      <c r="V16" s="540" t="str">
        <f>IF(T16="","",HLOOKUP(T16,前年度登録!$AH$3:$CH$118,11,FALSE))</f>
        <v/>
      </c>
      <c r="W16" s="620" t="str">
        <f t="shared" si="5"/>
        <v/>
      </c>
      <c r="X16" s="625" t="str">
        <f t="shared" si="6"/>
        <v/>
      </c>
      <c r="Y16" s="158"/>
      <c r="Z16" s="163"/>
      <c r="AA16" s="161"/>
      <c r="AB16" s="164"/>
      <c r="AC16" s="165"/>
      <c r="AD16" s="157"/>
      <c r="AE16" s="158"/>
      <c r="AF16" s="159"/>
      <c r="AG16" s="162"/>
      <c r="AH16" s="657"/>
      <c r="AI16" s="657"/>
      <c r="AK16" s="779" t="s">
        <v>247</v>
      </c>
      <c r="AL16" s="769" t="str">
        <f t="shared" si="0"/>
        <v/>
      </c>
      <c r="AM16" s="721">
        <f t="shared" si="1"/>
        <v>0</v>
      </c>
      <c r="AN16" s="721">
        <f t="shared" si="2"/>
        <v>0</v>
      </c>
      <c r="AP16" s="776">
        <v>10000</v>
      </c>
      <c r="AQ16" s="193">
        <f>COUNTIF($P$7:$P$116,7)+COUNTIF($U$7:$U$116,7)</f>
        <v>0</v>
      </c>
      <c r="AT16" s="721"/>
      <c r="AU16" s="721"/>
      <c r="AV16" s="912" t="s">
        <v>457</v>
      </c>
      <c r="AW16" s="912" t="s">
        <v>457</v>
      </c>
      <c r="AX16" s="748"/>
      <c r="AY16" s="748"/>
      <c r="AZ16" s="748"/>
      <c r="BA16" s="1265"/>
      <c r="BB16" s="1265"/>
      <c r="BC16" s="1265"/>
      <c r="BD16" s="1265"/>
      <c r="BE16" s="1265"/>
      <c r="BF16" s="1265"/>
      <c r="BG16" s="1265"/>
    </row>
    <row r="17" spans="2:59">
      <c r="B17" s="773" t="str">
        <f>前年度登録!P14</f>
        <v/>
      </c>
      <c r="E17" s="774">
        <f>前年度登録!E14</f>
        <v>0</v>
      </c>
      <c r="F17" s="532" t="str">
        <f>前年度登録!CM14</f>
        <v/>
      </c>
      <c r="G17" s="990" t="str">
        <f>前年度登録!Z14</f>
        <v/>
      </c>
      <c r="H17" s="532" t="str">
        <f>前年度登録!CM14</f>
        <v/>
      </c>
      <c r="I17" s="185" t="str">
        <f>前年度登録!Y14</f>
        <v/>
      </c>
      <c r="J17" s="943" t="str">
        <f>前年度登録!CN14</f>
        <v/>
      </c>
      <c r="K17" s="891">
        <f>前年度登録!CP14</f>
        <v>0</v>
      </c>
      <c r="L17" s="892" t="str">
        <f>前年度登録!CU14</f>
        <v>00</v>
      </c>
      <c r="M17" s="773" t="str">
        <f>前年度登録!Q14</f>
        <v/>
      </c>
      <c r="N17" s="1258">
        <f>前年度登録!D14</f>
        <v>0</v>
      </c>
      <c r="O17" s="303"/>
      <c r="P17" s="258" t="str">
        <f>IF(O17="","",IF(I17=1,VLOOKUP(O17,男子種目コード!$A$1:$B$33,2,FALSE),IF(I17=2,VLOOKUP(O17,女子種目コード!$A$1:$B$27,2,FALSE))))</f>
        <v/>
      </c>
      <c r="Q17" s="494" t="str">
        <f>IF(O17="","",HLOOKUP(O17,前年度登録!$AH$3:$CH$118,12,FALSE))</f>
        <v/>
      </c>
      <c r="R17" s="624" t="str">
        <f t="shared" si="3"/>
        <v/>
      </c>
      <c r="S17" s="625" t="str">
        <f t="shared" si="4"/>
        <v/>
      </c>
      <c r="T17" s="303"/>
      <c r="U17" s="258" t="str">
        <f>IF(T17="","",IF(I17=1,VLOOKUP(T17,男子種目コード!$A$1:$B$33,2,FALSE),IF(I17=2,VLOOKUP(T17,女子種目コード!$A$1:$B$27,2,FALSE))))</f>
        <v/>
      </c>
      <c r="V17" s="540" t="str">
        <f>IF(T17="","",HLOOKUP(T17,前年度登録!$AH$3:$CH$118,12,FALSE))</f>
        <v/>
      </c>
      <c r="W17" s="620" t="str">
        <f t="shared" si="5"/>
        <v/>
      </c>
      <c r="X17" s="625" t="str">
        <f t="shared" si="6"/>
        <v/>
      </c>
      <c r="Y17" s="158"/>
      <c r="Z17" s="163"/>
      <c r="AA17" s="161"/>
      <c r="AB17" s="164"/>
      <c r="AC17" s="165"/>
      <c r="AD17" s="157"/>
      <c r="AE17" s="158"/>
      <c r="AF17" s="159"/>
      <c r="AG17" s="162"/>
      <c r="AH17" s="657"/>
      <c r="AI17" s="657"/>
      <c r="AK17" s="779" t="s">
        <v>248</v>
      </c>
      <c r="AL17" s="769" t="str">
        <f t="shared" si="0"/>
        <v/>
      </c>
      <c r="AM17" s="721">
        <f t="shared" si="1"/>
        <v>0</v>
      </c>
      <c r="AN17" s="721">
        <f t="shared" si="2"/>
        <v>0</v>
      </c>
      <c r="AP17" s="778" t="s">
        <v>263</v>
      </c>
      <c r="AQ17" s="193">
        <f>COUNTIF($P$7:$P$116,8)+COUNTIF($U$7:$U$116,8)</f>
        <v>0</v>
      </c>
      <c r="AV17" s="912" t="s">
        <v>16</v>
      </c>
      <c r="AW17" s="912" t="s">
        <v>16</v>
      </c>
      <c r="AX17" s="748"/>
      <c r="AY17" s="748"/>
      <c r="AZ17" s="748"/>
      <c r="BA17" s="1265"/>
      <c r="BB17" s="1265"/>
      <c r="BC17" s="1265"/>
      <c r="BD17" s="1265"/>
      <c r="BE17" s="1265"/>
      <c r="BF17" s="1265"/>
      <c r="BG17" s="1265"/>
    </row>
    <row r="18" spans="2:59">
      <c r="B18" s="773" t="str">
        <f>前年度登録!P15</f>
        <v/>
      </c>
      <c r="E18" s="774">
        <f>前年度登録!E15</f>
        <v>0</v>
      </c>
      <c r="F18" s="532" t="str">
        <f>前年度登録!CM15</f>
        <v/>
      </c>
      <c r="G18" s="990" t="str">
        <f>前年度登録!Z15</f>
        <v/>
      </c>
      <c r="H18" s="532" t="str">
        <f>前年度登録!CM15</f>
        <v/>
      </c>
      <c r="I18" s="185" t="str">
        <f>前年度登録!Y15</f>
        <v/>
      </c>
      <c r="J18" s="943" t="str">
        <f>前年度登録!CN15</f>
        <v/>
      </c>
      <c r="K18" s="891">
        <f>前年度登録!CP15</f>
        <v>0</v>
      </c>
      <c r="L18" s="892" t="str">
        <f>前年度登録!CU15</f>
        <v>00</v>
      </c>
      <c r="M18" s="773" t="str">
        <f>前年度登録!Q15</f>
        <v/>
      </c>
      <c r="N18" s="1258">
        <f>前年度登録!D15</f>
        <v>0</v>
      </c>
      <c r="O18" s="303"/>
      <c r="P18" s="258" t="str">
        <f>IF(O18="","",IF(I18=1,VLOOKUP(O18,男子種目コード!$A$1:$B$33,2,FALSE),IF(I18=2,VLOOKUP(O18,女子種目コード!$A$1:$B$27,2,FALSE))))</f>
        <v/>
      </c>
      <c r="Q18" s="494" t="str">
        <f>IF(O18="","",HLOOKUP(O18,前年度登録!$AH$3:$CH$118,13,FALSE))</f>
        <v/>
      </c>
      <c r="R18" s="624" t="str">
        <f t="shared" si="3"/>
        <v/>
      </c>
      <c r="S18" s="625" t="str">
        <f t="shared" si="4"/>
        <v/>
      </c>
      <c r="T18" s="303"/>
      <c r="U18" s="258" t="str">
        <f>IF(T18="","",IF(I18=1,VLOOKUP(T18,男子種目コード!$A$1:$B$33,2,FALSE),IF(I18=2,VLOOKUP(T18,女子種目コード!$A$1:$B$27,2,FALSE))))</f>
        <v/>
      </c>
      <c r="V18" s="540" t="str">
        <f>IF(T18="","",HLOOKUP(T18,前年度登録!$AH$3:$CH$118,13,FALSE))</f>
        <v/>
      </c>
      <c r="W18" s="620" t="str">
        <f t="shared" si="5"/>
        <v/>
      </c>
      <c r="X18" s="625" t="str">
        <f t="shared" si="6"/>
        <v/>
      </c>
      <c r="Y18" s="158"/>
      <c r="Z18" s="163"/>
      <c r="AA18" s="161"/>
      <c r="AB18" s="164"/>
      <c r="AC18" s="165"/>
      <c r="AD18" s="157"/>
      <c r="AE18" s="158"/>
      <c r="AF18" s="159"/>
      <c r="AG18" s="162"/>
      <c r="AH18" s="657"/>
      <c r="AI18" s="657"/>
      <c r="AK18" s="779" t="s">
        <v>16</v>
      </c>
      <c r="AL18" s="769" t="str">
        <f t="shared" si="0"/>
        <v/>
      </c>
      <c r="AM18" s="721">
        <f t="shared" si="1"/>
        <v>0</v>
      </c>
      <c r="AN18" s="721">
        <f t="shared" si="2"/>
        <v>0</v>
      </c>
      <c r="AP18" s="778" t="s">
        <v>264</v>
      </c>
      <c r="AQ18" s="193">
        <f>COUNTIF($P$7:$P$116,9)+COUNTIF($U$7:$U$116,9)</f>
        <v>0</v>
      </c>
      <c r="AV18" s="912" t="s">
        <v>20</v>
      </c>
      <c r="AW18" s="912" t="s">
        <v>20</v>
      </c>
      <c r="AX18" s="748"/>
      <c r="AY18" s="748"/>
      <c r="AZ18" s="748"/>
      <c r="BA18" s="1265"/>
      <c r="BB18" s="1265"/>
      <c r="BC18" s="1265"/>
      <c r="BD18" s="1265"/>
      <c r="BE18" s="1265"/>
      <c r="BF18" s="1265"/>
      <c r="BG18" s="1265"/>
    </row>
    <row r="19" spans="2:59">
      <c r="B19" s="773" t="str">
        <f>前年度登録!P16</f>
        <v/>
      </c>
      <c r="E19" s="774">
        <f>前年度登録!E16</f>
        <v>0</v>
      </c>
      <c r="F19" s="532" t="str">
        <f>前年度登録!CM16</f>
        <v/>
      </c>
      <c r="G19" s="990" t="str">
        <f>前年度登録!Z16</f>
        <v/>
      </c>
      <c r="H19" s="532" t="str">
        <f>前年度登録!CM16</f>
        <v/>
      </c>
      <c r="I19" s="185" t="str">
        <f>前年度登録!Y16</f>
        <v/>
      </c>
      <c r="J19" s="943" t="str">
        <f>前年度登録!CN16</f>
        <v/>
      </c>
      <c r="K19" s="891">
        <f>前年度登録!CP16</f>
        <v>0</v>
      </c>
      <c r="L19" s="892" t="str">
        <f>前年度登録!CU16</f>
        <v>00</v>
      </c>
      <c r="M19" s="773" t="str">
        <f>前年度登録!Q16</f>
        <v/>
      </c>
      <c r="N19" s="1258">
        <f>前年度登録!D16</f>
        <v>0</v>
      </c>
      <c r="O19" s="303"/>
      <c r="P19" s="258" t="str">
        <f>IF(O19="","",IF(I19=1,VLOOKUP(O19,男子種目コード!$A$1:$B$33,2,FALSE),IF(I19=2,VLOOKUP(O19,女子種目コード!$A$1:$B$27,2,FALSE))))</f>
        <v/>
      </c>
      <c r="Q19" s="494" t="str">
        <f>IF(O19="","",HLOOKUP(O19,前年度登録!$AH$3:$CH$118,14,FALSE))</f>
        <v/>
      </c>
      <c r="R19" s="624" t="str">
        <f t="shared" si="3"/>
        <v/>
      </c>
      <c r="S19" s="625" t="str">
        <f t="shared" si="4"/>
        <v/>
      </c>
      <c r="T19" s="303"/>
      <c r="U19" s="258" t="str">
        <f>IF(T19="","",IF(I19=1,VLOOKUP(T19,男子種目コード!$A$1:$B$33,2,FALSE),IF(I19=2,VLOOKUP(T19,女子種目コード!$A$1:$B$27,2,FALSE))))</f>
        <v/>
      </c>
      <c r="V19" s="540" t="str">
        <f>IF(T19="","",HLOOKUP(T19,前年度登録!$AH$3:$CH$118,14,FALSE))</f>
        <v/>
      </c>
      <c r="W19" s="620" t="str">
        <f t="shared" si="5"/>
        <v/>
      </c>
      <c r="X19" s="625" t="str">
        <f t="shared" si="6"/>
        <v/>
      </c>
      <c r="Y19" s="158"/>
      <c r="Z19" s="163"/>
      <c r="AA19" s="161"/>
      <c r="AB19" s="164"/>
      <c r="AC19" s="165"/>
      <c r="AD19" s="157"/>
      <c r="AE19" s="158"/>
      <c r="AF19" s="159"/>
      <c r="AG19" s="162"/>
      <c r="AH19" s="657"/>
      <c r="AI19" s="657"/>
      <c r="AK19" s="779" t="s">
        <v>20</v>
      </c>
      <c r="AL19" s="769" t="str">
        <f t="shared" si="0"/>
        <v/>
      </c>
      <c r="AM19" s="721">
        <f t="shared" si="1"/>
        <v>0</v>
      </c>
      <c r="AN19" s="721">
        <f t="shared" si="2"/>
        <v>0</v>
      </c>
      <c r="AP19" s="778" t="s">
        <v>265</v>
      </c>
      <c r="AQ19" s="193">
        <f>COUNTIF($P$7:$P$116,10)+COUNTIF($U$7:$U$116,10)</f>
        <v>0</v>
      </c>
      <c r="AV19" s="912" t="s">
        <v>19</v>
      </c>
      <c r="AW19" s="912" t="s">
        <v>19</v>
      </c>
      <c r="AX19" s="748"/>
      <c r="AY19" s="748"/>
      <c r="AZ19" s="748"/>
      <c r="BA19" s="1265"/>
      <c r="BB19" s="1265"/>
      <c r="BC19" s="1265"/>
      <c r="BD19" s="1265"/>
      <c r="BE19" s="1265"/>
      <c r="BF19" s="1265"/>
      <c r="BG19" s="1265"/>
    </row>
    <row r="20" spans="2:59">
      <c r="B20" s="773" t="str">
        <f>前年度登録!P17</f>
        <v/>
      </c>
      <c r="E20" s="774">
        <f>前年度登録!E17</f>
        <v>0</v>
      </c>
      <c r="F20" s="532" t="str">
        <f>前年度登録!CM17</f>
        <v/>
      </c>
      <c r="G20" s="990" t="str">
        <f>前年度登録!Z17</f>
        <v/>
      </c>
      <c r="H20" s="532" t="str">
        <f>前年度登録!CM17</f>
        <v/>
      </c>
      <c r="I20" s="185" t="str">
        <f>前年度登録!Y17</f>
        <v/>
      </c>
      <c r="J20" s="943" t="str">
        <f>前年度登録!CN17</f>
        <v/>
      </c>
      <c r="K20" s="891">
        <f>前年度登録!CP17</f>
        <v>0</v>
      </c>
      <c r="L20" s="892" t="str">
        <f>前年度登録!CU17</f>
        <v>00</v>
      </c>
      <c r="M20" s="773" t="str">
        <f>前年度登録!Q17</f>
        <v/>
      </c>
      <c r="N20" s="1258">
        <f>前年度登録!D17</f>
        <v>0</v>
      </c>
      <c r="O20" s="303"/>
      <c r="P20" s="258" t="str">
        <f>IF(O20="","",IF(I20=1,VLOOKUP(O20,男子種目コード!$A$1:$B$33,2,FALSE),IF(I20=2,VLOOKUP(O20,女子種目コード!$A$1:$B$27,2,FALSE))))</f>
        <v/>
      </c>
      <c r="Q20" s="494" t="str">
        <f>IF(O20="","",HLOOKUP(O20,前年度登録!$AH$3:$CH$118,15,FALSE))</f>
        <v/>
      </c>
      <c r="R20" s="624" t="str">
        <f t="shared" si="3"/>
        <v/>
      </c>
      <c r="S20" s="625" t="str">
        <f t="shared" si="4"/>
        <v/>
      </c>
      <c r="T20" s="303"/>
      <c r="U20" s="258" t="str">
        <f>IF(T20="","",IF(I20=1,VLOOKUP(T20,男子種目コード!$A$1:$B$33,2,FALSE),IF(I20=2,VLOOKUP(T20,女子種目コード!$A$1:$B$27,2,FALSE))))</f>
        <v/>
      </c>
      <c r="V20" s="540" t="str">
        <f>IF(T20="","",HLOOKUP(T20,前年度登録!$AH$3:$CH$118,15,FALSE))</f>
        <v/>
      </c>
      <c r="W20" s="620" t="str">
        <f t="shared" si="5"/>
        <v/>
      </c>
      <c r="X20" s="625" t="str">
        <f t="shared" si="6"/>
        <v/>
      </c>
      <c r="Y20" s="158"/>
      <c r="Z20" s="163"/>
      <c r="AA20" s="161"/>
      <c r="AB20" s="164"/>
      <c r="AC20" s="165"/>
      <c r="AD20" s="157"/>
      <c r="AE20" s="158"/>
      <c r="AF20" s="159"/>
      <c r="AG20" s="162"/>
      <c r="AH20" s="657"/>
      <c r="AI20" s="657"/>
      <c r="AK20" s="779" t="s">
        <v>19</v>
      </c>
      <c r="AL20" s="769" t="str">
        <f t="shared" si="0"/>
        <v/>
      </c>
      <c r="AM20" s="721">
        <f t="shared" si="1"/>
        <v>0</v>
      </c>
      <c r="AN20" s="721">
        <f t="shared" si="2"/>
        <v>0</v>
      </c>
      <c r="AP20" s="778" t="s">
        <v>266</v>
      </c>
      <c r="AQ20" s="193">
        <f>COUNTIF($P$7:$P$116,12)+COUNTIF($U$7:$U$116,12)</f>
        <v>0</v>
      </c>
      <c r="AV20" s="912" t="s">
        <v>23</v>
      </c>
      <c r="AW20" s="912" t="s">
        <v>23</v>
      </c>
      <c r="AX20" s="748"/>
      <c r="AY20" s="748"/>
      <c r="AZ20" s="748"/>
      <c r="BA20" s="1265"/>
      <c r="BB20" s="1265"/>
      <c r="BC20" s="1265"/>
      <c r="BD20" s="1265"/>
      <c r="BE20" s="1265"/>
      <c r="BF20" s="1265"/>
      <c r="BG20" s="1265"/>
    </row>
    <row r="21" spans="2:59">
      <c r="B21" s="773" t="str">
        <f>前年度登録!P18</f>
        <v/>
      </c>
      <c r="E21" s="774">
        <f>前年度登録!E18</f>
        <v>0</v>
      </c>
      <c r="F21" s="532" t="str">
        <f>前年度登録!CM18</f>
        <v/>
      </c>
      <c r="G21" s="990" t="str">
        <f>前年度登録!Z18</f>
        <v/>
      </c>
      <c r="H21" s="532" t="str">
        <f>前年度登録!CM18</f>
        <v/>
      </c>
      <c r="I21" s="185" t="str">
        <f>前年度登録!Y18</f>
        <v/>
      </c>
      <c r="J21" s="943" t="str">
        <f>前年度登録!CN18</f>
        <v/>
      </c>
      <c r="K21" s="891">
        <f>前年度登録!CP18</f>
        <v>0</v>
      </c>
      <c r="L21" s="892" t="str">
        <f>前年度登録!CU18</f>
        <v>00</v>
      </c>
      <c r="M21" s="773" t="str">
        <f>前年度登録!Q18</f>
        <v/>
      </c>
      <c r="N21" s="1258">
        <f>前年度登録!D18</f>
        <v>0</v>
      </c>
      <c r="O21" s="303"/>
      <c r="P21" s="258" t="str">
        <f>IF(O21="","",IF(I21=1,VLOOKUP(O21,男子種目コード!$A$1:$B$33,2,FALSE),IF(I21=2,VLOOKUP(O21,女子種目コード!$A$1:$B$27,2,FALSE))))</f>
        <v/>
      </c>
      <c r="Q21" s="494" t="str">
        <f>IF(O21="","",HLOOKUP(O21,前年度登録!$AH$3:$CH$118,16,FALSE))</f>
        <v/>
      </c>
      <c r="R21" s="624" t="str">
        <f t="shared" si="3"/>
        <v/>
      </c>
      <c r="S21" s="625" t="str">
        <f t="shared" si="4"/>
        <v/>
      </c>
      <c r="T21" s="303"/>
      <c r="U21" s="258" t="str">
        <f>IF(T21="","",IF(I21=1,VLOOKUP(T21,男子種目コード!$A$1:$B$33,2,FALSE),IF(I21=2,VLOOKUP(T21,女子種目コード!$A$1:$B$27,2,FALSE))))</f>
        <v/>
      </c>
      <c r="V21" s="540" t="str">
        <f>IF(T21="","",HLOOKUP(T21,前年度登録!$AH$3:$CH$118,16,FALSE))</f>
        <v/>
      </c>
      <c r="W21" s="620" t="str">
        <f t="shared" si="5"/>
        <v/>
      </c>
      <c r="X21" s="625" t="str">
        <f t="shared" si="6"/>
        <v/>
      </c>
      <c r="Y21" s="158"/>
      <c r="Z21" s="163"/>
      <c r="AA21" s="161"/>
      <c r="AB21" s="164"/>
      <c r="AC21" s="165"/>
      <c r="AD21" s="157"/>
      <c r="AE21" s="158"/>
      <c r="AF21" s="159"/>
      <c r="AG21" s="162"/>
      <c r="AH21" s="657"/>
      <c r="AI21" s="657"/>
      <c r="AK21" s="779" t="s">
        <v>23</v>
      </c>
      <c r="AL21" s="769" t="str">
        <f t="shared" si="0"/>
        <v/>
      </c>
      <c r="AM21" s="721">
        <f t="shared" si="1"/>
        <v>0</v>
      </c>
      <c r="AN21" s="721">
        <f t="shared" si="2"/>
        <v>0</v>
      </c>
      <c r="AP21" s="778" t="s">
        <v>16</v>
      </c>
      <c r="AQ21" s="193">
        <f>COUNTIF($P$7:$P$116,15)+COUNTIF($U$7:$U$116,15)</f>
        <v>0</v>
      </c>
      <c r="AV21" s="912" t="s">
        <v>24</v>
      </c>
      <c r="AW21" s="912" t="s">
        <v>24</v>
      </c>
      <c r="AX21" s="748"/>
      <c r="AY21" s="748"/>
      <c r="AZ21" s="748"/>
      <c r="BA21" s="1265"/>
      <c r="BB21" s="1265"/>
      <c r="BC21" s="1265"/>
      <c r="BD21" s="1265"/>
      <c r="BE21" s="1265"/>
      <c r="BF21" s="1265"/>
      <c r="BG21" s="1265"/>
    </row>
    <row r="22" spans="2:59">
      <c r="B22" s="773" t="str">
        <f>前年度登録!P19</f>
        <v/>
      </c>
      <c r="E22" s="774">
        <f>前年度登録!E19</f>
        <v>0</v>
      </c>
      <c r="F22" s="532" t="str">
        <f>前年度登録!CM19</f>
        <v/>
      </c>
      <c r="G22" s="990" t="str">
        <f>前年度登録!Z19</f>
        <v/>
      </c>
      <c r="H22" s="532" t="str">
        <f>前年度登録!CM19</f>
        <v/>
      </c>
      <c r="I22" s="185" t="str">
        <f>前年度登録!Y19</f>
        <v/>
      </c>
      <c r="J22" s="943" t="str">
        <f>前年度登録!CN19</f>
        <v/>
      </c>
      <c r="K22" s="891">
        <f>前年度登録!CP19</f>
        <v>0</v>
      </c>
      <c r="L22" s="892" t="str">
        <f>前年度登録!CU19</f>
        <v>00</v>
      </c>
      <c r="M22" s="773" t="str">
        <f>前年度登録!Q19</f>
        <v/>
      </c>
      <c r="N22" s="1258">
        <f>前年度登録!D19</f>
        <v>0</v>
      </c>
      <c r="O22" s="303"/>
      <c r="P22" s="258" t="str">
        <f>IF(O22="","",IF(I22=1,VLOOKUP(O22,男子種目コード!$A$1:$B$33,2,FALSE),IF(I22=2,VLOOKUP(O22,女子種目コード!$A$1:$B$27,2,FALSE))))</f>
        <v/>
      </c>
      <c r="Q22" s="494" t="str">
        <f>IF(O22="","",HLOOKUP(O22,前年度登録!$AH$3:$CH$118,17,FALSE))</f>
        <v/>
      </c>
      <c r="R22" s="624" t="str">
        <f t="shared" si="3"/>
        <v/>
      </c>
      <c r="S22" s="625" t="str">
        <f t="shared" si="4"/>
        <v/>
      </c>
      <c r="T22" s="303"/>
      <c r="U22" s="258" t="str">
        <f>IF(T22="","",IF(I22=1,VLOOKUP(T22,男子種目コード!$A$1:$B$33,2,FALSE),IF(I22=2,VLOOKUP(T22,女子種目コード!$A$1:$B$27,2,FALSE))))</f>
        <v/>
      </c>
      <c r="V22" s="540" t="str">
        <f>IF(T22="","",HLOOKUP(T22,前年度登録!$AH$3:$CH$118,17,FALSE))</f>
        <v/>
      </c>
      <c r="W22" s="620" t="str">
        <f t="shared" si="5"/>
        <v/>
      </c>
      <c r="X22" s="625" t="str">
        <f t="shared" si="6"/>
        <v/>
      </c>
      <c r="Y22" s="158"/>
      <c r="Z22" s="163"/>
      <c r="AA22" s="161"/>
      <c r="AB22" s="164"/>
      <c r="AC22" s="165"/>
      <c r="AD22" s="157"/>
      <c r="AE22" s="158"/>
      <c r="AF22" s="159"/>
      <c r="AG22" s="162"/>
      <c r="AH22" s="657"/>
      <c r="AI22" s="657"/>
      <c r="AK22" s="779" t="s">
        <v>24</v>
      </c>
      <c r="AL22" s="769" t="str">
        <f t="shared" si="0"/>
        <v/>
      </c>
      <c r="AM22" s="721">
        <f t="shared" si="1"/>
        <v>0</v>
      </c>
      <c r="AN22" s="721">
        <f t="shared" si="2"/>
        <v>0</v>
      </c>
      <c r="AP22" s="778" t="s">
        <v>20</v>
      </c>
      <c r="AQ22" s="193">
        <f>COUNTIF($P$7:$P$116,16)+COUNTIF($U$7:$U$116,16)</f>
        <v>0</v>
      </c>
      <c r="AV22" s="912" t="s">
        <v>22</v>
      </c>
      <c r="AW22" s="912" t="s">
        <v>22</v>
      </c>
      <c r="AX22" s="748"/>
      <c r="AY22" s="748"/>
      <c r="AZ22" s="748"/>
      <c r="BA22" s="1265"/>
      <c r="BB22" s="1265"/>
      <c r="BC22" s="1265"/>
      <c r="BD22" s="1265"/>
      <c r="BE22" s="1265"/>
      <c r="BF22" s="1265"/>
      <c r="BG22" s="1265"/>
    </row>
    <row r="23" spans="2:59">
      <c r="B23" s="773" t="str">
        <f>前年度登録!P20</f>
        <v/>
      </c>
      <c r="E23" s="774">
        <f>前年度登録!E20</f>
        <v>0</v>
      </c>
      <c r="F23" s="532" t="str">
        <f>前年度登録!CM20</f>
        <v/>
      </c>
      <c r="G23" s="990" t="str">
        <f>前年度登録!Z20</f>
        <v/>
      </c>
      <c r="H23" s="532" t="str">
        <f>前年度登録!CM20</f>
        <v/>
      </c>
      <c r="I23" s="185" t="str">
        <f>前年度登録!Y20</f>
        <v/>
      </c>
      <c r="J23" s="943" t="str">
        <f>前年度登録!CN20</f>
        <v/>
      </c>
      <c r="K23" s="891">
        <f>前年度登録!CP20</f>
        <v>0</v>
      </c>
      <c r="L23" s="892" t="str">
        <f>前年度登録!CU20</f>
        <v>00</v>
      </c>
      <c r="M23" s="773" t="str">
        <f>前年度登録!Q20</f>
        <v/>
      </c>
      <c r="N23" s="1258">
        <f>前年度登録!D20</f>
        <v>0</v>
      </c>
      <c r="O23" s="303"/>
      <c r="P23" s="258" t="str">
        <f>IF(O23="","",IF(I23=1,VLOOKUP(O23,男子種目コード!$A$1:$B$33,2,FALSE),IF(I23=2,VLOOKUP(O23,女子種目コード!$A$1:$B$27,2,FALSE))))</f>
        <v/>
      </c>
      <c r="Q23" s="494" t="str">
        <f>IF(O23="","",HLOOKUP(O23,前年度登録!$AH$3:$CH$118,18,FALSE))</f>
        <v/>
      </c>
      <c r="R23" s="624" t="str">
        <f t="shared" si="3"/>
        <v/>
      </c>
      <c r="S23" s="625" t="str">
        <f t="shared" si="4"/>
        <v/>
      </c>
      <c r="T23" s="303"/>
      <c r="U23" s="258" t="str">
        <f>IF(T23="","",IF(I23=1,VLOOKUP(T23,男子種目コード!$A$1:$B$33,2,FALSE),IF(I23=2,VLOOKUP(T23,女子種目コード!$A$1:$B$27,2,FALSE))))</f>
        <v/>
      </c>
      <c r="V23" s="540" t="str">
        <f>IF(T23="","",HLOOKUP(T23,前年度登録!$AH$3:$CH$118,18,FALSE))</f>
        <v/>
      </c>
      <c r="W23" s="620" t="str">
        <f t="shared" si="5"/>
        <v/>
      </c>
      <c r="X23" s="625" t="str">
        <f t="shared" si="6"/>
        <v/>
      </c>
      <c r="Y23" s="158"/>
      <c r="Z23" s="163"/>
      <c r="AA23" s="161"/>
      <c r="AB23" s="164"/>
      <c r="AC23" s="165"/>
      <c r="AD23" s="157"/>
      <c r="AE23" s="158"/>
      <c r="AF23" s="159"/>
      <c r="AG23" s="162"/>
      <c r="AH23" s="657"/>
      <c r="AI23" s="657"/>
      <c r="AK23" s="779" t="s">
        <v>22</v>
      </c>
      <c r="AL23" s="769" t="str">
        <f t="shared" si="0"/>
        <v/>
      </c>
      <c r="AM23" s="721">
        <f t="shared" si="1"/>
        <v>0</v>
      </c>
      <c r="AN23" s="721">
        <f t="shared" si="2"/>
        <v>0</v>
      </c>
      <c r="AP23" s="778" t="s">
        <v>19</v>
      </c>
      <c r="AQ23" s="193">
        <f>COUNTIF($P$7:$P$116,17)+COUNTIF($U$7:$U$116,17)</f>
        <v>0</v>
      </c>
      <c r="AV23" s="912" t="s">
        <v>96</v>
      </c>
      <c r="AW23" s="912" t="s">
        <v>96</v>
      </c>
      <c r="AX23" s="748"/>
      <c r="AY23" s="748"/>
      <c r="AZ23" s="748"/>
      <c r="BA23" s="1265"/>
      <c r="BB23" s="1265"/>
      <c r="BC23" s="1265"/>
      <c r="BD23" s="1265"/>
      <c r="BE23" s="1265"/>
      <c r="BF23" s="1265"/>
      <c r="BG23" s="1265"/>
    </row>
    <row r="24" spans="2:59">
      <c r="B24" s="773" t="str">
        <f>前年度登録!P21</f>
        <v/>
      </c>
      <c r="E24" s="774">
        <f>前年度登録!E21</f>
        <v>0</v>
      </c>
      <c r="F24" s="532" t="str">
        <f>前年度登録!CM21</f>
        <v/>
      </c>
      <c r="G24" s="990" t="str">
        <f>前年度登録!Z21</f>
        <v/>
      </c>
      <c r="H24" s="532" t="str">
        <f>前年度登録!CM21</f>
        <v/>
      </c>
      <c r="I24" s="185" t="str">
        <f>前年度登録!Y21</f>
        <v/>
      </c>
      <c r="J24" s="943" t="str">
        <f>前年度登録!CN21</f>
        <v/>
      </c>
      <c r="K24" s="891">
        <f>前年度登録!CP21</f>
        <v>0</v>
      </c>
      <c r="L24" s="892" t="str">
        <f>前年度登録!CU21</f>
        <v>00</v>
      </c>
      <c r="M24" s="773" t="str">
        <f>前年度登録!Q21</f>
        <v/>
      </c>
      <c r="N24" s="1258">
        <f>前年度登録!D21</f>
        <v>0</v>
      </c>
      <c r="O24" s="303"/>
      <c r="P24" s="258" t="str">
        <f>IF(O24="","",IF(I24=1,VLOOKUP(O24,男子種目コード!$A$1:$B$33,2,FALSE),IF(I24=2,VLOOKUP(O24,女子種目コード!$A$1:$B$27,2,FALSE))))</f>
        <v/>
      </c>
      <c r="Q24" s="494" t="str">
        <f>IF(O24="","",HLOOKUP(O24,前年度登録!$AH$3:$CH$118,19,FALSE))</f>
        <v/>
      </c>
      <c r="R24" s="624" t="str">
        <f t="shared" si="3"/>
        <v/>
      </c>
      <c r="S24" s="625" t="str">
        <f t="shared" si="4"/>
        <v/>
      </c>
      <c r="T24" s="303"/>
      <c r="U24" s="258" t="str">
        <f>IF(T24="","",IF(I24=1,VLOOKUP(T24,男子種目コード!$A$1:$B$33,2,FALSE),IF(I24=2,VLOOKUP(T24,女子種目コード!$A$1:$B$27,2,FALSE))))</f>
        <v/>
      </c>
      <c r="V24" s="540" t="str">
        <f>IF(T24="","",HLOOKUP(T24,前年度登録!$AH$3:$CH$118,19,FALSE))</f>
        <v/>
      </c>
      <c r="W24" s="620" t="str">
        <f t="shared" si="5"/>
        <v/>
      </c>
      <c r="X24" s="625" t="str">
        <f t="shared" si="6"/>
        <v/>
      </c>
      <c r="Y24" s="158"/>
      <c r="Z24" s="163"/>
      <c r="AA24" s="161"/>
      <c r="AB24" s="164"/>
      <c r="AC24" s="165"/>
      <c r="AD24" s="157"/>
      <c r="AE24" s="158"/>
      <c r="AF24" s="159"/>
      <c r="AG24" s="162"/>
      <c r="AH24" s="657"/>
      <c r="AI24" s="657"/>
      <c r="AK24" s="779" t="s">
        <v>96</v>
      </c>
      <c r="AL24" s="769" t="str">
        <f t="shared" si="0"/>
        <v/>
      </c>
      <c r="AM24" s="721">
        <f t="shared" si="1"/>
        <v>0</v>
      </c>
      <c r="AN24" s="721">
        <f t="shared" si="2"/>
        <v>0</v>
      </c>
      <c r="AP24" s="778" t="s">
        <v>23</v>
      </c>
      <c r="AQ24" s="193">
        <f>COUNTIF($P$7:$P$116,18)+COUNTIF($U$7:$U$116,18)</f>
        <v>0</v>
      </c>
      <c r="AV24" s="912" t="s">
        <v>98</v>
      </c>
      <c r="AW24" s="912" t="s">
        <v>98</v>
      </c>
      <c r="AX24" s="748"/>
      <c r="AY24" s="748"/>
      <c r="AZ24" s="748"/>
      <c r="BA24" s="1265"/>
      <c r="BB24" s="1265"/>
      <c r="BC24" s="1265"/>
      <c r="BD24" s="1265"/>
      <c r="BE24" s="1265"/>
      <c r="BF24" s="1265"/>
      <c r="BG24" s="1265"/>
    </row>
    <row r="25" spans="2:59">
      <c r="B25" s="773" t="str">
        <f>前年度登録!P22</f>
        <v/>
      </c>
      <c r="E25" s="774">
        <f>前年度登録!E22</f>
        <v>0</v>
      </c>
      <c r="F25" s="532" t="str">
        <f>前年度登録!CM22</f>
        <v/>
      </c>
      <c r="G25" s="990" t="str">
        <f>前年度登録!Z22</f>
        <v/>
      </c>
      <c r="H25" s="532" t="str">
        <f>前年度登録!CM22</f>
        <v/>
      </c>
      <c r="I25" s="185" t="str">
        <f>前年度登録!Y22</f>
        <v/>
      </c>
      <c r="J25" s="943" t="str">
        <f>前年度登録!CN22</f>
        <v/>
      </c>
      <c r="K25" s="891">
        <f>前年度登録!CP22</f>
        <v>0</v>
      </c>
      <c r="L25" s="892" t="str">
        <f>前年度登録!CU22</f>
        <v>00</v>
      </c>
      <c r="M25" s="773" t="str">
        <f>前年度登録!Q22</f>
        <v/>
      </c>
      <c r="N25" s="1258">
        <f>前年度登録!D22</f>
        <v>0</v>
      </c>
      <c r="O25" s="303"/>
      <c r="P25" s="258" t="str">
        <f>IF(O25="","",IF(I25=1,VLOOKUP(O25,男子種目コード!$A$1:$B$33,2,FALSE),IF(I25=2,VLOOKUP(O25,女子種目コード!$A$1:$B$27,2,FALSE))))</f>
        <v/>
      </c>
      <c r="Q25" s="494" t="str">
        <f>IF(O25="","",HLOOKUP(O25,前年度登録!$AH$3:$CH$118,20,FALSE))</f>
        <v/>
      </c>
      <c r="R25" s="624" t="str">
        <f t="shared" si="3"/>
        <v/>
      </c>
      <c r="S25" s="625" t="str">
        <f t="shared" si="4"/>
        <v/>
      </c>
      <c r="T25" s="303"/>
      <c r="U25" s="258" t="str">
        <f>IF(T25="","",IF(I25=1,VLOOKUP(T25,男子種目コード!$A$1:$B$33,2,FALSE),IF(I25=2,VLOOKUP(T25,女子種目コード!$A$1:$B$27,2,FALSE))))</f>
        <v/>
      </c>
      <c r="V25" s="540" t="str">
        <f>IF(T25="","",HLOOKUP(T25,前年度登録!$AH$3:$CH$118,20,FALSE))</f>
        <v/>
      </c>
      <c r="W25" s="620" t="str">
        <f t="shared" si="5"/>
        <v/>
      </c>
      <c r="X25" s="625" t="str">
        <f t="shared" si="6"/>
        <v/>
      </c>
      <c r="Y25" s="158"/>
      <c r="Z25" s="163"/>
      <c r="AA25" s="161"/>
      <c r="AB25" s="164"/>
      <c r="AC25" s="165"/>
      <c r="AD25" s="157"/>
      <c r="AE25" s="158"/>
      <c r="AF25" s="159"/>
      <c r="AG25" s="162"/>
      <c r="AH25" s="657"/>
      <c r="AI25" s="657"/>
      <c r="AK25" s="779" t="s">
        <v>98</v>
      </c>
      <c r="AL25" s="769" t="str">
        <f t="shared" si="0"/>
        <v/>
      </c>
      <c r="AM25" s="721">
        <f t="shared" si="1"/>
        <v>0</v>
      </c>
      <c r="AN25" s="721">
        <f t="shared" si="2"/>
        <v>0</v>
      </c>
      <c r="AP25" s="778" t="s">
        <v>24</v>
      </c>
      <c r="AQ25" s="193">
        <f>COUNTIF($P$7:$P$116,19)+COUNTIF($U$7:$U$116,19)</f>
        <v>0</v>
      </c>
      <c r="AV25" s="912" t="s">
        <v>506</v>
      </c>
      <c r="AW25" s="912" t="s">
        <v>335</v>
      </c>
      <c r="AX25" s="748"/>
      <c r="AY25" s="748"/>
      <c r="AZ25" s="748"/>
      <c r="BA25" s="1265"/>
      <c r="BB25" s="1265"/>
      <c r="BC25" s="1265"/>
      <c r="BD25" s="1265"/>
      <c r="BE25" s="1265"/>
      <c r="BF25" s="1265"/>
      <c r="BG25" s="1265"/>
    </row>
    <row r="26" spans="2:59">
      <c r="B26" s="773" t="str">
        <f>前年度登録!P23</f>
        <v/>
      </c>
      <c r="E26" s="774">
        <f>前年度登録!E23</f>
        <v>0</v>
      </c>
      <c r="F26" s="532" t="str">
        <f>前年度登録!CM23</f>
        <v/>
      </c>
      <c r="G26" s="990" t="str">
        <f>前年度登録!Z23</f>
        <v/>
      </c>
      <c r="H26" s="532" t="str">
        <f>前年度登録!CM23</f>
        <v/>
      </c>
      <c r="I26" s="185" t="str">
        <f>前年度登録!Y23</f>
        <v/>
      </c>
      <c r="J26" s="943" t="str">
        <f>前年度登録!CN23</f>
        <v/>
      </c>
      <c r="K26" s="891">
        <f>前年度登録!CP23</f>
        <v>0</v>
      </c>
      <c r="L26" s="892" t="str">
        <f>前年度登録!CU23</f>
        <v>00</v>
      </c>
      <c r="M26" s="773" t="str">
        <f>前年度登録!Q23</f>
        <v/>
      </c>
      <c r="N26" s="1258">
        <f>前年度登録!D23</f>
        <v>0</v>
      </c>
      <c r="O26" s="303"/>
      <c r="P26" s="258" t="str">
        <f>IF(O26="","",IF(I26=1,VLOOKUP(O26,男子種目コード!$A$1:$B$33,2,FALSE),IF(I26=2,VLOOKUP(O26,女子種目コード!$A$1:$B$27,2,FALSE))))</f>
        <v/>
      </c>
      <c r="Q26" s="494" t="str">
        <f>IF(O26="","",HLOOKUP(O26,前年度登録!$AH$3:$CH$118,21,FALSE))</f>
        <v/>
      </c>
      <c r="R26" s="624" t="str">
        <f t="shared" si="3"/>
        <v/>
      </c>
      <c r="S26" s="625" t="str">
        <f t="shared" si="4"/>
        <v/>
      </c>
      <c r="T26" s="303"/>
      <c r="U26" s="258" t="str">
        <f>IF(T26="","",IF(I26=1,VLOOKUP(T26,男子種目コード!$A$1:$B$33,2,FALSE),IF(I26=2,VLOOKUP(T26,女子種目コード!$A$1:$B$27,2,FALSE))))</f>
        <v/>
      </c>
      <c r="V26" s="540" t="str">
        <f>IF(T26="","",HLOOKUP(T26,前年度登録!$AH$3:$CH$118,21,FALSE))</f>
        <v/>
      </c>
      <c r="W26" s="620" t="str">
        <f t="shared" si="5"/>
        <v/>
      </c>
      <c r="X26" s="625" t="str">
        <f t="shared" si="6"/>
        <v/>
      </c>
      <c r="Y26" s="158"/>
      <c r="Z26" s="163"/>
      <c r="AA26" s="161"/>
      <c r="AB26" s="164"/>
      <c r="AC26" s="165"/>
      <c r="AD26" s="157"/>
      <c r="AE26" s="158"/>
      <c r="AF26" s="159"/>
      <c r="AG26" s="162"/>
      <c r="AH26" s="657"/>
      <c r="AI26" s="657"/>
      <c r="AK26" s="779" t="s">
        <v>133</v>
      </c>
      <c r="AL26" s="769" t="str">
        <f t="shared" si="0"/>
        <v/>
      </c>
      <c r="AM26" s="721">
        <f t="shared" si="1"/>
        <v>0</v>
      </c>
      <c r="AN26" s="721">
        <f t="shared" si="2"/>
        <v>0</v>
      </c>
      <c r="AP26" s="778" t="s">
        <v>22</v>
      </c>
      <c r="AQ26" s="193">
        <f>COUNTIF($P$7:$P$116,20)+COUNTIF($U$7:$U$116,20)</f>
        <v>0</v>
      </c>
      <c r="AV26" s="912" t="s">
        <v>557</v>
      </c>
      <c r="AW26" s="167" t="s">
        <v>204</v>
      </c>
      <c r="AX26" s="748"/>
      <c r="AY26" s="748"/>
      <c r="AZ26" s="748"/>
      <c r="BA26" s="1265"/>
      <c r="BB26" s="1265"/>
      <c r="BC26" s="1265"/>
      <c r="BD26" s="1265"/>
      <c r="BE26" s="1265"/>
      <c r="BF26" s="1265"/>
      <c r="BG26" s="1265"/>
    </row>
    <row r="27" spans="2:59">
      <c r="B27" s="773" t="str">
        <f>前年度登録!P24</f>
        <v/>
      </c>
      <c r="E27" s="774">
        <f>前年度登録!E24</f>
        <v>0</v>
      </c>
      <c r="F27" s="532" t="str">
        <f>前年度登録!CM24</f>
        <v/>
      </c>
      <c r="G27" s="990" t="str">
        <f>前年度登録!Z24</f>
        <v/>
      </c>
      <c r="H27" s="532" t="str">
        <f>前年度登録!CM24</f>
        <v/>
      </c>
      <c r="I27" s="185" t="str">
        <f>前年度登録!Y24</f>
        <v/>
      </c>
      <c r="J27" s="943" t="str">
        <f>前年度登録!CN24</f>
        <v/>
      </c>
      <c r="K27" s="891">
        <f>前年度登録!CP24</f>
        <v>0</v>
      </c>
      <c r="L27" s="892" t="str">
        <f>前年度登録!CU24</f>
        <v>00</v>
      </c>
      <c r="M27" s="773" t="str">
        <f>前年度登録!Q24</f>
        <v/>
      </c>
      <c r="N27" s="1258">
        <f>前年度登録!D24</f>
        <v>0</v>
      </c>
      <c r="O27" s="303"/>
      <c r="P27" s="258" t="str">
        <f>IF(O27="","",IF(I27=1,VLOOKUP(O27,男子種目コード!$A$1:$B$33,2,FALSE),IF(I27=2,VLOOKUP(O27,女子種目コード!$A$1:$B$27,2,FALSE))))</f>
        <v/>
      </c>
      <c r="Q27" s="494" t="str">
        <f>IF(O27="","",HLOOKUP(O27,前年度登録!$AH$3:$CH$118,22,FALSE))</f>
        <v/>
      </c>
      <c r="R27" s="624" t="str">
        <f t="shared" si="3"/>
        <v/>
      </c>
      <c r="S27" s="625" t="str">
        <f t="shared" si="4"/>
        <v/>
      </c>
      <c r="T27" s="303"/>
      <c r="U27" s="258" t="str">
        <f>IF(T27="","",IF(I27=1,VLOOKUP(T27,男子種目コード!$A$1:$B$33,2,FALSE),IF(I27=2,VLOOKUP(T27,女子種目コード!$A$1:$B$27,2,FALSE))))</f>
        <v/>
      </c>
      <c r="V27" s="540" t="str">
        <f>IF(T27="","",HLOOKUP(T27,前年度登録!$AH$3:$CH$118,22,FALSE))</f>
        <v/>
      </c>
      <c r="W27" s="620" t="str">
        <f t="shared" si="5"/>
        <v/>
      </c>
      <c r="X27" s="625" t="str">
        <f t="shared" si="6"/>
        <v/>
      </c>
      <c r="Y27" s="158"/>
      <c r="Z27" s="163"/>
      <c r="AA27" s="161"/>
      <c r="AB27" s="164"/>
      <c r="AC27" s="165"/>
      <c r="AD27" s="157"/>
      <c r="AE27" s="158"/>
      <c r="AF27" s="159"/>
      <c r="AG27" s="162"/>
      <c r="AH27" s="657"/>
      <c r="AI27" s="657"/>
      <c r="AK27" s="779" t="s">
        <v>127</v>
      </c>
      <c r="AL27" s="769" t="str">
        <f t="shared" si="0"/>
        <v/>
      </c>
      <c r="AM27" s="721">
        <f t="shared" si="1"/>
        <v>0</v>
      </c>
      <c r="AN27" s="721">
        <f t="shared" si="2"/>
        <v>0</v>
      </c>
      <c r="AP27" s="778" t="s">
        <v>96</v>
      </c>
      <c r="AQ27" s="193">
        <f>COUNTIF($P$7:$P$116,21)+COUNTIF($U$7:$U$116,21)</f>
        <v>0</v>
      </c>
      <c r="AV27" s="912" t="s">
        <v>452</v>
      </c>
      <c r="AW27" s="912" t="s">
        <v>205</v>
      </c>
      <c r="AX27" s="748"/>
      <c r="AY27" s="748"/>
      <c r="AZ27" s="748"/>
      <c r="BA27" s="1265"/>
      <c r="BB27" s="1265"/>
      <c r="BC27" s="1265"/>
      <c r="BD27" s="1265"/>
      <c r="BE27" s="1265"/>
      <c r="BF27" s="1265"/>
      <c r="BG27" s="1265"/>
    </row>
    <row r="28" spans="2:59">
      <c r="B28" s="773" t="str">
        <f>前年度登録!P25</f>
        <v/>
      </c>
      <c r="E28" s="774">
        <f>前年度登録!E25</f>
        <v>0</v>
      </c>
      <c r="F28" s="532" t="str">
        <f>前年度登録!CM25</f>
        <v/>
      </c>
      <c r="G28" s="990" t="str">
        <f>前年度登録!Z25</f>
        <v/>
      </c>
      <c r="H28" s="532" t="str">
        <f>前年度登録!CM25</f>
        <v/>
      </c>
      <c r="I28" s="185" t="str">
        <f>前年度登録!Y25</f>
        <v/>
      </c>
      <c r="J28" s="943" t="str">
        <f>前年度登録!CN25</f>
        <v/>
      </c>
      <c r="K28" s="891">
        <f>前年度登録!CP25</f>
        <v>0</v>
      </c>
      <c r="L28" s="892" t="str">
        <f>前年度登録!CU25</f>
        <v>00</v>
      </c>
      <c r="M28" s="773" t="str">
        <f>前年度登録!Q25</f>
        <v/>
      </c>
      <c r="N28" s="1258">
        <f>前年度登録!D25</f>
        <v>0</v>
      </c>
      <c r="O28" s="303"/>
      <c r="P28" s="258" t="str">
        <f>IF(O28="","",IF(I28=1,VLOOKUP(O28,男子種目コード!$A$1:$B$33,2,FALSE),IF(I28=2,VLOOKUP(O28,女子種目コード!$A$1:$B$27,2,FALSE))))</f>
        <v/>
      </c>
      <c r="Q28" s="494" t="str">
        <f>IF(O28="","",HLOOKUP(O28,前年度登録!$AH$3:$CH$118,23,FALSE))</f>
        <v/>
      </c>
      <c r="R28" s="624" t="str">
        <f t="shared" si="3"/>
        <v/>
      </c>
      <c r="S28" s="625" t="str">
        <f t="shared" si="4"/>
        <v/>
      </c>
      <c r="T28" s="303"/>
      <c r="U28" s="258" t="str">
        <f>IF(T28="","",IF(I28=1,VLOOKUP(T28,男子種目コード!$A$1:$B$33,2,FALSE),IF(I28=2,VLOOKUP(T28,女子種目コード!$A$1:$B$27,2,FALSE))))</f>
        <v/>
      </c>
      <c r="V28" s="540" t="str">
        <f>IF(T28="","",HLOOKUP(T28,前年度登録!$AH$3:$CH$118,23,FALSE))</f>
        <v/>
      </c>
      <c r="W28" s="620" t="str">
        <f t="shared" si="5"/>
        <v/>
      </c>
      <c r="X28" s="625" t="str">
        <f t="shared" si="6"/>
        <v/>
      </c>
      <c r="Y28" s="158"/>
      <c r="Z28" s="163"/>
      <c r="AA28" s="161"/>
      <c r="AB28" s="164"/>
      <c r="AC28" s="165"/>
      <c r="AD28" s="157"/>
      <c r="AE28" s="158"/>
      <c r="AF28" s="159"/>
      <c r="AG28" s="162"/>
      <c r="AH28" s="657"/>
      <c r="AI28" s="657"/>
      <c r="AK28" s="779" t="s">
        <v>128</v>
      </c>
      <c r="AL28" s="769" t="str">
        <f t="shared" si="0"/>
        <v/>
      </c>
      <c r="AM28" s="721">
        <f t="shared" si="1"/>
        <v>0</v>
      </c>
      <c r="AN28" s="721">
        <f t="shared" si="2"/>
        <v>0</v>
      </c>
      <c r="AP28" s="778" t="s">
        <v>98</v>
      </c>
      <c r="AQ28" s="193">
        <f>COUNTIF($P$7:$P$116,22)+COUNTIF($U$7:$U$116,22)</f>
        <v>0</v>
      </c>
      <c r="AV28" s="912" t="s">
        <v>201</v>
      </c>
      <c r="AW28" s="912" t="s">
        <v>206</v>
      </c>
      <c r="AX28" s="748"/>
      <c r="AY28" s="748"/>
      <c r="AZ28" s="748"/>
      <c r="BA28" s="1265"/>
      <c r="BB28" s="1265"/>
      <c r="BC28" s="1265"/>
      <c r="BD28" s="1265"/>
      <c r="BE28" s="1265"/>
      <c r="BF28" s="1265"/>
      <c r="BG28" s="1265"/>
    </row>
    <row r="29" spans="2:59">
      <c r="B29" s="773" t="str">
        <f>前年度登録!P26</f>
        <v/>
      </c>
      <c r="E29" s="774">
        <f>前年度登録!E26</f>
        <v>0</v>
      </c>
      <c r="F29" s="532" t="str">
        <f>前年度登録!CM26</f>
        <v/>
      </c>
      <c r="G29" s="990" t="str">
        <f>前年度登録!Z26</f>
        <v/>
      </c>
      <c r="H29" s="532" t="str">
        <f>前年度登録!CM26</f>
        <v/>
      </c>
      <c r="I29" s="185" t="str">
        <f>前年度登録!Y26</f>
        <v/>
      </c>
      <c r="J29" s="943" t="str">
        <f>前年度登録!CN26</f>
        <v/>
      </c>
      <c r="K29" s="891">
        <f>前年度登録!CP26</f>
        <v>0</v>
      </c>
      <c r="L29" s="892" t="str">
        <f>前年度登録!CU26</f>
        <v>00</v>
      </c>
      <c r="M29" s="773" t="str">
        <f>前年度登録!Q26</f>
        <v/>
      </c>
      <c r="N29" s="1258">
        <f>前年度登録!D26</f>
        <v>0</v>
      </c>
      <c r="O29" s="303"/>
      <c r="P29" s="258" t="str">
        <f>IF(O29="","",IF(I29=1,VLOOKUP(O29,男子種目コード!$A$1:$B$33,2,FALSE),IF(I29=2,VLOOKUP(O29,女子種目コード!$A$1:$B$27,2,FALSE))))</f>
        <v/>
      </c>
      <c r="Q29" s="494" t="str">
        <f>IF(O29="","",HLOOKUP(O29,前年度登録!$AH$3:$CH$118,24,FALSE))</f>
        <v/>
      </c>
      <c r="R29" s="624" t="str">
        <f t="shared" si="3"/>
        <v/>
      </c>
      <c r="S29" s="625" t="str">
        <f t="shared" si="4"/>
        <v/>
      </c>
      <c r="T29" s="303"/>
      <c r="U29" s="258" t="str">
        <f>IF(T29="","",IF(I29=1,VLOOKUP(T29,男子種目コード!$A$1:$B$33,2,FALSE),IF(I29=2,VLOOKUP(T29,女子種目コード!$A$1:$B$27,2,FALSE))))</f>
        <v/>
      </c>
      <c r="V29" s="540" t="str">
        <f>IF(T29="","",HLOOKUP(T29,前年度登録!$AH$3:$CH$118,24,FALSE))</f>
        <v/>
      </c>
      <c r="W29" s="620" t="str">
        <f t="shared" si="5"/>
        <v/>
      </c>
      <c r="X29" s="625" t="str">
        <f t="shared" si="6"/>
        <v/>
      </c>
      <c r="Y29" s="158"/>
      <c r="Z29" s="163"/>
      <c r="AA29" s="161"/>
      <c r="AB29" s="164"/>
      <c r="AC29" s="165"/>
      <c r="AD29" s="157"/>
      <c r="AE29" s="158"/>
      <c r="AF29" s="159"/>
      <c r="AG29" s="162"/>
      <c r="AH29" s="657"/>
      <c r="AI29" s="657"/>
      <c r="AK29" s="779" t="s">
        <v>129</v>
      </c>
      <c r="AL29" s="769" t="str">
        <f t="shared" si="0"/>
        <v/>
      </c>
      <c r="AM29" s="721">
        <f t="shared" si="1"/>
        <v>0</v>
      </c>
      <c r="AN29" s="721">
        <f t="shared" si="2"/>
        <v>0</v>
      </c>
      <c r="AP29" s="778" t="s">
        <v>128</v>
      </c>
      <c r="AQ29" s="193">
        <f>COUNTIF($P$7:$P$116,25)+COUNTIF($U$7:$U$116,25)</f>
        <v>0</v>
      </c>
      <c r="AV29" s="142" t="s">
        <v>202</v>
      </c>
      <c r="AW29" s="912"/>
      <c r="AX29" s="748"/>
      <c r="AY29" s="748"/>
      <c r="AZ29" s="748"/>
      <c r="BA29" s="1265"/>
      <c r="BB29" s="1265"/>
      <c r="BC29" s="1265"/>
      <c r="BD29" s="1265"/>
      <c r="BE29" s="1265"/>
      <c r="BF29" s="1265"/>
      <c r="BG29" s="1265"/>
    </row>
    <row r="30" spans="2:59">
      <c r="B30" s="773" t="str">
        <f>前年度登録!P27</f>
        <v/>
      </c>
      <c r="E30" s="774">
        <f>前年度登録!E27</f>
        <v>0</v>
      </c>
      <c r="F30" s="532" t="str">
        <f>前年度登録!CM27</f>
        <v/>
      </c>
      <c r="G30" s="990" t="str">
        <f>前年度登録!Z27</f>
        <v/>
      </c>
      <c r="H30" s="532" t="str">
        <f>前年度登録!CM27</f>
        <v/>
      </c>
      <c r="I30" s="185" t="str">
        <f>前年度登録!Y27</f>
        <v/>
      </c>
      <c r="J30" s="943" t="str">
        <f>前年度登録!CN27</f>
        <v/>
      </c>
      <c r="K30" s="891">
        <f>前年度登録!CP27</f>
        <v>0</v>
      </c>
      <c r="L30" s="892" t="str">
        <f>前年度登録!CU27</f>
        <v>00</v>
      </c>
      <c r="M30" s="773" t="str">
        <f>前年度登録!Q27</f>
        <v/>
      </c>
      <c r="N30" s="1258">
        <f>前年度登録!D27</f>
        <v>0</v>
      </c>
      <c r="O30" s="303"/>
      <c r="P30" s="258" t="str">
        <f>IF(O30="","",IF(I30=1,VLOOKUP(O30,男子種目コード!$A$1:$B$33,2,FALSE),IF(I30=2,VLOOKUP(O30,女子種目コード!$A$1:$B$27,2,FALSE))))</f>
        <v/>
      </c>
      <c r="Q30" s="494" t="str">
        <f>IF(O30="","",HLOOKUP(O30,前年度登録!$AH$3:$CH$118,25,FALSE))</f>
        <v/>
      </c>
      <c r="R30" s="624" t="str">
        <f t="shared" si="3"/>
        <v/>
      </c>
      <c r="S30" s="625" t="str">
        <f t="shared" si="4"/>
        <v/>
      </c>
      <c r="T30" s="303"/>
      <c r="U30" s="258" t="str">
        <f>IF(T30="","",IF(I30=1,VLOOKUP(T30,男子種目コード!$A$1:$B$33,2,FALSE),IF(I30=2,VLOOKUP(T30,女子種目コード!$A$1:$B$27,2,FALSE))))</f>
        <v/>
      </c>
      <c r="V30" s="540" t="str">
        <f>IF(T30="","",HLOOKUP(T30,前年度登録!$AH$3:$CH$118,25,FALSE))</f>
        <v/>
      </c>
      <c r="W30" s="620" t="str">
        <f t="shared" si="5"/>
        <v/>
      </c>
      <c r="X30" s="625" t="str">
        <f t="shared" si="6"/>
        <v/>
      </c>
      <c r="Y30" s="158"/>
      <c r="Z30" s="163"/>
      <c r="AA30" s="161"/>
      <c r="AB30" s="164"/>
      <c r="AC30" s="165"/>
      <c r="AD30" s="157"/>
      <c r="AE30" s="158"/>
      <c r="AF30" s="159"/>
      <c r="AG30" s="162"/>
      <c r="AH30" s="657"/>
      <c r="AI30" s="657"/>
      <c r="AK30" s="779" t="s">
        <v>130</v>
      </c>
      <c r="AL30" s="769" t="str">
        <f t="shared" si="0"/>
        <v/>
      </c>
      <c r="AM30" s="721">
        <f t="shared" si="1"/>
        <v>0</v>
      </c>
      <c r="AN30" s="721">
        <f t="shared" si="2"/>
        <v>0</v>
      </c>
      <c r="AP30" s="778" t="s">
        <v>336</v>
      </c>
      <c r="AQ30" s="193">
        <f>COUNTIF($P$7:$P$116,26)+COUNTIF($U$7:$U$116,26)</f>
        <v>0</v>
      </c>
      <c r="AV30" s="167" t="s">
        <v>203</v>
      </c>
      <c r="AW30" s="912"/>
      <c r="AX30" s="748"/>
      <c r="AY30" s="748"/>
      <c r="AZ30" s="748"/>
      <c r="BA30" s="1265"/>
      <c r="BB30" s="1265"/>
      <c r="BC30" s="1265"/>
      <c r="BD30" s="1265"/>
      <c r="BE30" s="1265"/>
      <c r="BF30" s="1265"/>
      <c r="BG30" s="1265"/>
    </row>
    <row r="31" spans="2:59">
      <c r="B31" s="773" t="str">
        <f>前年度登録!P28</f>
        <v/>
      </c>
      <c r="E31" s="774">
        <f>前年度登録!E28</f>
        <v>0</v>
      </c>
      <c r="F31" s="532" t="str">
        <f>前年度登録!CM28</f>
        <v/>
      </c>
      <c r="G31" s="990" t="str">
        <f>前年度登録!Z28</f>
        <v/>
      </c>
      <c r="H31" s="532" t="str">
        <f>前年度登録!CM28</f>
        <v/>
      </c>
      <c r="I31" s="185" t="str">
        <f>前年度登録!Y28</f>
        <v/>
      </c>
      <c r="J31" s="943" t="str">
        <f>前年度登録!CN28</f>
        <v/>
      </c>
      <c r="K31" s="891">
        <f>前年度登録!CP28</f>
        <v>0</v>
      </c>
      <c r="L31" s="892" t="str">
        <f>前年度登録!CU28</f>
        <v>00</v>
      </c>
      <c r="M31" s="773" t="str">
        <f>前年度登録!Q28</f>
        <v/>
      </c>
      <c r="N31" s="1258">
        <f>前年度登録!D28</f>
        <v>0</v>
      </c>
      <c r="O31" s="303"/>
      <c r="P31" s="258" t="str">
        <f>IF(O31="","",IF(I31=1,VLOOKUP(O31,男子種目コード!$A$1:$B$33,2,FALSE),IF(I31=2,VLOOKUP(O31,女子種目コード!$A$1:$B$27,2,FALSE))))</f>
        <v/>
      </c>
      <c r="Q31" s="494" t="str">
        <f>IF(O31="","",HLOOKUP(O31,前年度登録!$AH$3:$CH$118,26,FALSE))</f>
        <v/>
      </c>
      <c r="R31" s="624" t="str">
        <f t="shared" si="3"/>
        <v/>
      </c>
      <c r="S31" s="625" t="str">
        <f t="shared" si="4"/>
        <v/>
      </c>
      <c r="T31" s="303"/>
      <c r="U31" s="258" t="str">
        <f>IF(T31="","",IF(I31=1,VLOOKUP(T31,男子種目コード!$A$1:$B$33,2,FALSE),IF(I31=2,VLOOKUP(T31,女子種目コード!$A$1:$B$27,2,FALSE))))</f>
        <v/>
      </c>
      <c r="V31" s="540" t="str">
        <f>IF(T31="","",HLOOKUP(T31,前年度登録!$AH$3:$CH$118,26,FALSE))</f>
        <v/>
      </c>
      <c r="W31" s="620" t="str">
        <f t="shared" si="5"/>
        <v/>
      </c>
      <c r="X31" s="625" t="str">
        <f t="shared" si="6"/>
        <v/>
      </c>
      <c r="Y31" s="158"/>
      <c r="Z31" s="163"/>
      <c r="AA31" s="161"/>
      <c r="AB31" s="164"/>
      <c r="AC31" s="165"/>
      <c r="AD31" s="157"/>
      <c r="AE31" s="158"/>
      <c r="AF31" s="159"/>
      <c r="AG31" s="162"/>
      <c r="AH31" s="657"/>
      <c r="AI31" s="657"/>
      <c r="AK31" s="779" t="s">
        <v>201</v>
      </c>
      <c r="AL31" s="769" t="str">
        <f t="shared" si="0"/>
        <v/>
      </c>
      <c r="AM31" s="721">
        <f t="shared" si="1"/>
        <v>0</v>
      </c>
      <c r="AN31" s="721">
        <f t="shared" si="2"/>
        <v>0</v>
      </c>
      <c r="AP31" s="778" t="s">
        <v>555</v>
      </c>
      <c r="AQ31" s="193">
        <f>COUNTIF($P$7:$P$116,23)+COUNTIF($U$7:$U$116,23)</f>
        <v>0</v>
      </c>
      <c r="AV31" s="167" t="s">
        <v>204</v>
      </c>
      <c r="AW31" s="912"/>
      <c r="AX31" s="748"/>
      <c r="AY31" s="748"/>
      <c r="AZ31" s="748"/>
      <c r="BA31" s="1265"/>
      <c r="BB31" s="1265"/>
      <c r="BC31" s="1265"/>
      <c r="BD31" s="1265"/>
      <c r="BE31" s="1265"/>
      <c r="BF31" s="1265"/>
      <c r="BG31" s="1265"/>
    </row>
    <row r="32" spans="2:59">
      <c r="B32" s="773" t="str">
        <f>前年度登録!P29</f>
        <v/>
      </c>
      <c r="E32" s="774">
        <f>前年度登録!E29</f>
        <v>0</v>
      </c>
      <c r="F32" s="532" t="str">
        <f>前年度登録!CM29</f>
        <v/>
      </c>
      <c r="G32" s="990" t="str">
        <f>前年度登録!Z29</f>
        <v/>
      </c>
      <c r="H32" s="532" t="str">
        <f>前年度登録!CM29</f>
        <v/>
      </c>
      <c r="I32" s="185" t="str">
        <f>前年度登録!Y29</f>
        <v/>
      </c>
      <c r="J32" s="943" t="str">
        <f>前年度登録!CN29</f>
        <v/>
      </c>
      <c r="K32" s="891">
        <f>前年度登録!CP29</f>
        <v>0</v>
      </c>
      <c r="L32" s="892" t="str">
        <f>前年度登録!CU29</f>
        <v>00</v>
      </c>
      <c r="M32" s="773" t="str">
        <f>前年度登録!Q29</f>
        <v/>
      </c>
      <c r="N32" s="1258">
        <f>前年度登録!D29</f>
        <v>0</v>
      </c>
      <c r="O32" s="303"/>
      <c r="P32" s="258" t="str">
        <f>IF(O32="","",IF(I32=1,VLOOKUP(O32,男子種目コード!$A$1:$B$33,2,FALSE),IF(I32=2,VLOOKUP(O32,女子種目コード!$A$1:$B$27,2,FALSE))))</f>
        <v/>
      </c>
      <c r="Q32" s="494" t="str">
        <f>IF(O32="","",HLOOKUP(O32,前年度登録!$AH$3:$CH$118,27,FALSE))</f>
        <v/>
      </c>
      <c r="R32" s="624" t="str">
        <f t="shared" si="3"/>
        <v/>
      </c>
      <c r="S32" s="625" t="str">
        <f t="shared" si="4"/>
        <v/>
      </c>
      <c r="T32" s="303"/>
      <c r="U32" s="258" t="str">
        <f>IF(T32="","",IF(I32=1,VLOOKUP(T32,男子種目コード!$A$1:$B$33,2,FALSE),IF(I32=2,VLOOKUP(T32,女子種目コード!$A$1:$B$27,2,FALSE))))</f>
        <v/>
      </c>
      <c r="V32" s="540" t="str">
        <f>IF(T32="","",HLOOKUP(T32,前年度登録!$AH$3:$CH$118,27,FALSE))</f>
        <v/>
      </c>
      <c r="W32" s="620" t="str">
        <f t="shared" si="5"/>
        <v/>
      </c>
      <c r="X32" s="625" t="str">
        <f t="shared" si="6"/>
        <v/>
      </c>
      <c r="Y32" s="158"/>
      <c r="Z32" s="163"/>
      <c r="AA32" s="161"/>
      <c r="AB32" s="164"/>
      <c r="AC32" s="165"/>
      <c r="AD32" s="157"/>
      <c r="AE32" s="158"/>
      <c r="AF32" s="159"/>
      <c r="AG32" s="162"/>
      <c r="AH32" s="657"/>
      <c r="AI32" s="657"/>
      <c r="AK32" s="142" t="s">
        <v>202</v>
      </c>
      <c r="AL32" s="769" t="str">
        <f t="shared" si="0"/>
        <v/>
      </c>
      <c r="AM32" s="721">
        <f t="shared" si="1"/>
        <v>0</v>
      </c>
      <c r="AN32" s="721">
        <f t="shared" si="2"/>
        <v>0</v>
      </c>
      <c r="AP32" s="778" t="s">
        <v>451</v>
      </c>
      <c r="AQ32" s="193">
        <f>COUNTIF($P$7:$P$116,29)+COUNTIF($U$7:$U$116,29)</f>
        <v>0</v>
      </c>
      <c r="AV32" s="912" t="s">
        <v>205</v>
      </c>
      <c r="AW32" s="142"/>
      <c r="AX32" s="748"/>
      <c r="AY32" s="748"/>
      <c r="AZ32" s="748"/>
      <c r="BA32" s="1265"/>
      <c r="BB32" s="1265"/>
      <c r="BC32" s="1265"/>
      <c r="BD32" s="1265"/>
      <c r="BE32" s="1265"/>
      <c r="BF32" s="1265"/>
      <c r="BG32" s="1265"/>
    </row>
    <row r="33" spans="2:59">
      <c r="B33" s="773" t="str">
        <f>前年度登録!P30</f>
        <v/>
      </c>
      <c r="E33" s="774">
        <f>前年度登録!E30</f>
        <v>0</v>
      </c>
      <c r="F33" s="532" t="str">
        <f>前年度登録!CM30</f>
        <v/>
      </c>
      <c r="G33" s="990" t="str">
        <f>前年度登録!Z30</f>
        <v/>
      </c>
      <c r="H33" s="532" t="str">
        <f>前年度登録!CM30</f>
        <v/>
      </c>
      <c r="I33" s="185" t="str">
        <f>前年度登録!Y30</f>
        <v/>
      </c>
      <c r="J33" s="943" t="str">
        <f>前年度登録!CN30</f>
        <v/>
      </c>
      <c r="K33" s="891">
        <f>前年度登録!CP30</f>
        <v>0</v>
      </c>
      <c r="L33" s="892" t="str">
        <f>前年度登録!CU30</f>
        <v>00</v>
      </c>
      <c r="M33" s="773" t="str">
        <f>前年度登録!Q30</f>
        <v/>
      </c>
      <c r="N33" s="1258">
        <f>前年度登録!D30</f>
        <v>0</v>
      </c>
      <c r="O33" s="303"/>
      <c r="P33" s="258" t="str">
        <f>IF(O33="","",IF(I33=1,VLOOKUP(O33,男子種目コード!$A$1:$B$33,2,FALSE),IF(I33=2,VLOOKUP(O33,女子種目コード!$A$1:$B$27,2,FALSE))))</f>
        <v/>
      </c>
      <c r="Q33" s="494" t="str">
        <f>IF(O33="","",HLOOKUP(O33,前年度登録!$AH$3:$CH$118,28,FALSE))</f>
        <v/>
      </c>
      <c r="R33" s="624" t="str">
        <f t="shared" si="3"/>
        <v/>
      </c>
      <c r="S33" s="625" t="str">
        <f t="shared" si="4"/>
        <v/>
      </c>
      <c r="T33" s="303"/>
      <c r="U33" s="258" t="str">
        <f>IF(T33="","",IF(I33=1,VLOOKUP(T33,男子種目コード!$A$1:$B$33,2,FALSE),IF(I33=2,VLOOKUP(T33,女子種目コード!$A$1:$B$27,2,FALSE))))</f>
        <v/>
      </c>
      <c r="V33" s="540" t="str">
        <f>IF(T33="","",HLOOKUP(T33,前年度登録!$AH$3:$CH$118,28,FALSE))</f>
        <v/>
      </c>
      <c r="W33" s="620" t="str">
        <f t="shared" si="5"/>
        <v/>
      </c>
      <c r="X33" s="625" t="str">
        <f t="shared" si="6"/>
        <v/>
      </c>
      <c r="Y33" s="158"/>
      <c r="Z33" s="163"/>
      <c r="AA33" s="161"/>
      <c r="AB33" s="164"/>
      <c r="AC33" s="165"/>
      <c r="AD33" s="157"/>
      <c r="AE33" s="158"/>
      <c r="AF33" s="159"/>
      <c r="AG33" s="162"/>
      <c r="AH33" s="657"/>
      <c r="AI33" s="657"/>
      <c r="AK33" s="167" t="s">
        <v>203</v>
      </c>
      <c r="AL33" s="769" t="str">
        <f t="shared" si="0"/>
        <v/>
      </c>
      <c r="AM33" s="721">
        <f t="shared" si="1"/>
        <v>0</v>
      </c>
      <c r="AN33" s="721">
        <f t="shared" si="2"/>
        <v>0</v>
      </c>
      <c r="AP33" s="780" t="s">
        <v>337</v>
      </c>
      <c r="AQ33" s="196">
        <f>COUNTIF($P$7:$P$116,27)+COUNTIF($U$7:$U$116,27)</f>
        <v>0</v>
      </c>
      <c r="AV33" s="912" t="s">
        <v>206</v>
      </c>
      <c r="AW33" s="142"/>
      <c r="AX33" s="748"/>
      <c r="AY33" s="748"/>
      <c r="AZ33" s="748"/>
      <c r="BA33" s="1265"/>
      <c r="BB33" s="1265"/>
      <c r="BC33" s="1265"/>
      <c r="BD33" s="1265"/>
      <c r="BE33" s="1265"/>
      <c r="BF33" s="1265"/>
      <c r="BG33" s="1265"/>
    </row>
    <row r="34" spans="2:59" ht="14.25" thickBot="1">
      <c r="B34" s="773" t="str">
        <f>前年度登録!P31</f>
        <v/>
      </c>
      <c r="E34" s="774">
        <f>前年度登録!E31</f>
        <v>0</v>
      </c>
      <c r="F34" s="532" t="str">
        <f>前年度登録!CM31</f>
        <v/>
      </c>
      <c r="G34" s="990" t="str">
        <f>前年度登録!Z31</f>
        <v/>
      </c>
      <c r="H34" s="532" t="str">
        <f>前年度登録!CM31</f>
        <v/>
      </c>
      <c r="I34" s="185" t="str">
        <f>前年度登録!Y31</f>
        <v/>
      </c>
      <c r="J34" s="943" t="str">
        <f>前年度登録!CN31</f>
        <v/>
      </c>
      <c r="K34" s="891">
        <f>前年度登録!CP31</f>
        <v>0</v>
      </c>
      <c r="L34" s="892" t="str">
        <f>前年度登録!CU31</f>
        <v>00</v>
      </c>
      <c r="M34" s="773" t="str">
        <f>前年度登録!Q31</f>
        <v/>
      </c>
      <c r="N34" s="1258">
        <f>前年度登録!D31</f>
        <v>0</v>
      </c>
      <c r="O34" s="303"/>
      <c r="P34" s="258" t="str">
        <f>IF(O34="","",IF(I34=1,VLOOKUP(O34,男子種目コード!$A$1:$B$33,2,FALSE),IF(I34=2,VLOOKUP(O34,女子種目コード!$A$1:$B$27,2,FALSE))))</f>
        <v/>
      </c>
      <c r="Q34" s="494" t="str">
        <f>IF(O34="","",HLOOKUP(O34,前年度登録!$AH$3:$CH$118,29,FALSE))</f>
        <v/>
      </c>
      <c r="R34" s="624" t="str">
        <f t="shared" si="3"/>
        <v/>
      </c>
      <c r="S34" s="625" t="str">
        <f t="shared" si="4"/>
        <v/>
      </c>
      <c r="T34" s="303"/>
      <c r="U34" s="258" t="str">
        <f>IF(T34="","",IF(I34=1,VLOOKUP(T34,男子種目コード!$A$1:$B$33,2,FALSE),IF(I34=2,VLOOKUP(T34,女子種目コード!$A$1:$B$27,2,FALSE))))</f>
        <v/>
      </c>
      <c r="V34" s="540" t="str">
        <f>IF(T34="","",HLOOKUP(T34,前年度登録!$AH$3:$CH$118,29,FALSE))</f>
        <v/>
      </c>
      <c r="W34" s="620" t="str">
        <f t="shared" si="5"/>
        <v/>
      </c>
      <c r="X34" s="625" t="str">
        <f t="shared" si="6"/>
        <v/>
      </c>
      <c r="Y34" s="158"/>
      <c r="Z34" s="163"/>
      <c r="AA34" s="161"/>
      <c r="AB34" s="164"/>
      <c r="AC34" s="165"/>
      <c r="AD34" s="157"/>
      <c r="AE34" s="158"/>
      <c r="AF34" s="159"/>
      <c r="AG34" s="162"/>
      <c r="AH34" s="657"/>
      <c r="AI34" s="657"/>
      <c r="AK34" s="167" t="s">
        <v>204</v>
      </c>
      <c r="AL34" s="769" t="str">
        <f t="shared" si="0"/>
        <v/>
      </c>
      <c r="AM34" s="721">
        <f t="shared" si="1"/>
        <v>0</v>
      </c>
      <c r="AN34" s="721">
        <f t="shared" si="2"/>
        <v>0</v>
      </c>
      <c r="AP34" s="781" t="s">
        <v>262</v>
      </c>
      <c r="AQ34" s="204">
        <f>SUM(AQ8:AQ33)</f>
        <v>0</v>
      </c>
      <c r="AV34" s="912"/>
      <c r="AW34" s="142"/>
      <c r="AX34" s="748"/>
      <c r="AY34" s="748"/>
      <c r="AZ34" s="748"/>
      <c r="BA34" s="1265"/>
      <c r="BB34" s="1265"/>
      <c r="BC34" s="1265"/>
      <c r="BD34" s="1265"/>
      <c r="BE34" s="1265"/>
      <c r="BF34" s="1265"/>
      <c r="BG34" s="1265"/>
    </row>
    <row r="35" spans="2:59" ht="14.25" thickBot="1">
      <c r="B35" s="773" t="str">
        <f>前年度登録!P32</f>
        <v/>
      </c>
      <c r="E35" s="774">
        <f>前年度登録!E32</f>
        <v>0</v>
      </c>
      <c r="F35" s="532" t="str">
        <f>前年度登録!CM32</f>
        <v/>
      </c>
      <c r="G35" s="990" t="str">
        <f>前年度登録!Z32</f>
        <v/>
      </c>
      <c r="H35" s="532" t="str">
        <f>前年度登録!CM32</f>
        <v/>
      </c>
      <c r="I35" s="185" t="str">
        <f>前年度登録!Y32</f>
        <v/>
      </c>
      <c r="J35" s="943" t="str">
        <f>前年度登録!CN32</f>
        <v/>
      </c>
      <c r="K35" s="891">
        <f>前年度登録!CP32</f>
        <v>0</v>
      </c>
      <c r="L35" s="892" t="str">
        <f>前年度登録!CU32</f>
        <v>00</v>
      </c>
      <c r="M35" s="773" t="str">
        <f>前年度登録!Q32</f>
        <v/>
      </c>
      <c r="N35" s="1258">
        <f>前年度登録!D32</f>
        <v>0</v>
      </c>
      <c r="O35" s="303"/>
      <c r="P35" s="258" t="str">
        <f>IF(O35="","",IF(I35=1,VLOOKUP(O35,男子種目コード!$A$1:$B$33,2,FALSE),IF(I35=2,VLOOKUP(O35,女子種目コード!$A$1:$B$27,2,FALSE))))</f>
        <v/>
      </c>
      <c r="Q35" s="494" t="str">
        <f>IF(O35="","",HLOOKUP(O35,前年度登録!$AH$3:$CH$118,30,FALSE))</f>
        <v/>
      </c>
      <c r="R35" s="624" t="str">
        <f t="shared" si="3"/>
        <v/>
      </c>
      <c r="S35" s="625" t="str">
        <f t="shared" si="4"/>
        <v/>
      </c>
      <c r="T35" s="303"/>
      <c r="U35" s="258" t="str">
        <f>IF(T35="","",IF(I35=1,VLOOKUP(T35,男子種目コード!$A$1:$B$33,2,FALSE),IF(I35=2,VLOOKUP(T35,女子種目コード!$A$1:$B$27,2,FALSE))))</f>
        <v/>
      </c>
      <c r="V35" s="540" t="str">
        <f>IF(T35="","",HLOOKUP(T35,前年度登録!$AH$3:$CH$118,30,FALSE))</f>
        <v/>
      </c>
      <c r="W35" s="620" t="str">
        <f t="shared" si="5"/>
        <v/>
      </c>
      <c r="X35" s="625" t="str">
        <f t="shared" si="6"/>
        <v/>
      </c>
      <c r="Y35" s="158"/>
      <c r="Z35" s="163"/>
      <c r="AA35" s="161"/>
      <c r="AB35" s="164"/>
      <c r="AC35" s="165"/>
      <c r="AD35" s="157"/>
      <c r="AE35" s="158"/>
      <c r="AF35" s="159"/>
      <c r="AG35" s="162"/>
      <c r="AH35" s="657"/>
      <c r="AI35" s="657"/>
      <c r="AK35" s="779" t="s">
        <v>205</v>
      </c>
      <c r="AL35" s="769" t="str">
        <f t="shared" si="0"/>
        <v/>
      </c>
      <c r="AM35" s="721">
        <f t="shared" si="1"/>
        <v>0</v>
      </c>
      <c r="AN35" s="721">
        <f t="shared" si="2"/>
        <v>0</v>
      </c>
      <c r="AP35" s="1156" t="s">
        <v>108</v>
      </c>
      <c r="AQ35" s="1157"/>
      <c r="AV35" s="912"/>
      <c r="AW35" s="142"/>
      <c r="AX35" s="748"/>
      <c r="AY35" s="748"/>
      <c r="AZ35" s="748"/>
      <c r="BA35" s="1265"/>
      <c r="BB35" s="1265"/>
      <c r="BC35" s="1265"/>
      <c r="BD35" s="1265"/>
      <c r="BE35" s="1265"/>
      <c r="BF35" s="1265"/>
      <c r="BG35" s="1265"/>
    </row>
    <row r="36" spans="2:59">
      <c r="B36" s="773" t="str">
        <f>前年度登録!P33</f>
        <v/>
      </c>
      <c r="E36" s="774">
        <f>前年度登録!E33</f>
        <v>0</v>
      </c>
      <c r="F36" s="532" t="str">
        <f>前年度登録!CM33</f>
        <v/>
      </c>
      <c r="G36" s="990" t="str">
        <f>前年度登録!Z33</f>
        <v/>
      </c>
      <c r="H36" s="532" t="str">
        <f>前年度登録!CM33</f>
        <v/>
      </c>
      <c r="I36" s="185" t="str">
        <f>前年度登録!Y33</f>
        <v/>
      </c>
      <c r="J36" s="943" t="str">
        <f>前年度登録!CN33</f>
        <v/>
      </c>
      <c r="K36" s="891">
        <f>前年度登録!CP33</f>
        <v>0</v>
      </c>
      <c r="L36" s="892" t="str">
        <f>前年度登録!CU33</f>
        <v>00</v>
      </c>
      <c r="M36" s="773" t="str">
        <f>前年度登録!Q33</f>
        <v/>
      </c>
      <c r="N36" s="1258">
        <f>前年度登録!D33</f>
        <v>0</v>
      </c>
      <c r="O36" s="303"/>
      <c r="P36" s="258" t="str">
        <f>IF(O36="","",IF(I36=1,VLOOKUP(O36,男子種目コード!$A$1:$B$33,2,FALSE),IF(I36=2,VLOOKUP(O36,女子種目コード!$A$1:$B$27,2,FALSE))))</f>
        <v/>
      </c>
      <c r="Q36" s="494" t="str">
        <f>IF(O36="","",HLOOKUP(O36,前年度登録!$AH$3:$CH$118,31,FALSE))</f>
        <v/>
      </c>
      <c r="R36" s="624" t="str">
        <f t="shared" si="3"/>
        <v/>
      </c>
      <c r="S36" s="625" t="str">
        <f t="shared" si="4"/>
        <v/>
      </c>
      <c r="T36" s="303"/>
      <c r="U36" s="258" t="str">
        <f>IF(T36="","",IF(I36=1,VLOOKUP(T36,男子種目コード!$A$1:$B$33,2,FALSE),IF(I36=2,VLOOKUP(T36,女子種目コード!$A$1:$B$27,2,FALSE))))</f>
        <v/>
      </c>
      <c r="V36" s="540" t="str">
        <f>IF(T36="","",HLOOKUP(T36,前年度登録!$AH$3:$CH$118,31,FALSE))</f>
        <v/>
      </c>
      <c r="W36" s="620" t="str">
        <f t="shared" si="5"/>
        <v/>
      </c>
      <c r="X36" s="625" t="str">
        <f t="shared" si="6"/>
        <v/>
      </c>
      <c r="Y36" s="158"/>
      <c r="Z36" s="163"/>
      <c r="AA36" s="161"/>
      <c r="AB36" s="164"/>
      <c r="AC36" s="165"/>
      <c r="AD36" s="157"/>
      <c r="AE36" s="158"/>
      <c r="AF36" s="159"/>
      <c r="AG36" s="162"/>
      <c r="AH36" s="657"/>
      <c r="AI36" s="657"/>
      <c r="AK36" s="779" t="s">
        <v>206</v>
      </c>
      <c r="AL36" s="769" t="str">
        <f t="shared" si="0"/>
        <v/>
      </c>
      <c r="AM36" s="721">
        <f t="shared" si="1"/>
        <v>0</v>
      </c>
      <c r="AN36" s="721">
        <f t="shared" si="2"/>
        <v>0</v>
      </c>
      <c r="AP36" s="782">
        <v>100</v>
      </c>
      <c r="AQ36" s="193">
        <f>COUNTIF($P$7:$P$116,40)+COUNTIF($U$7:$U$116,40)</f>
        <v>0</v>
      </c>
      <c r="AV36" s="912"/>
      <c r="AW36" s="142"/>
      <c r="AX36" s="748"/>
      <c r="AY36" s="748"/>
      <c r="AZ36" s="748"/>
      <c r="BA36" s="1265"/>
      <c r="BB36" s="1265"/>
      <c r="BC36" s="1265"/>
      <c r="BD36" s="1265"/>
      <c r="BE36" s="1265"/>
      <c r="BF36" s="1265"/>
      <c r="BG36" s="1265"/>
    </row>
    <row r="37" spans="2:59">
      <c r="B37" s="773" t="str">
        <f>前年度登録!P34</f>
        <v/>
      </c>
      <c r="E37" s="774">
        <f>前年度登録!E34</f>
        <v>0</v>
      </c>
      <c r="F37" s="532" t="str">
        <f>前年度登録!CM34</f>
        <v/>
      </c>
      <c r="G37" s="990" t="str">
        <f>前年度登録!Z34</f>
        <v/>
      </c>
      <c r="H37" s="532" t="str">
        <f>前年度登録!CM34</f>
        <v/>
      </c>
      <c r="I37" s="185" t="str">
        <f>前年度登録!Y34</f>
        <v/>
      </c>
      <c r="J37" s="943" t="str">
        <f>前年度登録!CN34</f>
        <v/>
      </c>
      <c r="K37" s="891">
        <f>前年度登録!CP34</f>
        <v>0</v>
      </c>
      <c r="L37" s="892" t="str">
        <f>前年度登録!CU34</f>
        <v>00</v>
      </c>
      <c r="M37" s="773" t="str">
        <f>前年度登録!Q34</f>
        <v/>
      </c>
      <c r="N37" s="1258">
        <f>前年度登録!D34</f>
        <v>0</v>
      </c>
      <c r="O37" s="303"/>
      <c r="P37" s="258" t="str">
        <f>IF(O37="","",IF(I37=1,VLOOKUP(O37,男子種目コード!$A$1:$B$33,2,FALSE),IF(I37=2,VLOOKUP(O37,女子種目コード!$A$1:$B$27,2,FALSE))))</f>
        <v/>
      </c>
      <c r="Q37" s="494" t="str">
        <f>IF(O37="","",HLOOKUP(O37,前年度登録!$AH$3:$CH$118,32,FALSE))</f>
        <v/>
      </c>
      <c r="R37" s="624" t="str">
        <f t="shared" si="3"/>
        <v/>
      </c>
      <c r="S37" s="625" t="str">
        <f t="shared" si="4"/>
        <v/>
      </c>
      <c r="T37" s="303"/>
      <c r="U37" s="258" t="str">
        <f>IF(T37="","",IF(I37=1,VLOOKUP(T37,男子種目コード!$A$1:$B$33,2,FALSE),IF(I37=2,VLOOKUP(T37,女子種目コード!$A$1:$B$27,2,FALSE))))</f>
        <v/>
      </c>
      <c r="V37" s="540" t="str">
        <f>IF(T37="","",HLOOKUP(T37,前年度登録!$AH$3:$CH$118,32,FALSE))</f>
        <v/>
      </c>
      <c r="W37" s="620" t="str">
        <f t="shared" si="5"/>
        <v/>
      </c>
      <c r="X37" s="625" t="str">
        <f t="shared" si="6"/>
        <v/>
      </c>
      <c r="Y37" s="158"/>
      <c r="Z37" s="163"/>
      <c r="AA37" s="161"/>
      <c r="AB37" s="164"/>
      <c r="AC37" s="165"/>
      <c r="AD37" s="157"/>
      <c r="AE37" s="158"/>
      <c r="AF37" s="159"/>
      <c r="AG37" s="162"/>
      <c r="AH37" s="657"/>
      <c r="AI37" s="657"/>
      <c r="AK37" s="779"/>
      <c r="AL37" s="769" t="str">
        <f t="shared" si="0"/>
        <v/>
      </c>
      <c r="AM37" s="721">
        <f t="shared" si="1"/>
        <v>0</v>
      </c>
      <c r="AN37" s="721">
        <f t="shared" si="2"/>
        <v>0</v>
      </c>
      <c r="AP37" s="776">
        <v>200</v>
      </c>
      <c r="AQ37" s="193">
        <f>COUNTIF($P$7:$P$116,41)+COUNTIF($U$7:$U$116,41)</f>
        <v>0</v>
      </c>
      <c r="AV37" s="142"/>
      <c r="AW37" s="142"/>
      <c r="AX37" s="748"/>
      <c r="AY37" s="748"/>
      <c r="AZ37" s="748"/>
      <c r="BA37" s="1265"/>
      <c r="BB37" s="1265"/>
      <c r="BC37" s="1265"/>
      <c r="BD37" s="1265"/>
      <c r="BE37" s="1265"/>
      <c r="BF37" s="1265"/>
      <c r="BG37" s="1265"/>
    </row>
    <row r="38" spans="2:59">
      <c r="B38" s="773" t="str">
        <f>前年度登録!P35</f>
        <v/>
      </c>
      <c r="E38" s="774">
        <f>前年度登録!E35</f>
        <v>0</v>
      </c>
      <c r="F38" s="532" t="str">
        <f>前年度登録!CM35</f>
        <v/>
      </c>
      <c r="G38" s="990" t="str">
        <f>前年度登録!Z35</f>
        <v/>
      </c>
      <c r="H38" s="532" t="str">
        <f>前年度登録!CM35</f>
        <v/>
      </c>
      <c r="I38" s="185" t="str">
        <f>前年度登録!Y35</f>
        <v/>
      </c>
      <c r="J38" s="943" t="str">
        <f>前年度登録!CN35</f>
        <v/>
      </c>
      <c r="K38" s="891">
        <f>前年度登録!CP35</f>
        <v>0</v>
      </c>
      <c r="L38" s="892" t="str">
        <f>前年度登録!CU35</f>
        <v>00</v>
      </c>
      <c r="M38" s="773" t="str">
        <f>前年度登録!Q35</f>
        <v/>
      </c>
      <c r="N38" s="1258">
        <f>前年度登録!D35</f>
        <v>0</v>
      </c>
      <c r="O38" s="303"/>
      <c r="P38" s="258" t="str">
        <f>IF(O38="","",IF(I38=1,VLOOKUP(O38,男子種目コード!$A$1:$B$33,2,FALSE),IF(I38=2,VLOOKUP(O38,女子種目コード!$A$1:$B$27,2,FALSE))))</f>
        <v/>
      </c>
      <c r="Q38" s="494" t="str">
        <f>IF(O38="","",HLOOKUP(O38,前年度登録!$AH$3:$CH$118,33,FALSE))</f>
        <v/>
      </c>
      <c r="R38" s="624" t="str">
        <f t="shared" si="3"/>
        <v/>
      </c>
      <c r="S38" s="625" t="str">
        <f t="shared" si="4"/>
        <v/>
      </c>
      <c r="T38" s="303"/>
      <c r="U38" s="258" t="str">
        <f>IF(T38="","",IF(I38=1,VLOOKUP(T38,男子種目コード!$A$1:$B$33,2,FALSE),IF(I38=2,VLOOKUP(T38,女子種目コード!$A$1:$B$27,2,FALSE))))</f>
        <v/>
      </c>
      <c r="V38" s="540" t="str">
        <f>IF(T38="","",HLOOKUP(T38,前年度登録!$AH$3:$CH$118,33,FALSE))</f>
        <v/>
      </c>
      <c r="W38" s="620" t="str">
        <f t="shared" si="5"/>
        <v/>
      </c>
      <c r="X38" s="625" t="str">
        <f t="shared" si="6"/>
        <v/>
      </c>
      <c r="Y38" s="158"/>
      <c r="Z38" s="163"/>
      <c r="AA38" s="161"/>
      <c r="AB38" s="164"/>
      <c r="AC38" s="165"/>
      <c r="AD38" s="157"/>
      <c r="AE38" s="158"/>
      <c r="AF38" s="159"/>
      <c r="AG38" s="162"/>
      <c r="AH38" s="657"/>
      <c r="AI38" s="657"/>
      <c r="AK38" s="779"/>
      <c r="AL38" s="769" t="str">
        <f t="shared" si="0"/>
        <v/>
      </c>
      <c r="AM38" s="721">
        <f t="shared" si="1"/>
        <v>0</v>
      </c>
      <c r="AN38" s="721">
        <f t="shared" si="2"/>
        <v>0</v>
      </c>
      <c r="AP38" s="776">
        <v>400</v>
      </c>
      <c r="AQ38" s="193">
        <f>COUNTIF($P$7:$P$116,42)+COUNTIF($U$7:$U$116,42)</f>
        <v>0</v>
      </c>
      <c r="AV38" s="142"/>
      <c r="AW38" s="142"/>
      <c r="AX38" s="748"/>
      <c r="AY38" s="748"/>
      <c r="AZ38" s="748"/>
      <c r="BA38" s="1265"/>
      <c r="BB38" s="1265"/>
      <c r="BC38" s="1265"/>
      <c r="BD38" s="1265"/>
      <c r="BE38" s="1265"/>
      <c r="BF38" s="1265"/>
      <c r="BG38" s="1265"/>
    </row>
    <row r="39" spans="2:59">
      <c r="B39" s="773" t="str">
        <f>前年度登録!P36</f>
        <v/>
      </c>
      <c r="E39" s="774">
        <f>前年度登録!E36</f>
        <v>0</v>
      </c>
      <c r="F39" s="532" t="str">
        <f>前年度登録!CM36</f>
        <v/>
      </c>
      <c r="G39" s="990" t="str">
        <f>前年度登録!Z36</f>
        <v/>
      </c>
      <c r="H39" s="532" t="str">
        <f>前年度登録!CM36</f>
        <v/>
      </c>
      <c r="I39" s="185" t="str">
        <f>前年度登録!Y36</f>
        <v/>
      </c>
      <c r="J39" s="943" t="str">
        <f>前年度登録!CN36</f>
        <v/>
      </c>
      <c r="K39" s="891">
        <f>前年度登録!CP36</f>
        <v>0</v>
      </c>
      <c r="L39" s="892" t="str">
        <f>前年度登録!CU36</f>
        <v>00</v>
      </c>
      <c r="M39" s="773" t="str">
        <f>前年度登録!Q36</f>
        <v/>
      </c>
      <c r="N39" s="1258">
        <f>前年度登録!D36</f>
        <v>0</v>
      </c>
      <c r="O39" s="303"/>
      <c r="P39" s="258" t="str">
        <f>IF(O39="","",IF(I39=1,VLOOKUP(O39,男子種目コード!$A$1:$B$33,2,FALSE),IF(I39=2,VLOOKUP(O39,女子種目コード!$A$1:$B$27,2,FALSE))))</f>
        <v/>
      </c>
      <c r="Q39" s="494" t="str">
        <f>IF(O39="","",HLOOKUP(O39,前年度登録!$AH$3:$CH$118,34,FALSE))</f>
        <v/>
      </c>
      <c r="R39" s="624" t="str">
        <f t="shared" si="3"/>
        <v/>
      </c>
      <c r="S39" s="625" t="str">
        <f t="shared" si="4"/>
        <v/>
      </c>
      <c r="T39" s="303"/>
      <c r="U39" s="258" t="str">
        <f>IF(T39="","",IF(I39=1,VLOOKUP(T39,男子種目コード!$A$1:$B$33,2,FALSE),IF(I39=2,VLOOKUP(T39,女子種目コード!$A$1:$B$27,2,FALSE))))</f>
        <v/>
      </c>
      <c r="V39" s="540" t="str">
        <f>IF(T39="","",HLOOKUP(T39,前年度登録!$AH$3:$CH$118,34,FALSE))</f>
        <v/>
      </c>
      <c r="W39" s="620" t="str">
        <f t="shared" si="5"/>
        <v/>
      </c>
      <c r="X39" s="625" t="str">
        <f t="shared" si="6"/>
        <v/>
      </c>
      <c r="Y39" s="158"/>
      <c r="Z39" s="163"/>
      <c r="AA39" s="161"/>
      <c r="AB39" s="164"/>
      <c r="AC39" s="165"/>
      <c r="AD39" s="157"/>
      <c r="AE39" s="158"/>
      <c r="AF39" s="159"/>
      <c r="AG39" s="162"/>
      <c r="AH39" s="657"/>
      <c r="AI39" s="657"/>
      <c r="AK39" s="779"/>
      <c r="AL39" s="769" t="str">
        <f t="shared" ref="AL39:AL70" si="7">IF(O39="","",1)</f>
        <v/>
      </c>
      <c r="AM39" s="721">
        <f t="shared" ref="AM39:AM70" si="8">IF(OR(AL39=1,T39=""),0,1)</f>
        <v>0</v>
      </c>
      <c r="AN39" s="721">
        <f t="shared" ref="AN39:AN70" si="9">IF(OR(AL39=1,AM39=1,AB39=""),0,1)</f>
        <v>0</v>
      </c>
      <c r="AP39" s="776">
        <v>800</v>
      </c>
      <c r="AQ39" s="193">
        <f>COUNTIF($P$7:$P$116,43)+COUNTIF($U$7:$U$116,43)</f>
        <v>0</v>
      </c>
      <c r="AR39" s="783"/>
      <c r="AV39" s="142"/>
      <c r="AW39" s="142"/>
      <c r="AX39" s="748"/>
      <c r="AY39" s="748"/>
      <c r="AZ39" s="748"/>
      <c r="BA39" s="1265"/>
      <c r="BB39" s="1265"/>
      <c r="BC39" s="1265"/>
      <c r="BD39" s="1265"/>
      <c r="BE39" s="1265"/>
      <c r="BF39" s="1265"/>
      <c r="BG39" s="1265"/>
    </row>
    <row r="40" spans="2:59">
      <c r="B40" s="773" t="str">
        <f>前年度登録!P37</f>
        <v/>
      </c>
      <c r="E40" s="774">
        <f>前年度登録!E37</f>
        <v>0</v>
      </c>
      <c r="F40" s="532" t="str">
        <f>前年度登録!CM37</f>
        <v/>
      </c>
      <c r="G40" s="990" t="str">
        <f>前年度登録!Z37</f>
        <v/>
      </c>
      <c r="H40" s="532" t="str">
        <f>前年度登録!CM37</f>
        <v/>
      </c>
      <c r="I40" s="185" t="str">
        <f>前年度登録!Y37</f>
        <v/>
      </c>
      <c r="J40" s="943" t="str">
        <f>前年度登録!CN37</f>
        <v/>
      </c>
      <c r="K40" s="891">
        <f>前年度登録!CP37</f>
        <v>0</v>
      </c>
      <c r="L40" s="892" t="str">
        <f>前年度登録!CU37</f>
        <v>00</v>
      </c>
      <c r="M40" s="773" t="str">
        <f>前年度登録!Q37</f>
        <v/>
      </c>
      <c r="N40" s="1258">
        <f>前年度登録!D37</f>
        <v>0</v>
      </c>
      <c r="O40" s="303"/>
      <c r="P40" s="258" t="str">
        <f>IF(O40="","",IF(I40=1,VLOOKUP(O40,男子種目コード!$A$1:$B$33,2,FALSE),IF(I40=2,VLOOKUP(O40,女子種目コード!$A$1:$B$27,2,FALSE))))</f>
        <v/>
      </c>
      <c r="Q40" s="494" t="str">
        <f>IF(O40="","",HLOOKUP(O40,前年度登録!$AH$3:$CH$118,35,FALSE))</f>
        <v/>
      </c>
      <c r="R40" s="624" t="str">
        <f t="shared" si="3"/>
        <v/>
      </c>
      <c r="S40" s="625" t="str">
        <f t="shared" si="4"/>
        <v/>
      </c>
      <c r="T40" s="303"/>
      <c r="U40" s="258" t="str">
        <f>IF(T40="","",IF(I40=1,VLOOKUP(T40,男子種目コード!$A$1:$B$33,2,FALSE),IF(I40=2,VLOOKUP(T40,女子種目コード!$A$1:$B$27,2,FALSE))))</f>
        <v/>
      </c>
      <c r="V40" s="540" t="str">
        <f>IF(T40="","",HLOOKUP(T40,前年度登録!$AH$3:$CH$118,35,FALSE))</f>
        <v/>
      </c>
      <c r="W40" s="620" t="str">
        <f t="shared" si="5"/>
        <v/>
      </c>
      <c r="X40" s="625" t="str">
        <f t="shared" si="6"/>
        <v/>
      </c>
      <c r="Y40" s="158"/>
      <c r="Z40" s="163"/>
      <c r="AA40" s="161"/>
      <c r="AB40" s="164"/>
      <c r="AC40" s="165"/>
      <c r="AD40" s="157"/>
      <c r="AE40" s="158"/>
      <c r="AF40" s="159"/>
      <c r="AG40" s="162"/>
      <c r="AH40" s="657"/>
      <c r="AI40" s="657"/>
      <c r="AK40" s="142"/>
      <c r="AL40" s="769" t="str">
        <f t="shared" si="7"/>
        <v/>
      </c>
      <c r="AM40" s="721">
        <f t="shared" si="8"/>
        <v>0</v>
      </c>
      <c r="AN40" s="721">
        <f t="shared" si="9"/>
        <v>0</v>
      </c>
      <c r="AP40" s="776">
        <v>1500</v>
      </c>
      <c r="AQ40" s="193">
        <f>COUNTIF($P$7:$P$116,44)+COUNTIF($U$7:$U$116,44)</f>
        <v>0</v>
      </c>
      <c r="AV40" s="142"/>
      <c r="AW40" s="142"/>
      <c r="AX40" s="748"/>
      <c r="AY40" s="748"/>
      <c r="AZ40" s="748"/>
      <c r="BA40" s="1265"/>
      <c r="BB40" s="1265"/>
      <c r="BC40" s="1265"/>
      <c r="BD40" s="1265"/>
      <c r="BE40" s="1265"/>
      <c r="BF40" s="1265"/>
      <c r="BG40" s="1265"/>
    </row>
    <row r="41" spans="2:59">
      <c r="B41" s="773" t="str">
        <f>前年度登録!P38</f>
        <v/>
      </c>
      <c r="E41" s="774">
        <f>前年度登録!E38</f>
        <v>0</v>
      </c>
      <c r="F41" s="532" t="str">
        <f>前年度登録!CM38</f>
        <v/>
      </c>
      <c r="G41" s="990" t="str">
        <f>前年度登録!Z38</f>
        <v/>
      </c>
      <c r="H41" s="532" t="str">
        <f>前年度登録!CM38</f>
        <v/>
      </c>
      <c r="I41" s="185" t="str">
        <f>前年度登録!Y38</f>
        <v/>
      </c>
      <c r="J41" s="943" t="str">
        <f>前年度登録!CN38</f>
        <v/>
      </c>
      <c r="K41" s="891">
        <f>前年度登録!CP38</f>
        <v>0</v>
      </c>
      <c r="L41" s="892" t="str">
        <f>前年度登録!CU38</f>
        <v>00</v>
      </c>
      <c r="M41" s="773" t="str">
        <f>前年度登録!Q38</f>
        <v/>
      </c>
      <c r="N41" s="1258">
        <f>前年度登録!D38</f>
        <v>0</v>
      </c>
      <c r="O41" s="303"/>
      <c r="P41" s="258" t="str">
        <f>IF(O41="","",IF(I41=1,VLOOKUP(O41,男子種目コード!$A$1:$B$33,2,FALSE),IF(I41=2,VLOOKUP(O41,女子種目コード!$A$1:$B$27,2,FALSE))))</f>
        <v/>
      </c>
      <c r="Q41" s="494" t="str">
        <f>IF(O41="","",HLOOKUP(O41,前年度登録!$AH$3:$CH$118,36,FALSE))</f>
        <v/>
      </c>
      <c r="R41" s="624" t="str">
        <f t="shared" si="3"/>
        <v/>
      </c>
      <c r="S41" s="625" t="str">
        <f t="shared" si="4"/>
        <v/>
      </c>
      <c r="T41" s="303"/>
      <c r="U41" s="258" t="str">
        <f>IF(T41="","",IF(I41=1,VLOOKUP(T41,男子種目コード!$A$1:$B$33,2,FALSE),IF(I41=2,VLOOKUP(T41,女子種目コード!$A$1:$B$27,2,FALSE))))</f>
        <v/>
      </c>
      <c r="V41" s="540" t="str">
        <f>IF(T41="","",HLOOKUP(T41,前年度登録!$AH$3:$CH$118,36,FALSE))</f>
        <v/>
      </c>
      <c r="W41" s="620" t="str">
        <f t="shared" si="5"/>
        <v/>
      </c>
      <c r="X41" s="625" t="str">
        <f t="shared" si="6"/>
        <v/>
      </c>
      <c r="Y41" s="158"/>
      <c r="Z41" s="163"/>
      <c r="AA41" s="161"/>
      <c r="AB41" s="164"/>
      <c r="AC41" s="165"/>
      <c r="AD41" s="157"/>
      <c r="AE41" s="158"/>
      <c r="AF41" s="159"/>
      <c r="AG41" s="162"/>
      <c r="AH41" s="657"/>
      <c r="AI41" s="657"/>
      <c r="AK41" s="142"/>
      <c r="AL41" s="769" t="str">
        <f t="shared" si="7"/>
        <v/>
      </c>
      <c r="AM41" s="721">
        <f t="shared" si="8"/>
        <v>0</v>
      </c>
      <c r="AN41" s="721">
        <f t="shared" si="9"/>
        <v>0</v>
      </c>
      <c r="AP41" s="778" t="s">
        <v>338</v>
      </c>
      <c r="AQ41" s="193">
        <f>COUNTIF($P$7:$P$116,64)+COUNTIF($U$7:$U$116,64)</f>
        <v>0</v>
      </c>
      <c r="AV41" s="142"/>
      <c r="AW41" s="142"/>
      <c r="AX41" s="748"/>
      <c r="AY41" s="748"/>
      <c r="AZ41" s="748"/>
      <c r="BA41" s="1265"/>
      <c r="BB41" s="1265"/>
      <c r="BC41" s="1265"/>
      <c r="BD41" s="1265"/>
      <c r="BE41" s="1265"/>
      <c r="BF41" s="1265"/>
      <c r="BG41" s="1265"/>
    </row>
    <row r="42" spans="2:59">
      <c r="B42" s="773" t="str">
        <f>前年度登録!P39</f>
        <v/>
      </c>
      <c r="E42" s="774">
        <f>前年度登録!E39</f>
        <v>0</v>
      </c>
      <c r="F42" s="532" t="str">
        <f>前年度登録!CM39</f>
        <v/>
      </c>
      <c r="G42" s="990" t="str">
        <f>前年度登録!Z39</f>
        <v/>
      </c>
      <c r="H42" s="532" t="str">
        <f>前年度登録!CM39</f>
        <v/>
      </c>
      <c r="I42" s="185" t="str">
        <f>前年度登録!Y39</f>
        <v/>
      </c>
      <c r="J42" s="943" t="str">
        <f>前年度登録!CN39</f>
        <v/>
      </c>
      <c r="K42" s="891">
        <f>前年度登録!CP39</f>
        <v>0</v>
      </c>
      <c r="L42" s="892" t="str">
        <f>前年度登録!CU39</f>
        <v>00</v>
      </c>
      <c r="M42" s="773" t="str">
        <f>前年度登録!Q39</f>
        <v/>
      </c>
      <c r="N42" s="1258">
        <f>前年度登録!D39</f>
        <v>0</v>
      </c>
      <c r="O42" s="303"/>
      <c r="P42" s="258" t="str">
        <f>IF(O42="","",IF(I42=1,VLOOKUP(O42,男子種目コード!$A$1:$B$33,2,FALSE),IF(I42=2,VLOOKUP(O42,女子種目コード!$A$1:$B$27,2,FALSE))))</f>
        <v/>
      </c>
      <c r="Q42" s="494" t="str">
        <f>IF(O42="","",HLOOKUP(O42,前年度登録!$AH$3:$CH$118,37,FALSE))</f>
        <v/>
      </c>
      <c r="R42" s="624" t="str">
        <f t="shared" si="3"/>
        <v/>
      </c>
      <c r="S42" s="625" t="str">
        <f t="shared" si="4"/>
        <v/>
      </c>
      <c r="T42" s="303"/>
      <c r="U42" s="258" t="str">
        <f>IF(T42="","",IF(I42=1,VLOOKUP(T42,男子種目コード!$A$1:$B$33,2,FALSE),IF(I42=2,VLOOKUP(T42,女子種目コード!$A$1:$B$27,2,FALSE))))</f>
        <v/>
      </c>
      <c r="V42" s="540" t="str">
        <f>IF(T42="","",HLOOKUP(T42,前年度登録!$AH$3:$CH$118,37,FALSE))</f>
        <v/>
      </c>
      <c r="W42" s="620" t="str">
        <f t="shared" si="5"/>
        <v/>
      </c>
      <c r="X42" s="625" t="str">
        <f t="shared" si="6"/>
        <v/>
      </c>
      <c r="Y42" s="158"/>
      <c r="Z42" s="163"/>
      <c r="AA42" s="161"/>
      <c r="AB42" s="164"/>
      <c r="AC42" s="165"/>
      <c r="AD42" s="157"/>
      <c r="AE42" s="158"/>
      <c r="AF42" s="159"/>
      <c r="AG42" s="162"/>
      <c r="AH42" s="657"/>
      <c r="AI42" s="657"/>
      <c r="AK42" s="142"/>
      <c r="AL42" s="769" t="str">
        <f t="shared" si="7"/>
        <v/>
      </c>
      <c r="AM42" s="721">
        <f t="shared" si="8"/>
        <v>0</v>
      </c>
      <c r="AN42" s="721">
        <f t="shared" si="9"/>
        <v>0</v>
      </c>
      <c r="AP42" s="776">
        <v>5000</v>
      </c>
      <c r="AQ42" s="193">
        <f>COUNTIF($P$7:$P$116,46)+COUNTIF($U$7:$U$116,46)</f>
        <v>0</v>
      </c>
      <c r="AV42" s="142"/>
      <c r="AW42" s="142"/>
      <c r="AX42" s="748"/>
      <c r="AY42" s="748"/>
      <c r="AZ42" s="748"/>
      <c r="BA42" s="1265"/>
      <c r="BB42" s="1265"/>
      <c r="BC42" s="1265"/>
      <c r="BD42" s="1265"/>
      <c r="BE42" s="1265"/>
      <c r="BF42" s="1265"/>
      <c r="BG42" s="1265"/>
    </row>
    <row r="43" spans="2:59">
      <c r="B43" s="773" t="str">
        <f>前年度登録!P40</f>
        <v/>
      </c>
      <c r="E43" s="774">
        <f>前年度登録!E40</f>
        <v>0</v>
      </c>
      <c r="F43" s="532" t="str">
        <f>前年度登録!CM40</f>
        <v/>
      </c>
      <c r="G43" s="990" t="str">
        <f>前年度登録!Z40</f>
        <v/>
      </c>
      <c r="H43" s="532" t="str">
        <f>前年度登録!CM40</f>
        <v/>
      </c>
      <c r="I43" s="185" t="str">
        <f>前年度登録!Y40</f>
        <v/>
      </c>
      <c r="J43" s="943" t="str">
        <f>前年度登録!CN40</f>
        <v/>
      </c>
      <c r="K43" s="891">
        <f>前年度登録!CP40</f>
        <v>0</v>
      </c>
      <c r="L43" s="892" t="str">
        <f>前年度登録!CU40</f>
        <v>00</v>
      </c>
      <c r="M43" s="773" t="str">
        <f>前年度登録!Q40</f>
        <v/>
      </c>
      <c r="N43" s="1258">
        <f>前年度登録!D40</f>
        <v>0</v>
      </c>
      <c r="O43" s="303"/>
      <c r="P43" s="258" t="str">
        <f>IF(O43="","",IF(I43=1,VLOOKUP(O43,男子種目コード!$A$1:$B$33,2,FALSE),IF(I43=2,VLOOKUP(O43,女子種目コード!$A$1:$B$27,2,FALSE))))</f>
        <v/>
      </c>
      <c r="Q43" s="494" t="str">
        <f>IF(O43="","",HLOOKUP(O43,前年度登録!$AH$3:$CH$118,38,FALSE))</f>
        <v/>
      </c>
      <c r="R43" s="624" t="str">
        <f t="shared" si="3"/>
        <v/>
      </c>
      <c r="S43" s="625" t="str">
        <f t="shared" si="4"/>
        <v/>
      </c>
      <c r="T43" s="303"/>
      <c r="U43" s="258" t="str">
        <f>IF(T43="","",IF(I43=1,VLOOKUP(T43,男子種目コード!$A$1:$B$33,2,FALSE),IF(I43=2,VLOOKUP(T43,女子種目コード!$A$1:$B$27,2,FALSE))))</f>
        <v/>
      </c>
      <c r="V43" s="540" t="str">
        <f>IF(T43="","",HLOOKUP(T43,前年度登録!$AH$3:$CH$118,38,FALSE))</f>
        <v/>
      </c>
      <c r="W43" s="620" t="str">
        <f t="shared" si="5"/>
        <v/>
      </c>
      <c r="X43" s="625" t="str">
        <f t="shared" si="6"/>
        <v/>
      </c>
      <c r="Y43" s="158"/>
      <c r="Z43" s="163"/>
      <c r="AA43" s="161"/>
      <c r="AB43" s="164"/>
      <c r="AC43" s="165"/>
      <c r="AD43" s="157"/>
      <c r="AE43" s="158"/>
      <c r="AF43" s="159"/>
      <c r="AG43" s="162"/>
      <c r="AH43" s="657"/>
      <c r="AI43" s="657"/>
      <c r="AK43" s="142"/>
      <c r="AL43" s="769" t="str">
        <f t="shared" si="7"/>
        <v/>
      </c>
      <c r="AM43" s="721">
        <f t="shared" si="8"/>
        <v>0</v>
      </c>
      <c r="AN43" s="721">
        <f t="shared" si="9"/>
        <v>0</v>
      </c>
      <c r="AP43" s="776">
        <v>10000</v>
      </c>
      <c r="AQ43" s="193">
        <f>COUNTIF($P$7:$P$116,47)+COUNTIF($U$7:$U$116,47)</f>
        <v>0</v>
      </c>
      <c r="AV43" s="142"/>
      <c r="AW43" s="142"/>
      <c r="AX43" s="748"/>
      <c r="AY43" s="748"/>
      <c r="AZ43" s="748"/>
      <c r="BA43" s="1265"/>
      <c r="BB43" s="1265"/>
      <c r="BC43" s="1265"/>
      <c r="BD43" s="1265"/>
      <c r="BE43" s="1265"/>
      <c r="BF43" s="1265"/>
      <c r="BG43" s="1265"/>
    </row>
    <row r="44" spans="2:59">
      <c r="B44" s="773" t="str">
        <f>前年度登録!P41</f>
        <v/>
      </c>
      <c r="E44" s="774">
        <f>前年度登録!E41</f>
        <v>0</v>
      </c>
      <c r="F44" s="532" t="str">
        <f>前年度登録!CM41</f>
        <v/>
      </c>
      <c r="G44" s="990" t="str">
        <f>前年度登録!Z41</f>
        <v/>
      </c>
      <c r="H44" s="532" t="str">
        <f>前年度登録!CM41</f>
        <v/>
      </c>
      <c r="I44" s="185" t="str">
        <f>前年度登録!Y41</f>
        <v/>
      </c>
      <c r="J44" s="943" t="str">
        <f>前年度登録!CN41</f>
        <v/>
      </c>
      <c r="K44" s="891">
        <f>前年度登録!CP41</f>
        <v>0</v>
      </c>
      <c r="L44" s="892" t="str">
        <f>前年度登録!CU41</f>
        <v>00</v>
      </c>
      <c r="M44" s="773" t="str">
        <f>前年度登録!Q41</f>
        <v/>
      </c>
      <c r="N44" s="1258">
        <f>前年度登録!D41</f>
        <v>0</v>
      </c>
      <c r="O44" s="303"/>
      <c r="P44" s="258" t="str">
        <f>IF(O44="","",IF(I44=1,VLOOKUP(O44,男子種目コード!$A$1:$B$33,2,FALSE),IF(I44=2,VLOOKUP(O44,女子種目コード!$A$1:$B$27,2,FALSE))))</f>
        <v/>
      </c>
      <c r="Q44" s="494" t="str">
        <f>IF(O44="","",HLOOKUP(O44,前年度登録!$AH$3:$CH$118,39,FALSE))</f>
        <v/>
      </c>
      <c r="R44" s="624" t="str">
        <f t="shared" si="3"/>
        <v/>
      </c>
      <c r="S44" s="625" t="str">
        <f t="shared" si="4"/>
        <v/>
      </c>
      <c r="T44" s="303"/>
      <c r="U44" s="258" t="str">
        <f>IF(T44="","",IF(I44=1,VLOOKUP(T44,男子種目コード!$A$1:$B$33,2,FALSE),IF(I44=2,VLOOKUP(T44,女子種目コード!$A$1:$B$27,2,FALSE))))</f>
        <v/>
      </c>
      <c r="V44" s="540" t="str">
        <f>IF(T44="","",HLOOKUP(T44,前年度登録!$AH$3:$CH$118,39,FALSE))</f>
        <v/>
      </c>
      <c r="W44" s="620" t="str">
        <f t="shared" si="5"/>
        <v/>
      </c>
      <c r="X44" s="625" t="str">
        <f t="shared" si="6"/>
        <v/>
      </c>
      <c r="Y44" s="158"/>
      <c r="Z44" s="163"/>
      <c r="AA44" s="161"/>
      <c r="AB44" s="164"/>
      <c r="AC44" s="165"/>
      <c r="AD44" s="157"/>
      <c r="AE44" s="158"/>
      <c r="AF44" s="159"/>
      <c r="AG44" s="162"/>
      <c r="AH44" s="657"/>
      <c r="AI44" s="657"/>
      <c r="AK44" s="142"/>
      <c r="AL44" s="769" t="str">
        <f t="shared" si="7"/>
        <v/>
      </c>
      <c r="AM44" s="721">
        <f t="shared" si="8"/>
        <v>0</v>
      </c>
      <c r="AN44" s="721">
        <f t="shared" si="9"/>
        <v>0</v>
      </c>
      <c r="AP44" s="776" t="s">
        <v>267</v>
      </c>
      <c r="AQ44" s="193">
        <f>COUNTIF($P$7:$P$116,48)+COUNTIF($U$7:$U$116,48)</f>
        <v>0</v>
      </c>
      <c r="AV44" s="142"/>
      <c r="AW44" s="142"/>
      <c r="AX44" s="748"/>
      <c r="AY44" s="748"/>
      <c r="AZ44" s="748"/>
      <c r="BA44" s="1265"/>
      <c r="BB44" s="1265"/>
      <c r="BC44" s="1265"/>
      <c r="BD44" s="1265"/>
      <c r="BE44" s="1265"/>
      <c r="BF44" s="1265"/>
      <c r="BG44" s="1265"/>
    </row>
    <row r="45" spans="2:59">
      <c r="B45" s="773" t="str">
        <f>前年度登録!P42</f>
        <v/>
      </c>
      <c r="E45" s="774">
        <f>前年度登録!E42</f>
        <v>0</v>
      </c>
      <c r="F45" s="532" t="str">
        <f>前年度登録!CM42</f>
        <v/>
      </c>
      <c r="G45" s="990" t="str">
        <f>前年度登録!Z42</f>
        <v/>
      </c>
      <c r="H45" s="532" t="str">
        <f>前年度登録!CM42</f>
        <v/>
      </c>
      <c r="I45" s="185" t="str">
        <f>前年度登録!Y42</f>
        <v/>
      </c>
      <c r="J45" s="943" t="str">
        <f>前年度登録!CN42</f>
        <v/>
      </c>
      <c r="K45" s="891">
        <f>前年度登録!CP42</f>
        <v>0</v>
      </c>
      <c r="L45" s="892" t="str">
        <f>前年度登録!CU42</f>
        <v>00</v>
      </c>
      <c r="M45" s="773" t="str">
        <f>前年度登録!Q42</f>
        <v/>
      </c>
      <c r="N45" s="1258">
        <f>前年度登録!D42</f>
        <v>0</v>
      </c>
      <c r="O45" s="303"/>
      <c r="P45" s="258" t="str">
        <f>IF(O45="","",IF(I45=1,VLOOKUP(O45,男子種目コード!$A$1:$B$33,2,FALSE),IF(I45=2,VLOOKUP(O45,女子種目コード!$A$1:$B$27,2,FALSE))))</f>
        <v/>
      </c>
      <c r="Q45" s="494" t="str">
        <f>IF(O45="","",HLOOKUP(O45,前年度登録!$AH$3:$CH$118,40,FALSE))</f>
        <v/>
      </c>
      <c r="R45" s="624" t="str">
        <f t="shared" si="3"/>
        <v/>
      </c>
      <c r="S45" s="625" t="str">
        <f t="shared" si="4"/>
        <v/>
      </c>
      <c r="T45" s="303"/>
      <c r="U45" s="258" t="str">
        <f>IF(T45="","",IF(I45=1,VLOOKUP(T45,男子種目コード!$A$1:$B$33,2,FALSE),IF(I45=2,VLOOKUP(T45,女子種目コード!$A$1:$B$27,2,FALSE))))</f>
        <v/>
      </c>
      <c r="V45" s="540" t="str">
        <f>IF(T45="","",HLOOKUP(T45,前年度登録!$AH$3:$CH$118,40,FALSE))</f>
        <v/>
      </c>
      <c r="W45" s="620" t="str">
        <f t="shared" si="5"/>
        <v/>
      </c>
      <c r="X45" s="625" t="str">
        <f t="shared" si="6"/>
        <v/>
      </c>
      <c r="Y45" s="158"/>
      <c r="Z45" s="163"/>
      <c r="AA45" s="161"/>
      <c r="AB45" s="164"/>
      <c r="AC45" s="165"/>
      <c r="AD45" s="157"/>
      <c r="AE45" s="158"/>
      <c r="AF45" s="159"/>
      <c r="AG45" s="162"/>
      <c r="AH45" s="657"/>
      <c r="AI45" s="657"/>
      <c r="AK45" s="142"/>
      <c r="AL45" s="769" t="str">
        <f t="shared" si="7"/>
        <v/>
      </c>
      <c r="AM45" s="721">
        <f t="shared" si="8"/>
        <v>0</v>
      </c>
      <c r="AN45" s="721">
        <f t="shared" si="9"/>
        <v>0</v>
      </c>
      <c r="AP45" s="778" t="s">
        <v>339</v>
      </c>
      <c r="AQ45" s="193">
        <f>COUNTIF($P$7:$P$116,65)+COUNTIF($U$7:$U$116,65)</f>
        <v>0</v>
      </c>
      <c r="AV45" s="142"/>
      <c r="AW45" s="142"/>
      <c r="AX45" s="748"/>
      <c r="AY45" s="748"/>
      <c r="AZ45" s="748"/>
      <c r="BA45" s="1265"/>
      <c r="BB45" s="1265"/>
      <c r="BC45" s="1265"/>
      <c r="BD45" s="1265"/>
      <c r="BE45" s="1265"/>
      <c r="BF45" s="1265"/>
      <c r="BG45" s="1265"/>
    </row>
    <row r="46" spans="2:59">
      <c r="B46" s="773" t="str">
        <f>前年度登録!P43</f>
        <v/>
      </c>
      <c r="E46" s="774">
        <f>前年度登録!E43</f>
        <v>0</v>
      </c>
      <c r="F46" s="532" t="str">
        <f>前年度登録!CM43</f>
        <v/>
      </c>
      <c r="G46" s="990" t="str">
        <f>前年度登録!Z43</f>
        <v/>
      </c>
      <c r="H46" s="532" t="str">
        <f>前年度登録!CM43</f>
        <v/>
      </c>
      <c r="I46" s="185" t="str">
        <f>前年度登録!Y43</f>
        <v/>
      </c>
      <c r="J46" s="943" t="str">
        <f>前年度登録!CN43</f>
        <v/>
      </c>
      <c r="K46" s="891">
        <f>前年度登録!CP43</f>
        <v>0</v>
      </c>
      <c r="L46" s="892" t="str">
        <f>前年度登録!CU43</f>
        <v>00</v>
      </c>
      <c r="M46" s="773" t="str">
        <f>前年度登録!Q43</f>
        <v/>
      </c>
      <c r="N46" s="1258">
        <f>前年度登録!D43</f>
        <v>0</v>
      </c>
      <c r="O46" s="303"/>
      <c r="P46" s="258" t="str">
        <f>IF(O46="","",IF(I46=1,VLOOKUP(O46,男子種目コード!$A$1:$B$33,2,FALSE),IF(I46=2,VLOOKUP(O46,女子種目コード!$A$1:$B$27,2,FALSE))))</f>
        <v/>
      </c>
      <c r="Q46" s="494" t="str">
        <f>IF(O46="","",HLOOKUP(O46,前年度登録!$AH$3:$CH$118,41,FALSE))</f>
        <v/>
      </c>
      <c r="R46" s="624" t="str">
        <f t="shared" si="3"/>
        <v/>
      </c>
      <c r="S46" s="625" t="str">
        <f t="shared" si="4"/>
        <v/>
      </c>
      <c r="T46" s="303"/>
      <c r="U46" s="258" t="str">
        <f>IF(T46="","",IF(I46=1,VLOOKUP(T46,男子種目コード!$A$1:$B$33,2,FALSE),IF(I46=2,VLOOKUP(T46,女子種目コード!$A$1:$B$27,2,FALSE))))</f>
        <v/>
      </c>
      <c r="V46" s="540" t="str">
        <f>IF(T46="","",HLOOKUP(T46,前年度登録!$AH$3:$CH$118,41,FALSE))</f>
        <v/>
      </c>
      <c r="W46" s="620" t="str">
        <f t="shared" si="5"/>
        <v/>
      </c>
      <c r="X46" s="625" t="str">
        <f t="shared" si="6"/>
        <v/>
      </c>
      <c r="Y46" s="158"/>
      <c r="Z46" s="163"/>
      <c r="AA46" s="161"/>
      <c r="AB46" s="164"/>
      <c r="AC46" s="165"/>
      <c r="AD46" s="157"/>
      <c r="AE46" s="158"/>
      <c r="AF46" s="159"/>
      <c r="AG46" s="162"/>
      <c r="AH46" s="657"/>
      <c r="AI46" s="657"/>
      <c r="AK46" s="142"/>
      <c r="AL46" s="769" t="str">
        <f t="shared" si="7"/>
        <v/>
      </c>
      <c r="AM46" s="721">
        <f t="shared" si="8"/>
        <v>0</v>
      </c>
      <c r="AN46" s="721">
        <f t="shared" si="9"/>
        <v>0</v>
      </c>
      <c r="AP46" s="778" t="s">
        <v>264</v>
      </c>
      <c r="AQ46" s="193">
        <f>COUNTIF($P$7:$P$116,49)+COUNTIF($U$7:$U$116,49)</f>
        <v>0</v>
      </c>
      <c r="AV46" s="142"/>
      <c r="AW46" s="142"/>
      <c r="AX46" s="748"/>
      <c r="AY46" s="748"/>
      <c r="AZ46" s="748"/>
      <c r="BA46" s="1265"/>
      <c r="BB46" s="1265"/>
      <c r="BC46" s="1265"/>
      <c r="BD46" s="1265"/>
      <c r="BE46" s="1265"/>
      <c r="BF46" s="1265"/>
      <c r="BG46" s="1265"/>
    </row>
    <row r="47" spans="2:59">
      <c r="B47" s="773" t="str">
        <f>前年度登録!P44</f>
        <v/>
      </c>
      <c r="E47" s="774">
        <f>前年度登録!E44</f>
        <v>0</v>
      </c>
      <c r="F47" s="532" t="str">
        <f>前年度登録!CM44</f>
        <v/>
      </c>
      <c r="G47" s="990" t="str">
        <f>前年度登録!Z44</f>
        <v/>
      </c>
      <c r="H47" s="532" t="str">
        <f>前年度登録!CM44</f>
        <v/>
      </c>
      <c r="I47" s="185" t="str">
        <f>前年度登録!Y44</f>
        <v/>
      </c>
      <c r="J47" s="943" t="str">
        <f>前年度登録!CN44</f>
        <v/>
      </c>
      <c r="K47" s="891">
        <f>前年度登録!CP44</f>
        <v>0</v>
      </c>
      <c r="L47" s="892" t="str">
        <f>前年度登録!CU44</f>
        <v>00</v>
      </c>
      <c r="M47" s="773" t="str">
        <f>前年度登録!Q44</f>
        <v/>
      </c>
      <c r="N47" s="1258">
        <f>前年度登録!D44</f>
        <v>0</v>
      </c>
      <c r="O47" s="303"/>
      <c r="P47" s="258" t="str">
        <f>IF(O47="","",IF(I47=1,VLOOKUP(O47,男子種目コード!$A$1:$B$33,2,FALSE),IF(I47=2,VLOOKUP(O47,女子種目コード!$A$1:$B$27,2,FALSE))))</f>
        <v/>
      </c>
      <c r="Q47" s="494" t="str">
        <f>IF(O47="","",HLOOKUP(O47,前年度登録!$AH$3:$CH$118,42,FALSE))</f>
        <v/>
      </c>
      <c r="R47" s="624" t="str">
        <f t="shared" si="3"/>
        <v/>
      </c>
      <c r="S47" s="625" t="str">
        <f t="shared" si="4"/>
        <v/>
      </c>
      <c r="T47" s="303"/>
      <c r="U47" s="258" t="str">
        <f>IF(T47="","",IF(I47=1,VLOOKUP(T47,男子種目コード!$A$1:$B$33,2,FALSE),IF(I47=2,VLOOKUP(T47,女子種目コード!$A$1:$B$27,2,FALSE))))</f>
        <v/>
      </c>
      <c r="V47" s="540" t="str">
        <f>IF(T47="","",HLOOKUP(T47,前年度登録!$AH$3:$CH$118,42,FALSE))</f>
        <v/>
      </c>
      <c r="W47" s="620" t="str">
        <f t="shared" si="5"/>
        <v/>
      </c>
      <c r="X47" s="625" t="str">
        <f t="shared" si="6"/>
        <v/>
      </c>
      <c r="Y47" s="158"/>
      <c r="Z47" s="163"/>
      <c r="AA47" s="161"/>
      <c r="AB47" s="164"/>
      <c r="AC47" s="165"/>
      <c r="AD47" s="157"/>
      <c r="AE47" s="158"/>
      <c r="AF47" s="159"/>
      <c r="AG47" s="162"/>
      <c r="AH47" s="657"/>
      <c r="AI47" s="657"/>
      <c r="AK47" s="142"/>
      <c r="AL47" s="769" t="str">
        <f t="shared" si="7"/>
        <v/>
      </c>
      <c r="AM47" s="721">
        <f t="shared" si="8"/>
        <v>0</v>
      </c>
      <c r="AN47" s="721">
        <f t="shared" si="9"/>
        <v>0</v>
      </c>
      <c r="AP47" s="778" t="s">
        <v>266</v>
      </c>
      <c r="AQ47" s="193">
        <f>COUNTIF($P$7:$P$116,52)+COUNTIF($U$7:$U$116,52)</f>
        <v>0</v>
      </c>
      <c r="AV47" s="142"/>
      <c r="AW47" s="142"/>
      <c r="AX47" s="748"/>
      <c r="AY47" s="748"/>
      <c r="AZ47" s="748"/>
      <c r="BA47" s="1265"/>
      <c r="BB47" s="1265"/>
      <c r="BC47" s="1265"/>
      <c r="BD47" s="1265"/>
      <c r="BE47" s="1265"/>
      <c r="BF47" s="1265"/>
      <c r="BG47" s="1265"/>
    </row>
    <row r="48" spans="2:59">
      <c r="B48" s="773" t="str">
        <f>前年度登録!P45</f>
        <v/>
      </c>
      <c r="E48" s="774">
        <f>前年度登録!E45</f>
        <v>0</v>
      </c>
      <c r="F48" s="532" t="str">
        <f>前年度登録!CM45</f>
        <v/>
      </c>
      <c r="G48" s="990" t="str">
        <f>前年度登録!Z45</f>
        <v/>
      </c>
      <c r="H48" s="532" t="str">
        <f>前年度登録!CM45</f>
        <v/>
      </c>
      <c r="I48" s="185" t="str">
        <f>前年度登録!Y45</f>
        <v/>
      </c>
      <c r="J48" s="943" t="str">
        <f>前年度登録!CN45</f>
        <v/>
      </c>
      <c r="K48" s="891">
        <f>前年度登録!CP45</f>
        <v>0</v>
      </c>
      <c r="L48" s="892" t="str">
        <f>前年度登録!CU45</f>
        <v>00</v>
      </c>
      <c r="M48" s="773" t="str">
        <f>前年度登録!Q45</f>
        <v/>
      </c>
      <c r="N48" s="1258">
        <f>前年度登録!D45</f>
        <v>0</v>
      </c>
      <c r="O48" s="303"/>
      <c r="P48" s="258" t="str">
        <f>IF(O48="","",IF(I48=1,VLOOKUP(O48,男子種目コード!$A$1:$B$33,2,FALSE),IF(I48=2,VLOOKUP(O48,女子種目コード!$A$1:$B$27,2,FALSE))))</f>
        <v/>
      </c>
      <c r="Q48" s="494" t="str">
        <f>IF(O48="","",HLOOKUP(O48,前年度登録!$AH$3:$CH$118,43,FALSE))</f>
        <v/>
      </c>
      <c r="R48" s="624" t="str">
        <f t="shared" si="3"/>
        <v/>
      </c>
      <c r="S48" s="625" t="str">
        <f t="shared" si="4"/>
        <v/>
      </c>
      <c r="T48" s="303"/>
      <c r="U48" s="258" t="str">
        <f>IF(T48="","",IF(I48=1,VLOOKUP(T48,男子種目コード!$A$1:$B$33,2,FALSE),IF(I48=2,VLOOKUP(T48,女子種目コード!$A$1:$B$27,2,FALSE))))</f>
        <v/>
      </c>
      <c r="V48" s="540" t="str">
        <f>IF(T48="","",HLOOKUP(T48,前年度登録!$AH$3:$CH$118,43,FALSE))</f>
        <v/>
      </c>
      <c r="W48" s="620" t="str">
        <f t="shared" si="5"/>
        <v/>
      </c>
      <c r="X48" s="625" t="str">
        <f t="shared" si="6"/>
        <v/>
      </c>
      <c r="Y48" s="158"/>
      <c r="Z48" s="163"/>
      <c r="AA48" s="161"/>
      <c r="AB48" s="164"/>
      <c r="AC48" s="165"/>
      <c r="AD48" s="157"/>
      <c r="AE48" s="158"/>
      <c r="AF48" s="159"/>
      <c r="AG48" s="162"/>
      <c r="AH48" s="657"/>
      <c r="AI48" s="657"/>
      <c r="AK48" s="142"/>
      <c r="AL48" s="769" t="str">
        <f t="shared" si="7"/>
        <v/>
      </c>
      <c r="AM48" s="721">
        <f t="shared" si="8"/>
        <v>0</v>
      </c>
      <c r="AN48" s="721">
        <f t="shared" si="9"/>
        <v>0</v>
      </c>
      <c r="AP48" s="778" t="s">
        <v>16</v>
      </c>
      <c r="AQ48" s="193">
        <f>COUNTIF($P$7:$P$116,55)+COUNTIF($U$7:$U$116,55)</f>
        <v>0</v>
      </c>
      <c r="AV48" s="142"/>
      <c r="AW48" s="142"/>
      <c r="AX48" s="748"/>
      <c r="AY48" s="748"/>
      <c r="AZ48" s="748"/>
      <c r="BA48" s="1265"/>
      <c r="BB48" s="1265"/>
      <c r="BC48" s="1265"/>
      <c r="BD48" s="1265"/>
      <c r="BE48" s="1265"/>
      <c r="BF48" s="1265"/>
      <c r="BG48" s="1265"/>
    </row>
    <row r="49" spans="2:59">
      <c r="B49" s="773" t="str">
        <f>前年度登録!P46</f>
        <v/>
      </c>
      <c r="E49" s="774">
        <f>前年度登録!E46</f>
        <v>0</v>
      </c>
      <c r="F49" s="532" t="str">
        <f>前年度登録!CM46</f>
        <v/>
      </c>
      <c r="G49" s="990" t="str">
        <f>前年度登録!Z46</f>
        <v/>
      </c>
      <c r="H49" s="532" t="str">
        <f>前年度登録!CM46</f>
        <v/>
      </c>
      <c r="I49" s="185" t="str">
        <f>前年度登録!Y46</f>
        <v/>
      </c>
      <c r="J49" s="943" t="str">
        <f>前年度登録!CN46</f>
        <v/>
      </c>
      <c r="K49" s="891">
        <f>前年度登録!CP46</f>
        <v>0</v>
      </c>
      <c r="L49" s="892" t="str">
        <f>前年度登録!CU46</f>
        <v>00</v>
      </c>
      <c r="M49" s="773" t="str">
        <f>前年度登録!Q46</f>
        <v/>
      </c>
      <c r="N49" s="1258">
        <f>前年度登録!D46</f>
        <v>0</v>
      </c>
      <c r="O49" s="303"/>
      <c r="P49" s="258" t="str">
        <f>IF(O49="","",IF(I49=1,VLOOKUP(O49,男子種目コード!$A$1:$B$33,2,FALSE),IF(I49=2,VLOOKUP(O49,女子種目コード!$A$1:$B$27,2,FALSE))))</f>
        <v/>
      </c>
      <c r="Q49" s="494" t="str">
        <f>IF(O49="","",HLOOKUP(O49,前年度登録!$AH$3:$CH$118,44,FALSE))</f>
        <v/>
      </c>
      <c r="R49" s="624" t="str">
        <f t="shared" si="3"/>
        <v/>
      </c>
      <c r="S49" s="625" t="str">
        <f t="shared" si="4"/>
        <v/>
      </c>
      <c r="T49" s="303"/>
      <c r="U49" s="258" t="str">
        <f>IF(T49="","",IF(I49=1,VLOOKUP(T49,男子種目コード!$A$1:$B$33,2,FALSE),IF(I49=2,VLOOKUP(T49,女子種目コード!$A$1:$B$27,2,FALSE))))</f>
        <v/>
      </c>
      <c r="V49" s="540" t="str">
        <f>IF(T49="","",HLOOKUP(T49,前年度登録!$AH$3:$CH$118,44,FALSE))</f>
        <v/>
      </c>
      <c r="W49" s="620" t="str">
        <f t="shared" si="5"/>
        <v/>
      </c>
      <c r="X49" s="625" t="str">
        <f t="shared" si="6"/>
        <v/>
      </c>
      <c r="Y49" s="158"/>
      <c r="Z49" s="163"/>
      <c r="AA49" s="161"/>
      <c r="AB49" s="164"/>
      <c r="AC49" s="165"/>
      <c r="AD49" s="157"/>
      <c r="AE49" s="158"/>
      <c r="AF49" s="159"/>
      <c r="AG49" s="162"/>
      <c r="AH49" s="657"/>
      <c r="AI49" s="657"/>
      <c r="AK49" s="142"/>
      <c r="AL49" s="769" t="str">
        <f t="shared" si="7"/>
        <v/>
      </c>
      <c r="AM49" s="721">
        <f t="shared" si="8"/>
        <v>0</v>
      </c>
      <c r="AN49" s="721">
        <f t="shared" si="9"/>
        <v>0</v>
      </c>
      <c r="AP49" s="778" t="s">
        <v>20</v>
      </c>
      <c r="AQ49" s="193">
        <f>COUNTIF($P$7:$P$116,56)+COUNTIF($U$7:$U$116,56)</f>
        <v>0</v>
      </c>
      <c r="AV49" s="142"/>
      <c r="AW49" s="142"/>
      <c r="AX49" s="748"/>
      <c r="AY49" s="748"/>
      <c r="AZ49" s="748"/>
      <c r="BA49" s="1265"/>
      <c r="BB49" s="1265"/>
      <c r="BC49" s="1265"/>
      <c r="BD49" s="1265"/>
      <c r="BE49" s="1265"/>
      <c r="BF49" s="1265"/>
      <c r="BG49" s="1265"/>
    </row>
    <row r="50" spans="2:59">
      <c r="B50" s="773" t="str">
        <f>前年度登録!P47</f>
        <v/>
      </c>
      <c r="E50" s="774">
        <f>前年度登録!E47</f>
        <v>0</v>
      </c>
      <c r="F50" s="532" t="str">
        <f>前年度登録!CM47</f>
        <v/>
      </c>
      <c r="G50" s="990" t="str">
        <f>前年度登録!Z47</f>
        <v/>
      </c>
      <c r="H50" s="532" t="str">
        <f>前年度登録!CM47</f>
        <v/>
      </c>
      <c r="I50" s="185" t="str">
        <f>前年度登録!Y47</f>
        <v/>
      </c>
      <c r="J50" s="943" t="str">
        <f>前年度登録!CN47</f>
        <v/>
      </c>
      <c r="K50" s="891">
        <f>前年度登録!CP47</f>
        <v>0</v>
      </c>
      <c r="L50" s="892" t="str">
        <f>前年度登録!CU47</f>
        <v>00</v>
      </c>
      <c r="M50" s="773" t="str">
        <f>前年度登録!Q47</f>
        <v/>
      </c>
      <c r="N50" s="1258">
        <f>前年度登録!D47</f>
        <v>0</v>
      </c>
      <c r="O50" s="303"/>
      <c r="P50" s="258" t="str">
        <f>IF(O50="","",IF(I50=1,VLOOKUP(O50,男子種目コード!$A$1:$B$33,2,FALSE),IF(I50=2,VLOOKUP(O50,女子種目コード!$A$1:$B$27,2,FALSE))))</f>
        <v/>
      </c>
      <c r="Q50" s="494" t="str">
        <f>IF(O50="","",HLOOKUP(O50,前年度登録!$AH$3:$CH$118,45,FALSE))</f>
        <v/>
      </c>
      <c r="R50" s="624" t="str">
        <f t="shared" si="3"/>
        <v/>
      </c>
      <c r="S50" s="625" t="str">
        <f t="shared" si="4"/>
        <v/>
      </c>
      <c r="T50" s="303"/>
      <c r="U50" s="258" t="str">
        <f>IF(T50="","",IF(I50=1,VLOOKUP(T50,男子種目コード!$A$1:$B$33,2,FALSE),IF(I50=2,VLOOKUP(T50,女子種目コード!$A$1:$B$27,2,FALSE))))</f>
        <v/>
      </c>
      <c r="V50" s="540" t="str">
        <f>IF(T50="","",HLOOKUP(T50,前年度登録!$AH$3:$CH$118,45,FALSE))</f>
        <v/>
      </c>
      <c r="W50" s="620" t="str">
        <f t="shared" si="5"/>
        <v/>
      </c>
      <c r="X50" s="625" t="str">
        <f t="shared" si="6"/>
        <v/>
      </c>
      <c r="Y50" s="158"/>
      <c r="Z50" s="163"/>
      <c r="AA50" s="161"/>
      <c r="AB50" s="164"/>
      <c r="AC50" s="165"/>
      <c r="AD50" s="157"/>
      <c r="AE50" s="158"/>
      <c r="AF50" s="159"/>
      <c r="AG50" s="162"/>
      <c r="AH50" s="657"/>
      <c r="AI50" s="657"/>
      <c r="AK50" s="142"/>
      <c r="AL50" s="769" t="str">
        <f t="shared" si="7"/>
        <v/>
      </c>
      <c r="AM50" s="721">
        <f t="shared" si="8"/>
        <v>0</v>
      </c>
      <c r="AN50" s="721">
        <f t="shared" si="9"/>
        <v>0</v>
      </c>
      <c r="AP50" s="778" t="s">
        <v>19</v>
      </c>
      <c r="AQ50" s="193">
        <f>COUNTIF($P$7:$P$116,57)+COUNTIF($U$7:$U$116,57)</f>
        <v>0</v>
      </c>
      <c r="AV50" s="142"/>
      <c r="AW50" s="142"/>
      <c r="AX50" s="748"/>
      <c r="AY50" s="748"/>
      <c r="AZ50" s="748"/>
      <c r="BA50" s="1265"/>
      <c r="BB50" s="1265"/>
      <c r="BC50" s="1265"/>
      <c r="BD50" s="1265"/>
      <c r="BE50" s="1265"/>
      <c r="BF50" s="1265"/>
      <c r="BG50" s="1265"/>
    </row>
    <row r="51" spans="2:59">
      <c r="B51" s="773" t="str">
        <f>前年度登録!P48</f>
        <v/>
      </c>
      <c r="E51" s="774">
        <f>前年度登録!E48</f>
        <v>0</v>
      </c>
      <c r="F51" s="532" t="str">
        <f>前年度登録!CM48</f>
        <v/>
      </c>
      <c r="G51" s="990" t="str">
        <f>前年度登録!Z48</f>
        <v/>
      </c>
      <c r="H51" s="532" t="str">
        <f>前年度登録!CM48</f>
        <v/>
      </c>
      <c r="I51" s="185" t="str">
        <f>前年度登録!Y48</f>
        <v/>
      </c>
      <c r="J51" s="943" t="str">
        <f>前年度登録!CN48</f>
        <v/>
      </c>
      <c r="K51" s="891">
        <f>前年度登録!CP48</f>
        <v>0</v>
      </c>
      <c r="L51" s="892" t="str">
        <f>前年度登録!CU48</f>
        <v>00</v>
      </c>
      <c r="M51" s="773" t="str">
        <f>前年度登録!Q48</f>
        <v/>
      </c>
      <c r="N51" s="1258">
        <f>前年度登録!D48</f>
        <v>0</v>
      </c>
      <c r="O51" s="303"/>
      <c r="P51" s="258" t="str">
        <f>IF(O51="","",IF(I51=1,VLOOKUP(O51,男子種目コード!$A$1:$B$33,2,FALSE),IF(I51=2,VLOOKUP(O51,女子種目コード!$A$1:$B$27,2,FALSE))))</f>
        <v/>
      </c>
      <c r="Q51" s="494" t="str">
        <f>IF(O51="","",HLOOKUP(O51,前年度登録!$AH$3:$CH$118,46,FALSE))</f>
        <v/>
      </c>
      <c r="R51" s="624" t="str">
        <f t="shared" si="3"/>
        <v/>
      </c>
      <c r="S51" s="625" t="str">
        <f t="shared" si="4"/>
        <v/>
      </c>
      <c r="T51" s="303"/>
      <c r="U51" s="258" t="str">
        <f>IF(T51="","",IF(I51=1,VLOOKUP(T51,男子種目コード!$A$1:$B$33,2,FALSE),IF(I51=2,VLOOKUP(T51,女子種目コード!$A$1:$B$27,2,FALSE))))</f>
        <v/>
      </c>
      <c r="V51" s="540" t="str">
        <f>IF(T51="","",HLOOKUP(T51,前年度登録!$AH$3:$CH$118,46,FALSE))</f>
        <v/>
      </c>
      <c r="W51" s="620" t="str">
        <f t="shared" si="5"/>
        <v/>
      </c>
      <c r="X51" s="625" t="str">
        <f t="shared" si="6"/>
        <v/>
      </c>
      <c r="Y51" s="158"/>
      <c r="Z51" s="163"/>
      <c r="AA51" s="161"/>
      <c r="AB51" s="164"/>
      <c r="AC51" s="165"/>
      <c r="AD51" s="157"/>
      <c r="AE51" s="158"/>
      <c r="AF51" s="159"/>
      <c r="AG51" s="162"/>
      <c r="AH51" s="657"/>
      <c r="AI51" s="657"/>
      <c r="AK51" s="142"/>
      <c r="AL51" s="769" t="str">
        <f t="shared" si="7"/>
        <v/>
      </c>
      <c r="AM51" s="721">
        <f t="shared" si="8"/>
        <v>0</v>
      </c>
      <c r="AN51" s="721">
        <f t="shared" si="9"/>
        <v>0</v>
      </c>
      <c r="AP51" s="778" t="s">
        <v>23</v>
      </c>
      <c r="AQ51" s="193">
        <f>COUNTIF($P$7:$P$116,58)+COUNTIF($U$7:$U$116,58)</f>
        <v>0</v>
      </c>
      <c r="AV51" s="142"/>
      <c r="AW51" s="142"/>
      <c r="AX51" s="748"/>
      <c r="AY51" s="748"/>
      <c r="AZ51" s="748"/>
      <c r="BA51" s="1265"/>
      <c r="BB51" s="1265"/>
      <c r="BC51" s="1265"/>
      <c r="BD51" s="1265"/>
      <c r="BE51" s="1265"/>
      <c r="BF51" s="1265"/>
      <c r="BG51" s="1265"/>
    </row>
    <row r="52" spans="2:59">
      <c r="B52" s="773" t="str">
        <f>前年度登録!P49</f>
        <v/>
      </c>
      <c r="E52" s="774">
        <f>前年度登録!E49</f>
        <v>0</v>
      </c>
      <c r="F52" s="532" t="str">
        <f>前年度登録!CM49</f>
        <v/>
      </c>
      <c r="G52" s="990" t="str">
        <f>前年度登録!Z49</f>
        <v/>
      </c>
      <c r="H52" s="532" t="str">
        <f>前年度登録!CM49</f>
        <v/>
      </c>
      <c r="I52" s="185" t="str">
        <f>前年度登録!Y49</f>
        <v/>
      </c>
      <c r="J52" s="943" t="str">
        <f>前年度登録!CN49</f>
        <v/>
      </c>
      <c r="K52" s="891">
        <f>前年度登録!CP49</f>
        <v>0</v>
      </c>
      <c r="L52" s="892" t="str">
        <f>前年度登録!CU49</f>
        <v>00</v>
      </c>
      <c r="M52" s="773" t="str">
        <f>前年度登録!Q49</f>
        <v/>
      </c>
      <c r="N52" s="1258">
        <f>前年度登録!D49</f>
        <v>0</v>
      </c>
      <c r="O52" s="303"/>
      <c r="P52" s="258" t="str">
        <f>IF(O52="","",IF(I52=1,VLOOKUP(O52,男子種目コード!$A$1:$B$33,2,FALSE),IF(I52=2,VLOOKUP(O52,女子種目コード!$A$1:$B$27,2,FALSE))))</f>
        <v/>
      </c>
      <c r="Q52" s="494" t="str">
        <f>IF(O52="","",HLOOKUP(O52,前年度登録!$AH$3:$CH$118,47,FALSE))</f>
        <v/>
      </c>
      <c r="R52" s="624" t="str">
        <f t="shared" si="3"/>
        <v/>
      </c>
      <c r="S52" s="625" t="str">
        <f t="shared" si="4"/>
        <v/>
      </c>
      <c r="T52" s="303"/>
      <c r="U52" s="258" t="str">
        <f>IF(T52="","",IF(I52=1,VLOOKUP(T52,男子種目コード!$A$1:$B$33,2,FALSE),IF(I52=2,VLOOKUP(T52,女子種目コード!$A$1:$B$27,2,FALSE))))</f>
        <v/>
      </c>
      <c r="V52" s="540" t="str">
        <f>IF(T52="","",HLOOKUP(T52,前年度登録!$AH$3:$CH$118,47,FALSE))</f>
        <v/>
      </c>
      <c r="W52" s="620" t="str">
        <f t="shared" si="5"/>
        <v/>
      </c>
      <c r="X52" s="625" t="str">
        <f t="shared" si="6"/>
        <v/>
      </c>
      <c r="Y52" s="158"/>
      <c r="Z52" s="163"/>
      <c r="AA52" s="161"/>
      <c r="AB52" s="164"/>
      <c r="AC52" s="165"/>
      <c r="AD52" s="157"/>
      <c r="AE52" s="158"/>
      <c r="AF52" s="159"/>
      <c r="AG52" s="162"/>
      <c r="AH52" s="657"/>
      <c r="AI52" s="657"/>
      <c r="AK52" s="142"/>
      <c r="AL52" s="769" t="str">
        <f t="shared" si="7"/>
        <v/>
      </c>
      <c r="AM52" s="721">
        <f t="shared" si="8"/>
        <v>0</v>
      </c>
      <c r="AN52" s="721">
        <f t="shared" si="9"/>
        <v>0</v>
      </c>
      <c r="AP52" s="778" t="s">
        <v>24</v>
      </c>
      <c r="AQ52" s="193">
        <f>COUNTIF($P$7:$P$116,59)+COUNTIF($U$7:$U$116,59)</f>
        <v>0</v>
      </c>
      <c r="AV52" s="142"/>
      <c r="AW52" s="142"/>
      <c r="AX52" s="748"/>
      <c r="AY52" s="748"/>
      <c r="AZ52" s="748"/>
      <c r="BA52" s="1265"/>
      <c r="BB52" s="1265"/>
      <c r="BC52" s="1265"/>
      <c r="BD52" s="1265"/>
      <c r="BE52" s="1265"/>
      <c r="BF52" s="1265"/>
      <c r="BG52" s="1265"/>
    </row>
    <row r="53" spans="2:59">
      <c r="B53" s="773" t="str">
        <f>前年度登録!P50</f>
        <v/>
      </c>
      <c r="E53" s="774">
        <f>前年度登録!E50</f>
        <v>0</v>
      </c>
      <c r="F53" s="532" t="str">
        <f>前年度登録!CM50</f>
        <v/>
      </c>
      <c r="G53" s="990" t="str">
        <f>前年度登録!Z50</f>
        <v/>
      </c>
      <c r="H53" s="532" t="str">
        <f>前年度登録!CM50</f>
        <v/>
      </c>
      <c r="I53" s="185" t="str">
        <f>前年度登録!Y50</f>
        <v/>
      </c>
      <c r="J53" s="943" t="str">
        <f>前年度登録!CN50</f>
        <v/>
      </c>
      <c r="K53" s="891">
        <f>前年度登録!CP50</f>
        <v>0</v>
      </c>
      <c r="L53" s="892" t="str">
        <f>前年度登録!CU50</f>
        <v>00</v>
      </c>
      <c r="M53" s="773" t="str">
        <f>前年度登録!Q50</f>
        <v/>
      </c>
      <c r="N53" s="1258">
        <f>前年度登録!D50</f>
        <v>0</v>
      </c>
      <c r="O53" s="303"/>
      <c r="P53" s="258" t="str">
        <f>IF(O53="","",IF(I53=1,VLOOKUP(O53,男子種目コード!$A$1:$B$33,2,FALSE),IF(I53=2,VLOOKUP(O53,女子種目コード!$A$1:$B$27,2,FALSE))))</f>
        <v/>
      </c>
      <c r="Q53" s="494" t="str">
        <f>IF(O53="","",HLOOKUP(O53,前年度登録!$AH$3:$CH$118,48,FALSE))</f>
        <v/>
      </c>
      <c r="R53" s="624" t="str">
        <f t="shared" si="3"/>
        <v/>
      </c>
      <c r="S53" s="625" t="str">
        <f t="shared" si="4"/>
        <v/>
      </c>
      <c r="T53" s="303"/>
      <c r="U53" s="258" t="str">
        <f>IF(T53="","",IF(I53=1,VLOOKUP(T53,男子種目コード!$A$1:$B$33,2,FALSE),IF(I53=2,VLOOKUP(T53,女子種目コード!$A$1:$B$27,2,FALSE))))</f>
        <v/>
      </c>
      <c r="V53" s="540" t="str">
        <f>IF(T53="","",HLOOKUP(T53,前年度登録!$AH$3:$CH$118,48,FALSE))</f>
        <v/>
      </c>
      <c r="W53" s="620" t="str">
        <f t="shared" si="5"/>
        <v/>
      </c>
      <c r="X53" s="625" t="str">
        <f t="shared" si="6"/>
        <v/>
      </c>
      <c r="Y53" s="158"/>
      <c r="Z53" s="163"/>
      <c r="AA53" s="161"/>
      <c r="AB53" s="164"/>
      <c r="AC53" s="165"/>
      <c r="AD53" s="157"/>
      <c r="AE53" s="158"/>
      <c r="AF53" s="159"/>
      <c r="AG53" s="162"/>
      <c r="AH53" s="657"/>
      <c r="AI53" s="657"/>
      <c r="AK53" s="142"/>
      <c r="AL53" s="769" t="str">
        <f t="shared" si="7"/>
        <v/>
      </c>
      <c r="AM53" s="721">
        <f t="shared" si="8"/>
        <v>0</v>
      </c>
      <c r="AN53" s="721">
        <f t="shared" si="9"/>
        <v>0</v>
      </c>
      <c r="AP53" s="778" t="s">
        <v>22</v>
      </c>
      <c r="AQ53" s="193">
        <f>COUNTIF($P$7:$P$116,60)+COUNTIF($U$7:$U$116,60)</f>
        <v>0</v>
      </c>
      <c r="AV53" s="142"/>
      <c r="AW53" s="142"/>
      <c r="AX53" s="748"/>
      <c r="AY53" s="748"/>
      <c r="AZ53" s="748"/>
      <c r="BA53" s="1265"/>
      <c r="BB53" s="1265"/>
      <c r="BC53" s="1265"/>
      <c r="BD53" s="1265"/>
      <c r="BE53" s="1265"/>
      <c r="BF53" s="1265"/>
      <c r="BG53" s="1265"/>
    </row>
    <row r="54" spans="2:59">
      <c r="B54" s="773" t="str">
        <f>前年度登録!P51</f>
        <v/>
      </c>
      <c r="E54" s="774">
        <f>前年度登録!E51</f>
        <v>0</v>
      </c>
      <c r="F54" s="532" t="str">
        <f>前年度登録!CM51</f>
        <v/>
      </c>
      <c r="G54" s="990" t="str">
        <f>前年度登録!Z51</f>
        <v/>
      </c>
      <c r="H54" s="532" t="str">
        <f>前年度登録!CM51</f>
        <v/>
      </c>
      <c r="I54" s="185" t="str">
        <f>前年度登録!Y51</f>
        <v/>
      </c>
      <c r="J54" s="943" t="str">
        <f>前年度登録!CN51</f>
        <v/>
      </c>
      <c r="K54" s="891">
        <f>前年度登録!CP51</f>
        <v>0</v>
      </c>
      <c r="L54" s="892" t="str">
        <f>前年度登録!CU51</f>
        <v>00</v>
      </c>
      <c r="M54" s="773" t="str">
        <f>前年度登録!Q51</f>
        <v/>
      </c>
      <c r="N54" s="1258">
        <f>前年度登録!D51</f>
        <v>0</v>
      </c>
      <c r="O54" s="303"/>
      <c r="P54" s="258" t="str">
        <f>IF(O54="","",IF(I54=1,VLOOKUP(O54,男子種目コード!$A$1:$B$33,2,FALSE),IF(I54=2,VLOOKUP(O54,女子種目コード!$A$1:$B$27,2,FALSE))))</f>
        <v/>
      </c>
      <c r="Q54" s="494" t="str">
        <f>IF(O54="","",HLOOKUP(O54,前年度登録!$AH$3:$CH$118,49,FALSE))</f>
        <v/>
      </c>
      <c r="R54" s="624" t="str">
        <f t="shared" si="3"/>
        <v/>
      </c>
      <c r="S54" s="625" t="str">
        <f t="shared" si="4"/>
        <v/>
      </c>
      <c r="T54" s="303"/>
      <c r="U54" s="258" t="str">
        <f>IF(T54="","",IF(I54=1,VLOOKUP(T54,男子種目コード!$A$1:$B$33,2,FALSE),IF(I54=2,VLOOKUP(T54,女子種目コード!$A$1:$B$27,2,FALSE))))</f>
        <v/>
      </c>
      <c r="V54" s="540" t="str">
        <f>IF(T54="","",HLOOKUP(T54,前年度登録!$AH$3:$CH$118,49,FALSE))</f>
        <v/>
      </c>
      <c r="W54" s="620" t="str">
        <f t="shared" si="5"/>
        <v/>
      </c>
      <c r="X54" s="625" t="str">
        <f t="shared" si="6"/>
        <v/>
      </c>
      <c r="Y54" s="158"/>
      <c r="Z54" s="163"/>
      <c r="AA54" s="161"/>
      <c r="AB54" s="164"/>
      <c r="AC54" s="165"/>
      <c r="AD54" s="157"/>
      <c r="AE54" s="158"/>
      <c r="AF54" s="159"/>
      <c r="AG54" s="162"/>
      <c r="AH54" s="657"/>
      <c r="AI54" s="657"/>
      <c r="AK54" s="142"/>
      <c r="AL54" s="769" t="str">
        <f t="shared" si="7"/>
        <v/>
      </c>
      <c r="AM54" s="721">
        <f t="shared" si="8"/>
        <v>0</v>
      </c>
      <c r="AN54" s="721">
        <f t="shared" si="9"/>
        <v>0</v>
      </c>
      <c r="AP54" s="778" t="s">
        <v>96</v>
      </c>
      <c r="AQ54" s="193">
        <f>COUNTIF($P$7:$P$116,61)+COUNTIF($U$7:$U$116,61)</f>
        <v>0</v>
      </c>
      <c r="AV54" s="142"/>
      <c r="AW54" s="142"/>
      <c r="AX54" s="748"/>
      <c r="AY54" s="748"/>
      <c r="AZ54" s="748"/>
      <c r="BA54" s="1265"/>
      <c r="BB54" s="1265"/>
      <c r="BC54" s="1265"/>
      <c r="BD54" s="1265"/>
      <c r="BE54" s="1265"/>
      <c r="BF54" s="1265"/>
      <c r="BG54" s="1265"/>
    </row>
    <row r="55" spans="2:59">
      <c r="B55" s="773" t="str">
        <f>前年度登録!P52</f>
        <v/>
      </c>
      <c r="E55" s="774">
        <f>前年度登録!E52</f>
        <v>0</v>
      </c>
      <c r="F55" s="532" t="str">
        <f>前年度登録!CM52</f>
        <v/>
      </c>
      <c r="G55" s="990" t="str">
        <f>前年度登録!Z52</f>
        <v/>
      </c>
      <c r="H55" s="532" t="str">
        <f>前年度登録!CM52</f>
        <v/>
      </c>
      <c r="I55" s="185" t="str">
        <f>前年度登録!Y52</f>
        <v/>
      </c>
      <c r="J55" s="943" t="str">
        <f>前年度登録!CN52</f>
        <v/>
      </c>
      <c r="K55" s="891">
        <f>前年度登録!CP52</f>
        <v>0</v>
      </c>
      <c r="L55" s="892" t="str">
        <f>前年度登録!CU52</f>
        <v>00</v>
      </c>
      <c r="M55" s="773" t="str">
        <f>前年度登録!Q52</f>
        <v/>
      </c>
      <c r="N55" s="1258">
        <f>前年度登録!D52</f>
        <v>0</v>
      </c>
      <c r="O55" s="303"/>
      <c r="P55" s="258" t="str">
        <f>IF(O55="","",IF(I55=1,VLOOKUP(O55,男子種目コード!$A$1:$B$33,2,FALSE),IF(I55=2,VLOOKUP(O55,女子種目コード!$A$1:$B$27,2,FALSE))))</f>
        <v/>
      </c>
      <c r="Q55" s="494" t="str">
        <f>IF(O55="","",HLOOKUP(O55,前年度登録!$AH$3:$CH$118,50,FALSE))</f>
        <v/>
      </c>
      <c r="R55" s="624" t="str">
        <f t="shared" si="3"/>
        <v/>
      </c>
      <c r="S55" s="625" t="str">
        <f t="shared" si="4"/>
        <v/>
      </c>
      <c r="T55" s="303"/>
      <c r="U55" s="258" t="str">
        <f>IF(T55="","",IF(I55=1,VLOOKUP(T55,男子種目コード!$A$1:$B$33,2,FALSE),IF(I55=2,VLOOKUP(T55,女子種目コード!$A$1:$B$27,2,FALSE))))</f>
        <v/>
      </c>
      <c r="V55" s="540" t="str">
        <f>IF(T55="","",HLOOKUP(T55,前年度登録!$AH$3:$CH$118,50,FALSE))</f>
        <v/>
      </c>
      <c r="W55" s="620" t="str">
        <f t="shared" si="5"/>
        <v/>
      </c>
      <c r="X55" s="625" t="str">
        <f t="shared" si="6"/>
        <v/>
      </c>
      <c r="Y55" s="158"/>
      <c r="Z55" s="163"/>
      <c r="AA55" s="161"/>
      <c r="AB55" s="164"/>
      <c r="AC55" s="165"/>
      <c r="AD55" s="157"/>
      <c r="AE55" s="158"/>
      <c r="AF55" s="159"/>
      <c r="AG55" s="162"/>
      <c r="AH55" s="657"/>
      <c r="AI55" s="657"/>
      <c r="AK55" s="142"/>
      <c r="AL55" s="769" t="str">
        <f t="shared" si="7"/>
        <v/>
      </c>
      <c r="AM55" s="721">
        <f t="shared" si="8"/>
        <v>0</v>
      </c>
      <c r="AN55" s="721">
        <f t="shared" si="9"/>
        <v>0</v>
      </c>
      <c r="AP55" s="780" t="s">
        <v>98</v>
      </c>
      <c r="AQ55" s="196">
        <f>COUNTIF($P$7:$P$116,62)+COUNTIF($U$7:$U$116,62)</f>
        <v>0</v>
      </c>
      <c r="AV55" s="142"/>
      <c r="AW55" s="142"/>
      <c r="AX55" s="748"/>
      <c r="AY55" s="748"/>
      <c r="AZ55" s="748"/>
      <c r="BA55" s="1265"/>
      <c r="BB55" s="1265"/>
      <c r="BC55" s="1265"/>
      <c r="BD55" s="1265"/>
      <c r="BE55" s="1265"/>
      <c r="BF55" s="1265"/>
      <c r="BG55" s="1265"/>
    </row>
    <row r="56" spans="2:59" ht="14.25" thickBot="1">
      <c r="B56" s="773" t="str">
        <f>前年度登録!P53</f>
        <v/>
      </c>
      <c r="E56" s="774">
        <f>前年度登録!E53</f>
        <v>0</v>
      </c>
      <c r="F56" s="532" t="str">
        <f>前年度登録!CM53</f>
        <v/>
      </c>
      <c r="G56" s="990" t="str">
        <f>前年度登録!Z53</f>
        <v/>
      </c>
      <c r="H56" s="532" t="str">
        <f>前年度登録!CM53</f>
        <v/>
      </c>
      <c r="I56" s="185" t="str">
        <f>前年度登録!Y53</f>
        <v/>
      </c>
      <c r="J56" s="943" t="str">
        <f>前年度登録!CN53</f>
        <v/>
      </c>
      <c r="K56" s="891">
        <f>前年度登録!CP53</f>
        <v>0</v>
      </c>
      <c r="L56" s="892" t="str">
        <f>前年度登録!CU53</f>
        <v>00</v>
      </c>
      <c r="M56" s="773" t="str">
        <f>前年度登録!Q53</f>
        <v/>
      </c>
      <c r="N56" s="1258">
        <f>前年度登録!D53</f>
        <v>0</v>
      </c>
      <c r="O56" s="303"/>
      <c r="P56" s="258" t="str">
        <f>IF(O56="","",IF(I56=1,VLOOKUP(O56,男子種目コード!$A$1:$B$33,2,FALSE),IF(I56=2,VLOOKUP(O56,女子種目コード!$A$1:$B$27,2,FALSE))))</f>
        <v/>
      </c>
      <c r="Q56" s="494" t="str">
        <f>IF(O56="","",HLOOKUP(O56,前年度登録!$AH$3:$CH$118,51,FALSE))</f>
        <v/>
      </c>
      <c r="R56" s="624" t="str">
        <f t="shared" si="3"/>
        <v/>
      </c>
      <c r="S56" s="625" t="str">
        <f t="shared" si="4"/>
        <v/>
      </c>
      <c r="T56" s="303"/>
      <c r="U56" s="258" t="str">
        <f>IF(T56="","",IF(I56=1,VLOOKUP(T56,男子種目コード!$A$1:$B$33,2,FALSE),IF(I56=2,VLOOKUP(T56,女子種目コード!$A$1:$B$27,2,FALSE))))</f>
        <v/>
      </c>
      <c r="V56" s="540" t="str">
        <f>IF(T56="","",HLOOKUP(T56,前年度登録!$AH$3:$CH$118,51,FALSE))</f>
        <v/>
      </c>
      <c r="W56" s="620" t="str">
        <f t="shared" si="5"/>
        <v/>
      </c>
      <c r="X56" s="625" t="str">
        <f t="shared" si="6"/>
        <v/>
      </c>
      <c r="Y56" s="158"/>
      <c r="Z56" s="163"/>
      <c r="AA56" s="161"/>
      <c r="AB56" s="164"/>
      <c r="AC56" s="165"/>
      <c r="AD56" s="157"/>
      <c r="AE56" s="158"/>
      <c r="AF56" s="159"/>
      <c r="AG56" s="162"/>
      <c r="AH56" s="657"/>
      <c r="AI56" s="657"/>
      <c r="AK56" s="142"/>
      <c r="AL56" s="769" t="str">
        <f t="shared" si="7"/>
        <v/>
      </c>
      <c r="AM56" s="721">
        <f t="shared" si="8"/>
        <v>0</v>
      </c>
      <c r="AN56" s="721">
        <f t="shared" si="9"/>
        <v>0</v>
      </c>
      <c r="AP56" s="784" t="s">
        <v>262</v>
      </c>
      <c r="AQ56" s="205">
        <f>SUM(AQ36:AQ55)</f>
        <v>0</v>
      </c>
      <c r="AV56" s="142"/>
      <c r="AW56" s="142"/>
      <c r="AX56" s="748"/>
      <c r="AY56" s="748"/>
      <c r="AZ56" s="748"/>
      <c r="BA56" s="1265"/>
      <c r="BB56" s="1265"/>
      <c r="BC56" s="1265"/>
      <c r="BD56" s="1265"/>
      <c r="BE56" s="1265"/>
      <c r="BF56" s="1265"/>
      <c r="BG56" s="1265"/>
    </row>
    <row r="57" spans="2:59">
      <c r="B57" s="773" t="str">
        <f>前年度登録!P54</f>
        <v/>
      </c>
      <c r="E57" s="774">
        <f>前年度登録!E54</f>
        <v>0</v>
      </c>
      <c r="F57" s="532" t="str">
        <f>前年度登録!CM54</f>
        <v/>
      </c>
      <c r="G57" s="990" t="str">
        <f>前年度登録!Z54</f>
        <v/>
      </c>
      <c r="H57" s="532" t="str">
        <f>前年度登録!CM54</f>
        <v/>
      </c>
      <c r="I57" s="185" t="str">
        <f>前年度登録!Y54</f>
        <v/>
      </c>
      <c r="J57" s="943" t="str">
        <f>前年度登録!CN54</f>
        <v/>
      </c>
      <c r="K57" s="891">
        <f>前年度登録!CP54</f>
        <v>0</v>
      </c>
      <c r="L57" s="892" t="str">
        <f>前年度登録!CU54</f>
        <v>00</v>
      </c>
      <c r="M57" s="773" t="str">
        <f>前年度登録!Q54</f>
        <v/>
      </c>
      <c r="N57" s="1258">
        <f>前年度登録!D54</f>
        <v>0</v>
      </c>
      <c r="O57" s="303"/>
      <c r="P57" s="258" t="str">
        <f>IF(O57="","",IF(I57=1,VLOOKUP(O57,男子種目コード!$A$1:$B$33,2,FALSE),IF(I57=2,VLOOKUP(O57,女子種目コード!$A$1:$B$27,2,FALSE))))</f>
        <v/>
      </c>
      <c r="Q57" s="494" t="str">
        <f>IF(O57="","",HLOOKUP(O57,前年度登録!$AH$3:$CH$118,52,FALSE))</f>
        <v/>
      </c>
      <c r="R57" s="624" t="str">
        <f t="shared" si="3"/>
        <v/>
      </c>
      <c r="S57" s="625" t="str">
        <f t="shared" si="4"/>
        <v/>
      </c>
      <c r="T57" s="303"/>
      <c r="U57" s="258" t="str">
        <f>IF(T57="","",IF(I57=1,VLOOKUP(T57,男子種目コード!$A$1:$B$33,2,FALSE),IF(I57=2,VLOOKUP(T57,女子種目コード!$A$1:$B$27,2,FALSE))))</f>
        <v/>
      </c>
      <c r="V57" s="540" t="str">
        <f>IF(T57="","",HLOOKUP(T57,前年度登録!$AH$3:$CH$118,52,FALSE))</f>
        <v/>
      </c>
      <c r="W57" s="620" t="str">
        <f t="shared" si="5"/>
        <v/>
      </c>
      <c r="X57" s="625" t="str">
        <f t="shared" si="6"/>
        <v/>
      </c>
      <c r="Y57" s="158"/>
      <c r="Z57" s="163"/>
      <c r="AA57" s="161"/>
      <c r="AB57" s="164"/>
      <c r="AC57" s="165"/>
      <c r="AD57" s="157"/>
      <c r="AE57" s="158"/>
      <c r="AF57" s="159"/>
      <c r="AG57" s="162"/>
      <c r="AH57" s="657"/>
      <c r="AI57" s="657"/>
      <c r="AK57" s="142"/>
      <c r="AL57" s="769" t="str">
        <f t="shared" si="7"/>
        <v/>
      </c>
      <c r="AM57" s="721">
        <f t="shared" si="8"/>
        <v>0</v>
      </c>
      <c r="AN57" s="721">
        <f t="shared" si="9"/>
        <v>0</v>
      </c>
      <c r="AP57" s="785"/>
      <c r="AQ57" s="748"/>
      <c r="AV57" s="142"/>
      <c r="AW57" s="142"/>
      <c r="AX57" s="748"/>
      <c r="AY57" s="748"/>
      <c r="AZ57" s="748"/>
      <c r="BA57" s="1265"/>
      <c r="BB57" s="1265"/>
      <c r="BC57" s="1265"/>
      <c r="BD57" s="1265"/>
      <c r="BE57" s="1265"/>
      <c r="BF57" s="1265"/>
      <c r="BG57" s="1265"/>
    </row>
    <row r="58" spans="2:59">
      <c r="B58" s="773" t="str">
        <f>前年度登録!P55</f>
        <v/>
      </c>
      <c r="E58" s="774">
        <f>前年度登録!E55</f>
        <v>0</v>
      </c>
      <c r="F58" s="532" t="str">
        <f>前年度登録!CM55</f>
        <v/>
      </c>
      <c r="G58" s="990" t="str">
        <f>前年度登録!Z55</f>
        <v/>
      </c>
      <c r="H58" s="532" t="str">
        <f>前年度登録!CM55</f>
        <v/>
      </c>
      <c r="I58" s="185" t="str">
        <f>前年度登録!Y55</f>
        <v/>
      </c>
      <c r="J58" s="943" t="str">
        <f>前年度登録!CN55</f>
        <v/>
      </c>
      <c r="K58" s="891">
        <f>前年度登録!CP55</f>
        <v>0</v>
      </c>
      <c r="L58" s="892" t="str">
        <f>前年度登録!CU55</f>
        <v>00</v>
      </c>
      <c r="M58" s="773" t="str">
        <f>前年度登録!Q55</f>
        <v/>
      </c>
      <c r="N58" s="1258">
        <f>前年度登録!D55</f>
        <v>0</v>
      </c>
      <c r="O58" s="303"/>
      <c r="P58" s="258" t="str">
        <f>IF(O58="","",IF(I58=1,VLOOKUP(O58,男子種目コード!$A$1:$B$33,2,FALSE),IF(I58=2,VLOOKUP(O58,女子種目コード!$A$1:$B$27,2,FALSE))))</f>
        <v/>
      </c>
      <c r="Q58" s="494" t="str">
        <f>IF(O58="","",HLOOKUP(O58,前年度登録!$AH$3:$CH$118,53,FALSE))</f>
        <v/>
      </c>
      <c r="R58" s="624" t="str">
        <f t="shared" si="3"/>
        <v/>
      </c>
      <c r="S58" s="625" t="str">
        <f t="shared" si="4"/>
        <v/>
      </c>
      <c r="T58" s="303"/>
      <c r="U58" s="258" t="str">
        <f>IF(T58="","",IF(I58=1,VLOOKUP(T58,男子種目コード!$A$1:$B$33,2,FALSE),IF(I58=2,VLOOKUP(T58,女子種目コード!$A$1:$B$27,2,FALSE))))</f>
        <v/>
      </c>
      <c r="V58" s="540" t="str">
        <f>IF(T58="","",HLOOKUP(T58,前年度登録!$AH$3:$CH$118,53,FALSE))</f>
        <v/>
      </c>
      <c r="W58" s="620" t="str">
        <f t="shared" si="5"/>
        <v/>
      </c>
      <c r="X58" s="625" t="str">
        <f t="shared" si="6"/>
        <v/>
      </c>
      <c r="Y58" s="158"/>
      <c r="Z58" s="163"/>
      <c r="AA58" s="161"/>
      <c r="AB58" s="164"/>
      <c r="AC58" s="165"/>
      <c r="AD58" s="157"/>
      <c r="AE58" s="158"/>
      <c r="AF58" s="159"/>
      <c r="AG58" s="162"/>
      <c r="AH58" s="657"/>
      <c r="AI58" s="657"/>
      <c r="AK58" s="142"/>
      <c r="AL58" s="769" t="str">
        <f t="shared" si="7"/>
        <v/>
      </c>
      <c r="AM58" s="721">
        <f t="shared" si="8"/>
        <v>0</v>
      </c>
      <c r="AN58" s="721">
        <f t="shared" si="9"/>
        <v>0</v>
      </c>
      <c r="AP58" s="785"/>
      <c r="AQ58" s="748"/>
      <c r="AV58" s="142"/>
      <c r="AW58" s="142"/>
      <c r="AX58" s="748"/>
      <c r="AY58" s="748"/>
      <c r="AZ58" s="748"/>
      <c r="BA58" s="1265"/>
      <c r="BB58" s="1265"/>
      <c r="BC58" s="1265"/>
      <c r="BD58" s="1265"/>
      <c r="BE58" s="1265"/>
      <c r="BF58" s="1265"/>
      <c r="BG58" s="1265"/>
    </row>
    <row r="59" spans="2:59">
      <c r="B59" s="773" t="str">
        <f>前年度登録!P56</f>
        <v/>
      </c>
      <c r="E59" s="774">
        <f>前年度登録!E56</f>
        <v>0</v>
      </c>
      <c r="F59" s="532" t="str">
        <f>前年度登録!CM56</f>
        <v/>
      </c>
      <c r="G59" s="990" t="str">
        <f>前年度登録!Z56</f>
        <v/>
      </c>
      <c r="H59" s="532" t="str">
        <f>前年度登録!CM56</f>
        <v/>
      </c>
      <c r="I59" s="185" t="str">
        <f>前年度登録!Y56</f>
        <v/>
      </c>
      <c r="J59" s="943" t="str">
        <f>前年度登録!CN56</f>
        <v/>
      </c>
      <c r="K59" s="891">
        <f>前年度登録!CP56</f>
        <v>0</v>
      </c>
      <c r="L59" s="892" t="str">
        <f>前年度登録!CU56</f>
        <v>00</v>
      </c>
      <c r="M59" s="773" t="str">
        <f>前年度登録!Q56</f>
        <v/>
      </c>
      <c r="N59" s="1258">
        <f>前年度登録!D56</f>
        <v>0</v>
      </c>
      <c r="O59" s="303"/>
      <c r="P59" s="258" t="str">
        <f>IF(O59="","",IF(I59=1,VLOOKUP(O59,男子種目コード!$A$1:$B$33,2,FALSE),IF(I59=2,VLOOKUP(O59,女子種目コード!$A$1:$B$27,2,FALSE))))</f>
        <v/>
      </c>
      <c r="Q59" s="494" t="str">
        <f>IF(O59="","",HLOOKUP(O59,前年度登録!$AH$3:$CH$118,54,FALSE))</f>
        <v/>
      </c>
      <c r="R59" s="624" t="str">
        <f t="shared" si="3"/>
        <v/>
      </c>
      <c r="S59" s="625" t="str">
        <f t="shared" si="4"/>
        <v/>
      </c>
      <c r="T59" s="303"/>
      <c r="U59" s="258" t="str">
        <f>IF(T59="","",IF(I59=1,VLOOKUP(T59,男子種目コード!$A$1:$B$33,2,FALSE),IF(I59=2,VLOOKUP(T59,女子種目コード!$A$1:$B$27,2,FALSE))))</f>
        <v/>
      </c>
      <c r="V59" s="540" t="str">
        <f>IF(T59="","",HLOOKUP(T59,前年度登録!$AH$3:$CH$118,54,FALSE))</f>
        <v/>
      </c>
      <c r="W59" s="620" t="str">
        <f t="shared" si="5"/>
        <v/>
      </c>
      <c r="X59" s="625" t="str">
        <f t="shared" si="6"/>
        <v/>
      </c>
      <c r="Y59" s="158"/>
      <c r="Z59" s="163"/>
      <c r="AA59" s="161"/>
      <c r="AB59" s="164"/>
      <c r="AC59" s="165"/>
      <c r="AD59" s="157"/>
      <c r="AE59" s="158"/>
      <c r="AF59" s="159"/>
      <c r="AG59" s="162"/>
      <c r="AH59" s="657"/>
      <c r="AI59" s="657"/>
      <c r="AK59" s="142"/>
      <c r="AL59" s="769" t="str">
        <f t="shared" si="7"/>
        <v/>
      </c>
      <c r="AM59" s="721">
        <f t="shared" si="8"/>
        <v>0</v>
      </c>
      <c r="AN59" s="721">
        <f t="shared" si="9"/>
        <v>0</v>
      </c>
      <c r="AP59" s="785"/>
      <c r="AQ59" s="748"/>
      <c r="AV59" s="142"/>
      <c r="AW59" s="142"/>
      <c r="AX59" s="748"/>
      <c r="AY59" s="748"/>
      <c r="AZ59" s="748"/>
      <c r="BA59" s="1265"/>
      <c r="BB59" s="1265"/>
      <c r="BC59" s="1265"/>
      <c r="BD59" s="1265"/>
      <c r="BE59" s="1265"/>
      <c r="BF59" s="1265"/>
      <c r="BG59" s="1265"/>
    </row>
    <row r="60" spans="2:59">
      <c r="B60" s="773" t="str">
        <f>前年度登録!P57</f>
        <v/>
      </c>
      <c r="E60" s="774">
        <f>前年度登録!E57</f>
        <v>0</v>
      </c>
      <c r="F60" s="532" t="str">
        <f>前年度登録!CM57</f>
        <v/>
      </c>
      <c r="G60" s="990" t="str">
        <f>前年度登録!Z57</f>
        <v/>
      </c>
      <c r="H60" s="532" t="str">
        <f>前年度登録!CM57</f>
        <v/>
      </c>
      <c r="I60" s="185" t="str">
        <f>前年度登録!Y57</f>
        <v/>
      </c>
      <c r="J60" s="943" t="str">
        <f>前年度登録!CN57</f>
        <v/>
      </c>
      <c r="K60" s="891">
        <f>前年度登録!CP57</f>
        <v>0</v>
      </c>
      <c r="L60" s="892" t="str">
        <f>前年度登録!CU57</f>
        <v>00</v>
      </c>
      <c r="M60" s="773" t="str">
        <f>前年度登録!Q57</f>
        <v/>
      </c>
      <c r="N60" s="1258">
        <f>前年度登録!D57</f>
        <v>0</v>
      </c>
      <c r="O60" s="303"/>
      <c r="P60" s="258" t="str">
        <f>IF(O60="","",IF(I60=1,VLOOKUP(O60,男子種目コード!$A$1:$B$33,2,FALSE),IF(I60=2,VLOOKUP(O60,女子種目コード!$A$1:$B$27,2,FALSE))))</f>
        <v/>
      </c>
      <c r="Q60" s="494" t="str">
        <f>IF(O60="","",HLOOKUP(O60,前年度登録!$AH$3:$CH$118,55,FALSE))</f>
        <v/>
      </c>
      <c r="R60" s="624" t="str">
        <f t="shared" si="3"/>
        <v/>
      </c>
      <c r="S60" s="625" t="str">
        <f t="shared" si="4"/>
        <v/>
      </c>
      <c r="T60" s="303"/>
      <c r="U60" s="258" t="str">
        <f>IF(T60="","",IF(I60=1,VLOOKUP(T60,男子種目コード!$A$1:$B$33,2,FALSE),IF(I60=2,VLOOKUP(T60,女子種目コード!$A$1:$B$27,2,FALSE))))</f>
        <v/>
      </c>
      <c r="V60" s="540" t="str">
        <f>IF(T60="","",HLOOKUP(T60,前年度登録!$AH$3:$CH$118,55,FALSE))</f>
        <v/>
      </c>
      <c r="W60" s="620" t="str">
        <f t="shared" si="5"/>
        <v/>
      </c>
      <c r="X60" s="625" t="str">
        <f t="shared" si="6"/>
        <v/>
      </c>
      <c r="Y60" s="158"/>
      <c r="Z60" s="163"/>
      <c r="AA60" s="161"/>
      <c r="AB60" s="164"/>
      <c r="AC60" s="165"/>
      <c r="AD60" s="157"/>
      <c r="AE60" s="158"/>
      <c r="AF60" s="159"/>
      <c r="AG60" s="162"/>
      <c r="AH60" s="657"/>
      <c r="AI60" s="657"/>
      <c r="AK60" s="142"/>
      <c r="AL60" s="769" t="str">
        <f t="shared" si="7"/>
        <v/>
      </c>
      <c r="AM60" s="721">
        <f t="shared" si="8"/>
        <v>0</v>
      </c>
      <c r="AN60" s="721">
        <f t="shared" si="9"/>
        <v>0</v>
      </c>
      <c r="AP60" s="748"/>
      <c r="AQ60" s="748"/>
      <c r="AV60" s="142"/>
      <c r="AW60" s="142"/>
      <c r="AX60" s="748"/>
      <c r="AY60" s="748"/>
      <c r="AZ60" s="748"/>
      <c r="BA60" s="1265"/>
      <c r="BB60" s="1265"/>
      <c r="BC60" s="1265"/>
      <c r="BD60" s="1265"/>
      <c r="BE60" s="1265"/>
      <c r="BF60" s="1265"/>
      <c r="BG60" s="1265"/>
    </row>
    <row r="61" spans="2:59">
      <c r="B61" s="773" t="str">
        <f>前年度登録!P58</f>
        <v/>
      </c>
      <c r="E61" s="774">
        <f>前年度登録!E58</f>
        <v>0</v>
      </c>
      <c r="F61" s="532" t="str">
        <f>前年度登録!CM58</f>
        <v/>
      </c>
      <c r="G61" s="990" t="str">
        <f>前年度登録!Z58</f>
        <v/>
      </c>
      <c r="H61" s="532" t="str">
        <f>前年度登録!CM58</f>
        <v/>
      </c>
      <c r="I61" s="185" t="str">
        <f>前年度登録!Y58</f>
        <v/>
      </c>
      <c r="J61" s="943" t="str">
        <f>前年度登録!CN58</f>
        <v/>
      </c>
      <c r="K61" s="891">
        <f>前年度登録!CP58</f>
        <v>0</v>
      </c>
      <c r="L61" s="892" t="str">
        <f>前年度登録!CU58</f>
        <v>00</v>
      </c>
      <c r="M61" s="773" t="str">
        <f>前年度登録!Q58</f>
        <v/>
      </c>
      <c r="N61" s="1258">
        <f>前年度登録!D58</f>
        <v>0</v>
      </c>
      <c r="O61" s="303"/>
      <c r="P61" s="258" t="str">
        <f>IF(O61="","",IF(I61=1,VLOOKUP(O61,男子種目コード!$A$1:$B$33,2,FALSE),IF(I61=2,VLOOKUP(O61,女子種目コード!$A$1:$B$27,2,FALSE))))</f>
        <v/>
      </c>
      <c r="Q61" s="494" t="str">
        <f>IF(O61="","",HLOOKUP(O61,前年度登録!$AH$3:$CH$118,56,FALSE))</f>
        <v/>
      </c>
      <c r="R61" s="624" t="str">
        <f t="shared" si="3"/>
        <v/>
      </c>
      <c r="S61" s="625" t="str">
        <f t="shared" si="4"/>
        <v/>
      </c>
      <c r="T61" s="303"/>
      <c r="U61" s="258" t="str">
        <f>IF(T61="","",IF(I61=1,VLOOKUP(T61,男子種目コード!$A$1:$B$33,2,FALSE),IF(I61=2,VLOOKUP(T61,女子種目コード!$A$1:$B$27,2,FALSE))))</f>
        <v/>
      </c>
      <c r="V61" s="540" t="str">
        <f>IF(T61="","",HLOOKUP(T61,前年度登録!$AH$3:$CH$118,56,FALSE))</f>
        <v/>
      </c>
      <c r="W61" s="620" t="str">
        <f t="shared" si="5"/>
        <v/>
      </c>
      <c r="X61" s="625" t="str">
        <f t="shared" si="6"/>
        <v/>
      </c>
      <c r="Y61" s="158"/>
      <c r="Z61" s="163"/>
      <c r="AA61" s="161"/>
      <c r="AB61" s="164"/>
      <c r="AC61" s="165"/>
      <c r="AD61" s="157"/>
      <c r="AE61" s="158"/>
      <c r="AF61" s="159"/>
      <c r="AG61" s="162"/>
      <c r="AH61" s="657"/>
      <c r="AI61" s="657"/>
      <c r="AK61" s="142"/>
      <c r="AL61" s="769" t="str">
        <f t="shared" si="7"/>
        <v/>
      </c>
      <c r="AM61" s="721">
        <f t="shared" si="8"/>
        <v>0</v>
      </c>
      <c r="AN61" s="721">
        <f t="shared" si="9"/>
        <v>0</v>
      </c>
      <c r="AP61" s="748"/>
      <c r="AQ61" s="748"/>
      <c r="AV61" s="142"/>
      <c r="AW61" s="142"/>
      <c r="AX61" s="748"/>
      <c r="AY61" s="748"/>
      <c r="AZ61" s="748"/>
      <c r="BA61" s="1265"/>
      <c r="BB61" s="1265"/>
      <c r="BC61" s="1265"/>
      <c r="BD61" s="1265"/>
      <c r="BE61" s="1265"/>
      <c r="BF61" s="1265"/>
      <c r="BG61" s="1265"/>
    </row>
    <row r="62" spans="2:59">
      <c r="B62" s="773" t="str">
        <f>前年度登録!P59</f>
        <v/>
      </c>
      <c r="E62" s="774">
        <f>前年度登録!E59</f>
        <v>0</v>
      </c>
      <c r="F62" s="532" t="str">
        <f>前年度登録!CM59</f>
        <v/>
      </c>
      <c r="G62" s="990" t="str">
        <f>前年度登録!Z59</f>
        <v/>
      </c>
      <c r="H62" s="532" t="str">
        <f>前年度登録!CM59</f>
        <v/>
      </c>
      <c r="I62" s="185" t="str">
        <f>前年度登録!Y59</f>
        <v/>
      </c>
      <c r="J62" s="943" t="str">
        <f>前年度登録!CN59</f>
        <v/>
      </c>
      <c r="K62" s="891">
        <f>前年度登録!CP59</f>
        <v>0</v>
      </c>
      <c r="L62" s="892" t="str">
        <f>前年度登録!CU59</f>
        <v>00</v>
      </c>
      <c r="M62" s="773" t="str">
        <f>前年度登録!Q59</f>
        <v/>
      </c>
      <c r="N62" s="1258">
        <f>前年度登録!D59</f>
        <v>0</v>
      </c>
      <c r="O62" s="303"/>
      <c r="P62" s="258" t="str">
        <f>IF(O62="","",IF(I62=1,VLOOKUP(O62,男子種目コード!$A$1:$B$33,2,FALSE),IF(I62=2,VLOOKUP(O62,女子種目コード!$A$1:$B$27,2,FALSE))))</f>
        <v/>
      </c>
      <c r="Q62" s="494" t="str">
        <f>IF(O62="","",HLOOKUP(O62,前年度登録!$AH$3:$CH$118,57,FALSE))</f>
        <v/>
      </c>
      <c r="R62" s="624" t="str">
        <f t="shared" si="3"/>
        <v/>
      </c>
      <c r="S62" s="625" t="str">
        <f t="shared" si="4"/>
        <v/>
      </c>
      <c r="T62" s="303"/>
      <c r="U62" s="258" t="str">
        <f>IF(T62="","",IF(I62=1,VLOOKUP(T62,男子種目コード!$A$1:$B$33,2,FALSE),IF(I62=2,VLOOKUP(T62,女子種目コード!$A$1:$B$27,2,FALSE))))</f>
        <v/>
      </c>
      <c r="V62" s="540" t="str">
        <f>IF(T62="","",HLOOKUP(T62,前年度登録!$AH$3:$CH$118,57,FALSE))</f>
        <v/>
      </c>
      <c r="W62" s="620" t="str">
        <f t="shared" si="5"/>
        <v/>
      </c>
      <c r="X62" s="625" t="str">
        <f t="shared" si="6"/>
        <v/>
      </c>
      <c r="Y62" s="158"/>
      <c r="Z62" s="163"/>
      <c r="AA62" s="161"/>
      <c r="AB62" s="164"/>
      <c r="AC62" s="165"/>
      <c r="AD62" s="157"/>
      <c r="AE62" s="158"/>
      <c r="AF62" s="159"/>
      <c r="AG62" s="162"/>
      <c r="AH62" s="657"/>
      <c r="AI62" s="657"/>
      <c r="AK62" s="142"/>
      <c r="AL62" s="769" t="str">
        <f t="shared" si="7"/>
        <v/>
      </c>
      <c r="AM62" s="721">
        <f t="shared" si="8"/>
        <v>0</v>
      </c>
      <c r="AN62" s="721">
        <f t="shared" si="9"/>
        <v>0</v>
      </c>
      <c r="AP62" s="748"/>
      <c r="AQ62" s="748"/>
      <c r="AV62" s="142"/>
      <c r="AW62" s="142"/>
      <c r="AX62" s="748"/>
      <c r="AY62" s="748"/>
      <c r="AZ62" s="748"/>
      <c r="BA62" s="1265"/>
      <c r="BB62" s="1265"/>
      <c r="BC62" s="1265"/>
      <c r="BD62" s="1265"/>
      <c r="BE62" s="1265"/>
      <c r="BF62" s="1265"/>
      <c r="BG62" s="1265"/>
    </row>
    <row r="63" spans="2:59">
      <c r="B63" s="773" t="str">
        <f>前年度登録!P60</f>
        <v/>
      </c>
      <c r="E63" s="774">
        <f>前年度登録!E60</f>
        <v>0</v>
      </c>
      <c r="F63" s="532" t="str">
        <f>前年度登録!CM60</f>
        <v/>
      </c>
      <c r="G63" s="990" t="str">
        <f>前年度登録!Z60</f>
        <v/>
      </c>
      <c r="H63" s="532" t="str">
        <f>前年度登録!CM60</f>
        <v/>
      </c>
      <c r="I63" s="185" t="str">
        <f>前年度登録!Y60</f>
        <v/>
      </c>
      <c r="J63" s="943" t="str">
        <f>前年度登録!CN60</f>
        <v/>
      </c>
      <c r="K63" s="891">
        <f>前年度登録!CP60</f>
        <v>0</v>
      </c>
      <c r="L63" s="892" t="str">
        <f>前年度登録!CU60</f>
        <v>00</v>
      </c>
      <c r="M63" s="773" t="str">
        <f>前年度登録!Q60</f>
        <v/>
      </c>
      <c r="N63" s="1258">
        <f>前年度登録!D60</f>
        <v>0</v>
      </c>
      <c r="O63" s="303"/>
      <c r="P63" s="258" t="str">
        <f>IF(O63="","",IF(I63=1,VLOOKUP(O63,男子種目コード!$A$1:$B$33,2,FALSE),IF(I63=2,VLOOKUP(O63,女子種目コード!$A$1:$B$27,2,FALSE))))</f>
        <v/>
      </c>
      <c r="Q63" s="494" t="str">
        <f>IF(O63="","",HLOOKUP(O63,前年度登録!$AH$3:$CH$118,58,FALSE))</f>
        <v/>
      </c>
      <c r="R63" s="624" t="str">
        <f t="shared" si="3"/>
        <v/>
      </c>
      <c r="S63" s="625" t="str">
        <f t="shared" si="4"/>
        <v/>
      </c>
      <c r="T63" s="303"/>
      <c r="U63" s="258" t="str">
        <f>IF(T63="","",IF(I63=1,VLOOKUP(T63,男子種目コード!$A$1:$B$33,2,FALSE),IF(I63=2,VLOOKUP(T63,女子種目コード!$A$1:$B$27,2,FALSE))))</f>
        <v/>
      </c>
      <c r="V63" s="540" t="str">
        <f>IF(T63="","",HLOOKUP(T63,前年度登録!$AH$3:$CH$118,58,FALSE))</f>
        <v/>
      </c>
      <c r="W63" s="620" t="str">
        <f t="shared" si="5"/>
        <v/>
      </c>
      <c r="X63" s="625" t="str">
        <f t="shared" si="6"/>
        <v/>
      </c>
      <c r="Y63" s="158"/>
      <c r="Z63" s="163"/>
      <c r="AA63" s="161"/>
      <c r="AB63" s="164"/>
      <c r="AC63" s="165"/>
      <c r="AD63" s="157"/>
      <c r="AE63" s="158"/>
      <c r="AF63" s="159"/>
      <c r="AG63" s="162"/>
      <c r="AH63" s="657"/>
      <c r="AI63" s="657"/>
      <c r="AK63" s="142"/>
      <c r="AL63" s="769" t="str">
        <f t="shared" si="7"/>
        <v/>
      </c>
      <c r="AM63" s="721">
        <f t="shared" si="8"/>
        <v>0</v>
      </c>
      <c r="AN63" s="721">
        <f t="shared" si="9"/>
        <v>0</v>
      </c>
      <c r="AP63" s="748"/>
      <c r="AQ63" s="748"/>
      <c r="AV63" s="142"/>
      <c r="AW63" s="142"/>
      <c r="AX63" s="748"/>
      <c r="AY63" s="748"/>
      <c r="AZ63" s="748"/>
      <c r="BA63" s="1265"/>
      <c r="BB63" s="1265"/>
      <c r="BC63" s="1265"/>
      <c r="BD63" s="1265"/>
      <c r="BE63" s="1265"/>
      <c r="BF63" s="1265"/>
      <c r="BG63" s="1265"/>
    </row>
    <row r="64" spans="2:59">
      <c r="B64" s="773" t="str">
        <f>前年度登録!P61</f>
        <v/>
      </c>
      <c r="E64" s="774">
        <f>前年度登録!E61</f>
        <v>0</v>
      </c>
      <c r="F64" s="532" t="str">
        <f>前年度登録!CM61</f>
        <v/>
      </c>
      <c r="G64" s="990" t="str">
        <f>前年度登録!Z61</f>
        <v/>
      </c>
      <c r="H64" s="532" t="str">
        <f>前年度登録!CM61</f>
        <v/>
      </c>
      <c r="I64" s="185" t="str">
        <f>前年度登録!Y61</f>
        <v/>
      </c>
      <c r="J64" s="943" t="str">
        <f>前年度登録!CN61</f>
        <v/>
      </c>
      <c r="K64" s="891">
        <f>前年度登録!CP61</f>
        <v>0</v>
      </c>
      <c r="L64" s="892" t="str">
        <f>前年度登録!CU61</f>
        <v>00</v>
      </c>
      <c r="M64" s="773" t="str">
        <f>前年度登録!Q61</f>
        <v/>
      </c>
      <c r="N64" s="1258">
        <f>前年度登録!D61</f>
        <v>0</v>
      </c>
      <c r="O64" s="303"/>
      <c r="P64" s="258" t="str">
        <f>IF(O64="","",IF(I64=1,VLOOKUP(O64,男子種目コード!$A$1:$B$33,2,FALSE),IF(I64=2,VLOOKUP(O64,女子種目コード!$A$1:$B$27,2,FALSE))))</f>
        <v/>
      </c>
      <c r="Q64" s="494" t="str">
        <f>IF(O64="","",HLOOKUP(O64,前年度登録!$AH$3:$CH$118,59,FALSE))</f>
        <v/>
      </c>
      <c r="R64" s="624" t="str">
        <f t="shared" si="3"/>
        <v/>
      </c>
      <c r="S64" s="625" t="str">
        <f t="shared" si="4"/>
        <v/>
      </c>
      <c r="T64" s="303"/>
      <c r="U64" s="258" t="str">
        <f>IF(T64="","",IF(I64=1,VLOOKUP(T64,男子種目コード!$A$1:$B$33,2,FALSE),IF(I64=2,VLOOKUP(T64,女子種目コード!$A$1:$B$27,2,FALSE))))</f>
        <v/>
      </c>
      <c r="V64" s="540" t="str">
        <f>IF(T64="","",HLOOKUP(T64,前年度登録!$AH$3:$CH$118,59,FALSE))</f>
        <v/>
      </c>
      <c r="W64" s="620" t="str">
        <f t="shared" si="5"/>
        <v/>
      </c>
      <c r="X64" s="625" t="str">
        <f t="shared" si="6"/>
        <v/>
      </c>
      <c r="Y64" s="158"/>
      <c r="Z64" s="163"/>
      <c r="AA64" s="161"/>
      <c r="AB64" s="164"/>
      <c r="AC64" s="165"/>
      <c r="AD64" s="157"/>
      <c r="AE64" s="158"/>
      <c r="AF64" s="159"/>
      <c r="AG64" s="162"/>
      <c r="AH64" s="657"/>
      <c r="AI64" s="657"/>
      <c r="AK64" s="142"/>
      <c r="AL64" s="769" t="str">
        <f t="shared" si="7"/>
        <v/>
      </c>
      <c r="AM64" s="721">
        <f t="shared" si="8"/>
        <v>0</v>
      </c>
      <c r="AN64" s="721">
        <f t="shared" si="9"/>
        <v>0</v>
      </c>
      <c r="AP64" s="748"/>
      <c r="AQ64" s="748"/>
      <c r="AV64" s="142"/>
      <c r="AW64" s="142"/>
      <c r="AX64" s="748"/>
      <c r="AY64" s="748"/>
      <c r="AZ64" s="748"/>
      <c r="BA64" s="1265"/>
      <c r="BB64" s="1265"/>
      <c r="BC64" s="1265"/>
      <c r="BD64" s="1265"/>
      <c r="BE64" s="1265"/>
      <c r="BF64" s="1265"/>
      <c r="BG64" s="1265"/>
    </row>
    <row r="65" spans="2:59">
      <c r="B65" s="773" t="str">
        <f>前年度登録!P62</f>
        <v/>
      </c>
      <c r="E65" s="774">
        <f>前年度登録!E62</f>
        <v>0</v>
      </c>
      <c r="F65" s="532" t="str">
        <f>前年度登録!CM62</f>
        <v/>
      </c>
      <c r="G65" s="990" t="str">
        <f>前年度登録!Z62</f>
        <v/>
      </c>
      <c r="H65" s="532" t="str">
        <f>前年度登録!CM62</f>
        <v/>
      </c>
      <c r="I65" s="185" t="str">
        <f>前年度登録!Y62</f>
        <v/>
      </c>
      <c r="J65" s="943" t="str">
        <f>前年度登録!CN62</f>
        <v/>
      </c>
      <c r="K65" s="891">
        <f>前年度登録!CP62</f>
        <v>0</v>
      </c>
      <c r="L65" s="892" t="str">
        <f>前年度登録!CU62</f>
        <v>00</v>
      </c>
      <c r="M65" s="773" t="str">
        <f>前年度登録!Q62</f>
        <v/>
      </c>
      <c r="N65" s="1258">
        <f>前年度登録!D62</f>
        <v>0</v>
      </c>
      <c r="O65" s="303"/>
      <c r="P65" s="258" t="str">
        <f>IF(O65="","",IF(I65=1,VLOOKUP(O65,男子種目コード!$A$1:$B$33,2,FALSE),IF(I65=2,VLOOKUP(O65,女子種目コード!$A$1:$B$27,2,FALSE))))</f>
        <v/>
      </c>
      <c r="Q65" s="494" t="str">
        <f>IF(O65="","",HLOOKUP(O65,前年度登録!$AH$3:$CH$118,60,FALSE))</f>
        <v/>
      </c>
      <c r="R65" s="624" t="str">
        <f t="shared" si="3"/>
        <v/>
      </c>
      <c r="S65" s="625" t="str">
        <f t="shared" si="4"/>
        <v/>
      </c>
      <c r="T65" s="303"/>
      <c r="U65" s="258" t="str">
        <f>IF(T65="","",IF(I65=1,VLOOKUP(T65,男子種目コード!$A$1:$B$33,2,FALSE),IF(I65=2,VLOOKUP(T65,女子種目コード!$A$1:$B$27,2,FALSE))))</f>
        <v/>
      </c>
      <c r="V65" s="540" t="str">
        <f>IF(T65="","",HLOOKUP(T65,前年度登録!$AH$3:$CH$118,60,FALSE))</f>
        <v/>
      </c>
      <c r="W65" s="620" t="str">
        <f t="shared" si="5"/>
        <v/>
      </c>
      <c r="X65" s="625" t="str">
        <f t="shared" si="6"/>
        <v/>
      </c>
      <c r="Y65" s="158"/>
      <c r="Z65" s="163"/>
      <c r="AA65" s="161"/>
      <c r="AB65" s="164"/>
      <c r="AC65" s="165"/>
      <c r="AD65" s="157"/>
      <c r="AE65" s="158"/>
      <c r="AF65" s="159"/>
      <c r="AG65" s="162"/>
      <c r="AH65" s="657"/>
      <c r="AI65" s="657"/>
      <c r="AK65" s="142"/>
      <c r="AL65" s="769" t="str">
        <f t="shared" si="7"/>
        <v/>
      </c>
      <c r="AM65" s="721">
        <f t="shared" si="8"/>
        <v>0</v>
      </c>
      <c r="AN65" s="721">
        <f t="shared" si="9"/>
        <v>0</v>
      </c>
      <c r="AP65" s="748"/>
      <c r="AQ65" s="748"/>
      <c r="AV65" s="142"/>
      <c r="AW65" s="142"/>
      <c r="AX65" s="748"/>
      <c r="AY65" s="748"/>
      <c r="AZ65" s="748"/>
      <c r="BA65" s="1265"/>
      <c r="BB65" s="1265"/>
      <c r="BC65" s="1265"/>
      <c r="BD65" s="1265"/>
      <c r="BE65" s="1265"/>
      <c r="BF65" s="1265"/>
      <c r="BG65" s="1265"/>
    </row>
    <row r="66" spans="2:59">
      <c r="B66" s="773" t="str">
        <f>前年度登録!P63</f>
        <v/>
      </c>
      <c r="E66" s="774">
        <f>前年度登録!E63</f>
        <v>0</v>
      </c>
      <c r="F66" s="532" t="str">
        <f>前年度登録!CM63</f>
        <v/>
      </c>
      <c r="G66" s="990" t="str">
        <f>前年度登録!Z63</f>
        <v/>
      </c>
      <c r="H66" s="532" t="str">
        <f>前年度登録!CM63</f>
        <v/>
      </c>
      <c r="I66" s="185" t="str">
        <f>前年度登録!Y63</f>
        <v/>
      </c>
      <c r="J66" s="943" t="str">
        <f>前年度登録!CN63</f>
        <v/>
      </c>
      <c r="K66" s="891">
        <f>前年度登録!CP63</f>
        <v>0</v>
      </c>
      <c r="L66" s="892" t="str">
        <f>前年度登録!CU63</f>
        <v>00</v>
      </c>
      <c r="M66" s="773" t="str">
        <f>前年度登録!Q63</f>
        <v/>
      </c>
      <c r="N66" s="1258">
        <f>前年度登録!D63</f>
        <v>0</v>
      </c>
      <c r="O66" s="303"/>
      <c r="P66" s="258" t="str">
        <f>IF(O66="","",IF(I66=1,VLOOKUP(O66,男子種目コード!$A$1:$B$33,2,FALSE),IF(I66=2,VLOOKUP(O66,女子種目コード!$A$1:$B$27,2,FALSE))))</f>
        <v/>
      </c>
      <c r="Q66" s="494" t="str">
        <f>IF(O66="","",HLOOKUP(O66,前年度登録!$AH$3:$CH$118,61,FALSE))</f>
        <v/>
      </c>
      <c r="R66" s="624" t="str">
        <f t="shared" si="3"/>
        <v/>
      </c>
      <c r="S66" s="625" t="str">
        <f t="shared" si="4"/>
        <v/>
      </c>
      <c r="T66" s="303"/>
      <c r="U66" s="258" t="str">
        <f>IF(T66="","",IF(I66=1,VLOOKUP(T66,男子種目コード!$A$1:$B$33,2,FALSE),IF(I66=2,VLOOKUP(T66,女子種目コード!$A$1:$B$27,2,FALSE))))</f>
        <v/>
      </c>
      <c r="V66" s="540" t="str">
        <f>IF(T66="","",HLOOKUP(T66,前年度登録!$AH$3:$CH$118,61,FALSE))</f>
        <v/>
      </c>
      <c r="W66" s="620" t="str">
        <f t="shared" si="5"/>
        <v/>
      </c>
      <c r="X66" s="625" t="str">
        <f t="shared" si="6"/>
        <v/>
      </c>
      <c r="Y66" s="158"/>
      <c r="Z66" s="163"/>
      <c r="AA66" s="161"/>
      <c r="AB66" s="164"/>
      <c r="AC66" s="165"/>
      <c r="AD66" s="157"/>
      <c r="AE66" s="158"/>
      <c r="AF66" s="159"/>
      <c r="AG66" s="162"/>
      <c r="AH66" s="657"/>
      <c r="AI66" s="657"/>
      <c r="AK66" s="142"/>
      <c r="AL66" s="769" t="str">
        <f t="shared" si="7"/>
        <v/>
      </c>
      <c r="AM66" s="721">
        <f t="shared" si="8"/>
        <v>0</v>
      </c>
      <c r="AN66" s="721">
        <f t="shared" si="9"/>
        <v>0</v>
      </c>
      <c r="AP66" s="748"/>
      <c r="AQ66" s="748"/>
      <c r="AV66" s="142"/>
      <c r="AW66" s="142"/>
      <c r="AX66" s="748"/>
      <c r="AY66" s="748"/>
      <c r="AZ66" s="748"/>
      <c r="BA66" s="1265"/>
      <c r="BB66" s="1265"/>
      <c r="BC66" s="1265"/>
      <c r="BD66" s="1265"/>
      <c r="BE66" s="1265"/>
      <c r="BF66" s="1265"/>
      <c r="BG66" s="1265"/>
    </row>
    <row r="67" spans="2:59">
      <c r="B67" s="773" t="str">
        <f>前年度登録!P64</f>
        <v/>
      </c>
      <c r="E67" s="774">
        <f>前年度登録!E64</f>
        <v>0</v>
      </c>
      <c r="F67" s="532" t="str">
        <f>前年度登録!CM64</f>
        <v/>
      </c>
      <c r="G67" s="990" t="str">
        <f>前年度登録!Z64</f>
        <v/>
      </c>
      <c r="H67" s="532" t="str">
        <f>前年度登録!CM64</f>
        <v/>
      </c>
      <c r="I67" s="185" t="str">
        <f>前年度登録!Y64</f>
        <v/>
      </c>
      <c r="J67" s="943" t="str">
        <f>前年度登録!CN64</f>
        <v/>
      </c>
      <c r="K67" s="891">
        <f>前年度登録!CP64</f>
        <v>0</v>
      </c>
      <c r="L67" s="892" t="str">
        <f>前年度登録!CU64</f>
        <v>00</v>
      </c>
      <c r="M67" s="773" t="str">
        <f>前年度登録!Q64</f>
        <v/>
      </c>
      <c r="N67" s="1258">
        <f>前年度登録!D64</f>
        <v>0</v>
      </c>
      <c r="O67" s="303"/>
      <c r="P67" s="258" t="str">
        <f>IF(O67="","",IF(I67=1,VLOOKUP(O67,男子種目コード!$A$1:$B$33,2,FALSE),IF(I67=2,VLOOKUP(O67,女子種目コード!$A$1:$B$27,2,FALSE))))</f>
        <v/>
      </c>
      <c r="Q67" s="494" t="str">
        <f>IF(O67="","",HLOOKUP(O67,前年度登録!$AH$3:$CH$118,62,FALSE))</f>
        <v/>
      </c>
      <c r="R67" s="624" t="str">
        <f t="shared" si="3"/>
        <v/>
      </c>
      <c r="S67" s="625" t="str">
        <f t="shared" si="4"/>
        <v/>
      </c>
      <c r="T67" s="303"/>
      <c r="U67" s="258" t="str">
        <f>IF(T67="","",IF(I67=1,VLOOKUP(T67,男子種目コード!$A$1:$B$33,2,FALSE),IF(I67=2,VLOOKUP(T67,女子種目コード!$A$1:$B$27,2,FALSE))))</f>
        <v/>
      </c>
      <c r="V67" s="540" t="str">
        <f>IF(T67="","",HLOOKUP(T67,前年度登録!$AH$3:$CH$118,62,FALSE))</f>
        <v/>
      </c>
      <c r="W67" s="620" t="str">
        <f t="shared" si="5"/>
        <v/>
      </c>
      <c r="X67" s="625" t="str">
        <f t="shared" si="6"/>
        <v/>
      </c>
      <c r="Y67" s="158"/>
      <c r="Z67" s="163"/>
      <c r="AA67" s="161"/>
      <c r="AB67" s="164"/>
      <c r="AC67" s="165"/>
      <c r="AD67" s="157"/>
      <c r="AE67" s="158"/>
      <c r="AF67" s="159"/>
      <c r="AG67" s="162"/>
      <c r="AH67" s="657"/>
      <c r="AI67" s="657"/>
      <c r="AK67" s="142"/>
      <c r="AL67" s="769" t="str">
        <f t="shared" si="7"/>
        <v/>
      </c>
      <c r="AM67" s="721">
        <f t="shared" si="8"/>
        <v>0</v>
      </c>
      <c r="AN67" s="721">
        <f t="shared" si="9"/>
        <v>0</v>
      </c>
      <c r="AP67" s="748"/>
      <c r="AQ67" s="748"/>
      <c r="AV67" s="142"/>
      <c r="AW67" s="142"/>
      <c r="AX67" s="748"/>
      <c r="AY67" s="748"/>
      <c r="AZ67" s="748"/>
      <c r="BA67" s="1265"/>
      <c r="BB67" s="1265"/>
      <c r="BC67" s="1265"/>
      <c r="BD67" s="1265"/>
      <c r="BE67" s="1265"/>
      <c r="BF67" s="1265"/>
      <c r="BG67" s="1265"/>
    </row>
    <row r="68" spans="2:59">
      <c r="B68" s="773" t="str">
        <f>前年度登録!P65</f>
        <v/>
      </c>
      <c r="E68" s="774">
        <f>前年度登録!E65</f>
        <v>0</v>
      </c>
      <c r="F68" s="532" t="str">
        <f>前年度登録!CM65</f>
        <v/>
      </c>
      <c r="G68" s="990" t="str">
        <f>前年度登録!Z65</f>
        <v/>
      </c>
      <c r="H68" s="532" t="str">
        <f>前年度登録!CM65</f>
        <v/>
      </c>
      <c r="I68" s="185" t="str">
        <f>前年度登録!Y65</f>
        <v/>
      </c>
      <c r="J68" s="943" t="str">
        <f>前年度登録!CN65</f>
        <v/>
      </c>
      <c r="K68" s="891">
        <f>前年度登録!CP65</f>
        <v>0</v>
      </c>
      <c r="L68" s="892" t="str">
        <f>前年度登録!CU65</f>
        <v>00</v>
      </c>
      <c r="M68" s="773" t="str">
        <f>前年度登録!Q65</f>
        <v/>
      </c>
      <c r="N68" s="1258">
        <f>前年度登録!D65</f>
        <v>0</v>
      </c>
      <c r="O68" s="303"/>
      <c r="P68" s="258" t="str">
        <f>IF(O68="","",IF(I68=1,VLOOKUP(O68,男子種目コード!$A$1:$B$33,2,FALSE),IF(I68=2,VLOOKUP(O68,女子種目コード!$A$1:$B$27,2,FALSE))))</f>
        <v/>
      </c>
      <c r="Q68" s="494" t="str">
        <f>IF(O68="","",HLOOKUP(O68,前年度登録!$AH$3:$CH$118,63,FALSE))</f>
        <v/>
      </c>
      <c r="R68" s="624" t="str">
        <f t="shared" si="3"/>
        <v/>
      </c>
      <c r="S68" s="625" t="str">
        <f t="shared" si="4"/>
        <v/>
      </c>
      <c r="T68" s="303"/>
      <c r="U68" s="258" t="str">
        <f>IF(T68="","",IF(I68=1,VLOOKUP(T68,男子種目コード!$A$1:$B$33,2,FALSE),IF(I68=2,VLOOKUP(T68,女子種目コード!$A$1:$B$27,2,FALSE))))</f>
        <v/>
      </c>
      <c r="V68" s="540" t="str">
        <f>IF(T68="","",HLOOKUP(T68,前年度登録!$AH$3:$CH$118,63,FALSE))</f>
        <v/>
      </c>
      <c r="W68" s="620" t="str">
        <f t="shared" si="5"/>
        <v/>
      </c>
      <c r="X68" s="625" t="str">
        <f t="shared" si="6"/>
        <v/>
      </c>
      <c r="Y68" s="158"/>
      <c r="Z68" s="163"/>
      <c r="AA68" s="161"/>
      <c r="AB68" s="164"/>
      <c r="AC68" s="165"/>
      <c r="AD68" s="157"/>
      <c r="AE68" s="158"/>
      <c r="AF68" s="159"/>
      <c r="AG68" s="162"/>
      <c r="AH68" s="657"/>
      <c r="AI68" s="657"/>
      <c r="AK68" s="142"/>
      <c r="AL68" s="769" t="str">
        <f t="shared" si="7"/>
        <v/>
      </c>
      <c r="AM68" s="721">
        <f t="shared" si="8"/>
        <v>0</v>
      </c>
      <c r="AN68" s="721">
        <f t="shared" si="9"/>
        <v>0</v>
      </c>
      <c r="AP68" s="748"/>
      <c r="AQ68" s="748"/>
      <c r="AV68" s="142"/>
      <c r="AW68" s="142"/>
      <c r="AX68" s="748"/>
      <c r="AY68" s="748"/>
      <c r="AZ68" s="748"/>
      <c r="BA68" s="1265"/>
      <c r="BB68" s="1265"/>
      <c r="BC68" s="1265"/>
      <c r="BD68" s="1265"/>
      <c r="BE68" s="1265"/>
      <c r="BF68" s="1265"/>
      <c r="BG68" s="1265"/>
    </row>
    <row r="69" spans="2:59">
      <c r="B69" s="773" t="str">
        <f>前年度登録!P66</f>
        <v/>
      </c>
      <c r="E69" s="774">
        <f>前年度登録!E66</f>
        <v>0</v>
      </c>
      <c r="F69" s="532" t="str">
        <f>前年度登録!CM66</f>
        <v/>
      </c>
      <c r="G69" s="990" t="str">
        <f>前年度登録!Z66</f>
        <v/>
      </c>
      <c r="H69" s="532" t="str">
        <f>前年度登録!CM66</f>
        <v/>
      </c>
      <c r="I69" s="185" t="str">
        <f>前年度登録!Y66</f>
        <v/>
      </c>
      <c r="J69" s="943" t="str">
        <f>前年度登録!CN66</f>
        <v/>
      </c>
      <c r="K69" s="891">
        <f>前年度登録!CP66</f>
        <v>0</v>
      </c>
      <c r="L69" s="892" t="str">
        <f>前年度登録!CU66</f>
        <v>00</v>
      </c>
      <c r="M69" s="773" t="str">
        <f>前年度登録!Q66</f>
        <v/>
      </c>
      <c r="N69" s="1258">
        <f>前年度登録!D66</f>
        <v>0</v>
      </c>
      <c r="O69" s="303"/>
      <c r="P69" s="258" t="str">
        <f>IF(O69="","",IF(I69=1,VLOOKUP(O69,男子種目コード!$A$1:$B$33,2,FALSE),IF(I69=2,VLOOKUP(O69,女子種目コード!$A$1:$B$27,2,FALSE))))</f>
        <v/>
      </c>
      <c r="Q69" s="494" t="str">
        <f>IF(O69="","",HLOOKUP(O69,前年度登録!$AH$3:$CH$118,64,FALSE))</f>
        <v/>
      </c>
      <c r="R69" s="624" t="str">
        <f t="shared" si="3"/>
        <v/>
      </c>
      <c r="S69" s="625" t="str">
        <f t="shared" si="4"/>
        <v/>
      </c>
      <c r="T69" s="303"/>
      <c r="U69" s="258" t="str">
        <f>IF(T69="","",IF(I69=1,VLOOKUP(T69,男子種目コード!$A$1:$B$33,2,FALSE),IF(I69=2,VLOOKUP(T69,女子種目コード!$A$1:$B$27,2,FALSE))))</f>
        <v/>
      </c>
      <c r="V69" s="540" t="str">
        <f>IF(T69="","",HLOOKUP(T69,前年度登録!$AH$3:$CH$118,64,FALSE))</f>
        <v/>
      </c>
      <c r="W69" s="620" t="str">
        <f t="shared" si="5"/>
        <v/>
      </c>
      <c r="X69" s="625" t="str">
        <f t="shared" si="6"/>
        <v/>
      </c>
      <c r="Y69" s="158"/>
      <c r="Z69" s="163"/>
      <c r="AA69" s="161"/>
      <c r="AB69" s="164"/>
      <c r="AC69" s="165"/>
      <c r="AD69" s="157"/>
      <c r="AE69" s="158"/>
      <c r="AF69" s="159"/>
      <c r="AG69" s="162"/>
      <c r="AH69" s="657"/>
      <c r="AI69" s="657"/>
      <c r="AK69" s="142"/>
      <c r="AL69" s="769" t="str">
        <f t="shared" si="7"/>
        <v/>
      </c>
      <c r="AM69" s="721">
        <f t="shared" si="8"/>
        <v>0</v>
      </c>
      <c r="AN69" s="721">
        <f t="shared" si="9"/>
        <v>0</v>
      </c>
      <c r="AP69" s="748"/>
      <c r="AQ69" s="748"/>
      <c r="AV69" s="142"/>
      <c r="AW69" s="142"/>
      <c r="AX69" s="748"/>
      <c r="AY69" s="748"/>
      <c r="AZ69" s="748"/>
      <c r="BA69" s="1265"/>
      <c r="BB69" s="1265"/>
      <c r="BC69" s="1265"/>
      <c r="BD69" s="1265"/>
      <c r="BE69" s="1265"/>
      <c r="BF69" s="1265"/>
      <c r="BG69" s="1265"/>
    </row>
    <row r="70" spans="2:59">
      <c r="B70" s="773" t="str">
        <f>前年度登録!P67</f>
        <v/>
      </c>
      <c r="E70" s="774">
        <f>前年度登録!E67</f>
        <v>0</v>
      </c>
      <c r="F70" s="532" t="str">
        <f>前年度登録!CM67</f>
        <v/>
      </c>
      <c r="G70" s="990" t="str">
        <f>前年度登録!Z67</f>
        <v/>
      </c>
      <c r="H70" s="532" t="str">
        <f>前年度登録!CM67</f>
        <v/>
      </c>
      <c r="I70" s="185" t="str">
        <f>前年度登録!Y67</f>
        <v/>
      </c>
      <c r="J70" s="943" t="str">
        <f>前年度登録!CN67</f>
        <v/>
      </c>
      <c r="K70" s="891">
        <f>前年度登録!CP67</f>
        <v>0</v>
      </c>
      <c r="L70" s="892" t="str">
        <f>前年度登録!CU67</f>
        <v>00</v>
      </c>
      <c r="M70" s="773" t="str">
        <f>前年度登録!Q67</f>
        <v/>
      </c>
      <c r="N70" s="1258">
        <f>前年度登録!D67</f>
        <v>0</v>
      </c>
      <c r="O70" s="303"/>
      <c r="P70" s="258" t="str">
        <f>IF(O70="","",IF(I70=1,VLOOKUP(O70,男子種目コード!$A$1:$B$33,2,FALSE),IF(I70=2,VLOOKUP(O70,女子種目コード!$A$1:$B$27,2,FALSE))))</f>
        <v/>
      </c>
      <c r="Q70" s="494" t="str">
        <f>IF(O70="","",HLOOKUP(O70,前年度登録!$AH$3:$CH$118,65,FALSE))</f>
        <v/>
      </c>
      <c r="R70" s="624" t="str">
        <f t="shared" si="3"/>
        <v/>
      </c>
      <c r="S70" s="625" t="str">
        <f t="shared" si="4"/>
        <v/>
      </c>
      <c r="T70" s="303"/>
      <c r="U70" s="258" t="str">
        <f>IF(T70="","",IF(I70=1,VLOOKUP(T70,男子種目コード!$A$1:$B$33,2,FALSE),IF(I70=2,VLOOKUP(T70,女子種目コード!$A$1:$B$27,2,FALSE))))</f>
        <v/>
      </c>
      <c r="V70" s="540" t="str">
        <f>IF(T70="","",HLOOKUP(T70,前年度登録!$AH$3:$CH$118,65,FALSE))</f>
        <v/>
      </c>
      <c r="W70" s="620" t="str">
        <f t="shared" si="5"/>
        <v/>
      </c>
      <c r="X70" s="625" t="str">
        <f t="shared" si="6"/>
        <v/>
      </c>
      <c r="Y70" s="158"/>
      <c r="Z70" s="163"/>
      <c r="AA70" s="161"/>
      <c r="AB70" s="164"/>
      <c r="AC70" s="165"/>
      <c r="AD70" s="157"/>
      <c r="AE70" s="158"/>
      <c r="AF70" s="159"/>
      <c r="AG70" s="162"/>
      <c r="AH70" s="657"/>
      <c r="AI70" s="657"/>
      <c r="AK70" s="142"/>
      <c r="AL70" s="769" t="str">
        <f t="shared" si="7"/>
        <v/>
      </c>
      <c r="AM70" s="721">
        <f t="shared" si="8"/>
        <v>0</v>
      </c>
      <c r="AN70" s="721">
        <f t="shared" si="9"/>
        <v>0</v>
      </c>
      <c r="AP70" s="748"/>
      <c r="AQ70" s="748"/>
      <c r="AV70" s="142"/>
      <c r="AW70" s="142"/>
      <c r="AX70" s="748"/>
      <c r="AY70" s="748"/>
      <c r="AZ70" s="748"/>
      <c r="BA70" s="1265"/>
      <c r="BB70" s="1265"/>
      <c r="BC70" s="1265"/>
      <c r="BD70" s="1265"/>
      <c r="BE70" s="1265"/>
      <c r="BF70" s="1265"/>
      <c r="BG70" s="1265"/>
    </row>
    <row r="71" spans="2:59">
      <c r="B71" s="773" t="str">
        <f>前年度登録!P68</f>
        <v/>
      </c>
      <c r="E71" s="774">
        <f>前年度登録!E68</f>
        <v>0</v>
      </c>
      <c r="F71" s="532" t="str">
        <f>前年度登録!CM68</f>
        <v/>
      </c>
      <c r="G71" s="990" t="str">
        <f>前年度登録!Z68</f>
        <v/>
      </c>
      <c r="H71" s="532" t="str">
        <f>前年度登録!CM68</f>
        <v/>
      </c>
      <c r="I71" s="185" t="str">
        <f>前年度登録!Y68</f>
        <v/>
      </c>
      <c r="J71" s="943" t="str">
        <f>前年度登録!CN68</f>
        <v/>
      </c>
      <c r="K71" s="891">
        <f>前年度登録!CP68</f>
        <v>0</v>
      </c>
      <c r="L71" s="892" t="str">
        <f>前年度登録!CU68</f>
        <v>00</v>
      </c>
      <c r="M71" s="773" t="str">
        <f>前年度登録!Q68</f>
        <v/>
      </c>
      <c r="N71" s="1258">
        <f>前年度登録!D68</f>
        <v>0</v>
      </c>
      <c r="O71" s="303"/>
      <c r="P71" s="258" t="str">
        <f>IF(O71="","",IF(I71=1,VLOOKUP(O71,男子種目コード!$A$1:$B$33,2,FALSE),IF(I71=2,VLOOKUP(O71,女子種目コード!$A$1:$B$27,2,FALSE))))</f>
        <v/>
      </c>
      <c r="Q71" s="494" t="str">
        <f>IF(O71="","",HLOOKUP(O71,前年度登録!$AH$3:$CH$118,66,FALSE))</f>
        <v/>
      </c>
      <c r="R71" s="624" t="str">
        <f t="shared" si="3"/>
        <v/>
      </c>
      <c r="S71" s="625" t="str">
        <f t="shared" si="4"/>
        <v/>
      </c>
      <c r="T71" s="303"/>
      <c r="U71" s="258" t="str">
        <f>IF(T71="","",IF(I71=1,VLOOKUP(T71,男子種目コード!$A$1:$B$33,2,FALSE),IF(I71=2,VLOOKUP(T71,女子種目コード!$A$1:$B$27,2,FALSE))))</f>
        <v/>
      </c>
      <c r="V71" s="540" t="str">
        <f>IF(T71="","",HLOOKUP(T71,前年度登録!$AH$3:$CH$118,66,FALSE))</f>
        <v/>
      </c>
      <c r="W71" s="620" t="str">
        <f t="shared" si="5"/>
        <v/>
      </c>
      <c r="X71" s="625" t="str">
        <f t="shared" si="6"/>
        <v/>
      </c>
      <c r="Y71" s="158"/>
      <c r="Z71" s="163"/>
      <c r="AA71" s="161"/>
      <c r="AB71" s="164"/>
      <c r="AC71" s="165"/>
      <c r="AD71" s="157"/>
      <c r="AE71" s="158"/>
      <c r="AF71" s="159"/>
      <c r="AG71" s="162"/>
      <c r="AH71" s="657"/>
      <c r="AI71" s="657"/>
      <c r="AK71" s="142"/>
      <c r="AL71" s="769" t="str">
        <f t="shared" ref="AL71:AL102" si="10">IF(O71="","",1)</f>
        <v/>
      </c>
      <c r="AM71" s="721">
        <f t="shared" ref="AM71:AM102" si="11">IF(OR(AL71=1,T71=""),0,1)</f>
        <v>0</v>
      </c>
      <c r="AN71" s="721">
        <f t="shared" ref="AN71:AN102" si="12">IF(OR(AL71=1,AM71=1,AB71=""),0,1)</f>
        <v>0</v>
      </c>
      <c r="AP71" s="748"/>
      <c r="AQ71" s="748"/>
      <c r="AV71" s="142"/>
      <c r="AW71" s="142"/>
      <c r="AX71" s="748"/>
      <c r="AY71" s="748"/>
      <c r="AZ71" s="748"/>
      <c r="BA71" s="1265"/>
      <c r="BB71" s="1265"/>
      <c r="BC71" s="1265"/>
      <c r="BD71" s="1265"/>
      <c r="BE71" s="1265"/>
      <c r="BF71" s="1265"/>
      <c r="BG71" s="1265"/>
    </row>
    <row r="72" spans="2:59">
      <c r="B72" s="773" t="str">
        <f>前年度登録!P69</f>
        <v/>
      </c>
      <c r="E72" s="774">
        <f>前年度登録!E69</f>
        <v>0</v>
      </c>
      <c r="F72" s="532" t="str">
        <f>前年度登録!CM69</f>
        <v/>
      </c>
      <c r="G72" s="990" t="str">
        <f>前年度登録!Z69</f>
        <v/>
      </c>
      <c r="H72" s="532" t="str">
        <f>前年度登録!CM69</f>
        <v/>
      </c>
      <c r="I72" s="185" t="str">
        <f>前年度登録!Y69</f>
        <v/>
      </c>
      <c r="J72" s="943" t="str">
        <f>前年度登録!CN69</f>
        <v/>
      </c>
      <c r="K72" s="891">
        <f>前年度登録!CP69</f>
        <v>0</v>
      </c>
      <c r="L72" s="892" t="str">
        <f>前年度登録!CU69</f>
        <v>00</v>
      </c>
      <c r="M72" s="773" t="str">
        <f>前年度登録!Q69</f>
        <v/>
      </c>
      <c r="N72" s="1258">
        <f>前年度登録!D69</f>
        <v>0</v>
      </c>
      <c r="O72" s="303"/>
      <c r="P72" s="258" t="str">
        <f>IF(O72="","",IF(I72=1,VLOOKUP(O72,男子種目コード!$A$1:$B$33,2,FALSE),IF(I72=2,VLOOKUP(O72,女子種目コード!$A$1:$B$27,2,FALSE))))</f>
        <v/>
      </c>
      <c r="Q72" s="494" t="str">
        <f>IF(O72="","",HLOOKUP(O72,前年度登録!$AH$3:$CH$118,67,FALSE))</f>
        <v/>
      </c>
      <c r="R72" s="624" t="str">
        <f t="shared" ref="R72:R116" si="13">IF(O72="","",0)</f>
        <v/>
      </c>
      <c r="S72" s="625" t="str">
        <f t="shared" ref="S72:S116" si="14">IF(O72="","",2)</f>
        <v/>
      </c>
      <c r="T72" s="303"/>
      <c r="U72" s="258" t="str">
        <f>IF(T72="","",IF(I72=1,VLOOKUP(T72,男子種目コード!$A$1:$B$33,2,FALSE),IF(I72=2,VLOOKUP(T72,女子種目コード!$A$1:$B$27,2,FALSE))))</f>
        <v/>
      </c>
      <c r="V72" s="540" t="str">
        <f>IF(T72="","",HLOOKUP(T72,前年度登録!$AH$3:$CH$118,67,FALSE))</f>
        <v/>
      </c>
      <c r="W72" s="620" t="str">
        <f t="shared" ref="W72:W116" si="15">IF(T72="","",0)</f>
        <v/>
      </c>
      <c r="X72" s="625" t="str">
        <f t="shared" ref="X72:X116" si="16">IF(T72="","",2)</f>
        <v/>
      </c>
      <c r="Y72" s="158"/>
      <c r="Z72" s="163"/>
      <c r="AA72" s="161"/>
      <c r="AB72" s="164"/>
      <c r="AC72" s="165"/>
      <c r="AD72" s="157"/>
      <c r="AE72" s="158"/>
      <c r="AF72" s="159"/>
      <c r="AG72" s="162"/>
      <c r="AH72" s="657"/>
      <c r="AI72" s="657"/>
      <c r="AK72" s="142"/>
      <c r="AL72" s="769" t="str">
        <f t="shared" si="10"/>
        <v/>
      </c>
      <c r="AM72" s="721">
        <f t="shared" si="11"/>
        <v>0</v>
      </c>
      <c r="AN72" s="721">
        <f t="shared" si="12"/>
        <v>0</v>
      </c>
      <c r="AP72" s="748"/>
      <c r="AQ72" s="748"/>
      <c r="AV72" s="142"/>
      <c r="AW72" s="142"/>
      <c r="AX72" s="748"/>
      <c r="AY72" s="748"/>
      <c r="AZ72" s="748"/>
      <c r="BA72" s="1265"/>
      <c r="BB72" s="1265"/>
      <c r="BC72" s="1265"/>
      <c r="BD72" s="1265"/>
      <c r="BE72" s="1265"/>
      <c r="BF72" s="1265"/>
      <c r="BG72" s="1265"/>
    </row>
    <row r="73" spans="2:59">
      <c r="B73" s="773" t="str">
        <f>前年度登録!P70</f>
        <v/>
      </c>
      <c r="E73" s="774">
        <f>前年度登録!E70</f>
        <v>0</v>
      </c>
      <c r="F73" s="532" t="str">
        <f>前年度登録!CM70</f>
        <v/>
      </c>
      <c r="G73" s="990" t="str">
        <f>前年度登録!Z70</f>
        <v/>
      </c>
      <c r="H73" s="532" t="str">
        <f>前年度登録!CM70</f>
        <v/>
      </c>
      <c r="I73" s="185" t="str">
        <f>前年度登録!Y70</f>
        <v/>
      </c>
      <c r="J73" s="943" t="str">
        <f>前年度登録!CN70</f>
        <v/>
      </c>
      <c r="K73" s="891">
        <f>前年度登録!CP70</f>
        <v>0</v>
      </c>
      <c r="L73" s="892" t="str">
        <f>前年度登録!CU70</f>
        <v>00</v>
      </c>
      <c r="M73" s="773" t="str">
        <f>前年度登録!Q70</f>
        <v/>
      </c>
      <c r="N73" s="1258">
        <f>前年度登録!D70</f>
        <v>0</v>
      </c>
      <c r="O73" s="303"/>
      <c r="P73" s="258" t="str">
        <f>IF(O73="","",IF(I73=1,VLOOKUP(O73,男子種目コード!$A$1:$B$33,2,FALSE),IF(I73=2,VLOOKUP(O73,女子種目コード!$A$1:$B$27,2,FALSE))))</f>
        <v/>
      </c>
      <c r="Q73" s="494" t="str">
        <f>IF(O73="","",HLOOKUP(O73,前年度登録!$AH$3:$CH$118,68,FALSE))</f>
        <v/>
      </c>
      <c r="R73" s="624" t="str">
        <f t="shared" si="13"/>
        <v/>
      </c>
      <c r="S73" s="625" t="str">
        <f t="shared" si="14"/>
        <v/>
      </c>
      <c r="T73" s="303"/>
      <c r="U73" s="258" t="str">
        <f>IF(T73="","",IF(I73=1,VLOOKUP(T73,男子種目コード!$A$1:$B$33,2,FALSE),IF(I73=2,VLOOKUP(T73,女子種目コード!$A$1:$B$27,2,FALSE))))</f>
        <v/>
      </c>
      <c r="V73" s="540" t="str">
        <f>IF(T73="","",HLOOKUP(T73,前年度登録!$AH$3:$CH$118,68,FALSE))</f>
        <v/>
      </c>
      <c r="W73" s="620" t="str">
        <f t="shared" si="15"/>
        <v/>
      </c>
      <c r="X73" s="625" t="str">
        <f t="shared" si="16"/>
        <v/>
      </c>
      <c r="Y73" s="158"/>
      <c r="Z73" s="163"/>
      <c r="AA73" s="161"/>
      <c r="AB73" s="164"/>
      <c r="AC73" s="165"/>
      <c r="AD73" s="157"/>
      <c r="AE73" s="158"/>
      <c r="AF73" s="159"/>
      <c r="AG73" s="162"/>
      <c r="AH73" s="657"/>
      <c r="AI73" s="657"/>
      <c r="AK73" s="142"/>
      <c r="AL73" s="769" t="str">
        <f t="shared" si="10"/>
        <v/>
      </c>
      <c r="AM73" s="721">
        <f t="shared" si="11"/>
        <v>0</v>
      </c>
      <c r="AN73" s="721">
        <f t="shared" si="12"/>
        <v>0</v>
      </c>
      <c r="AP73" s="748"/>
      <c r="AQ73" s="748"/>
      <c r="AV73" s="142"/>
      <c r="AW73" s="142"/>
      <c r="AX73" s="748"/>
      <c r="AY73" s="748"/>
      <c r="AZ73" s="748"/>
      <c r="BA73" s="1265"/>
      <c r="BB73" s="1265"/>
      <c r="BC73" s="1265"/>
      <c r="BD73" s="1265"/>
      <c r="BE73" s="1265"/>
      <c r="BF73" s="1265"/>
      <c r="BG73" s="1265"/>
    </row>
    <row r="74" spans="2:59">
      <c r="B74" s="773" t="str">
        <f>前年度登録!P71</f>
        <v/>
      </c>
      <c r="E74" s="774">
        <f>前年度登録!E71</f>
        <v>0</v>
      </c>
      <c r="F74" s="532" t="str">
        <f>前年度登録!CM71</f>
        <v/>
      </c>
      <c r="G74" s="990" t="str">
        <f>前年度登録!Z71</f>
        <v/>
      </c>
      <c r="H74" s="532" t="str">
        <f>前年度登録!CM71</f>
        <v/>
      </c>
      <c r="I74" s="185" t="str">
        <f>前年度登録!Y71</f>
        <v/>
      </c>
      <c r="J74" s="943" t="str">
        <f>前年度登録!CN71</f>
        <v/>
      </c>
      <c r="K74" s="891">
        <f>前年度登録!CP71</f>
        <v>0</v>
      </c>
      <c r="L74" s="892" t="str">
        <f>前年度登録!CU71</f>
        <v>00</v>
      </c>
      <c r="M74" s="773" t="str">
        <f>前年度登録!Q71</f>
        <v/>
      </c>
      <c r="N74" s="1258">
        <f>前年度登録!D71</f>
        <v>0</v>
      </c>
      <c r="O74" s="303"/>
      <c r="P74" s="258" t="str">
        <f>IF(O74="","",IF(I74=1,VLOOKUP(O74,男子種目コード!$A$1:$B$33,2,FALSE),IF(I74=2,VLOOKUP(O74,女子種目コード!$A$1:$B$27,2,FALSE))))</f>
        <v/>
      </c>
      <c r="Q74" s="494" t="str">
        <f>IF(O74="","",HLOOKUP(O74,前年度登録!$AH$3:$CH$118,69,FALSE))</f>
        <v/>
      </c>
      <c r="R74" s="624" t="str">
        <f t="shared" si="13"/>
        <v/>
      </c>
      <c r="S74" s="625" t="str">
        <f t="shared" si="14"/>
        <v/>
      </c>
      <c r="T74" s="303"/>
      <c r="U74" s="258" t="str">
        <f>IF(T74="","",IF(I74=1,VLOOKUP(T74,男子種目コード!$A$1:$B$33,2,FALSE),IF(I74=2,VLOOKUP(T74,女子種目コード!$A$1:$B$27,2,FALSE))))</f>
        <v/>
      </c>
      <c r="V74" s="540" t="str">
        <f>IF(T74="","",HLOOKUP(T74,前年度登録!$AH$3:$CH$118,69,FALSE))</f>
        <v/>
      </c>
      <c r="W74" s="620" t="str">
        <f t="shared" si="15"/>
        <v/>
      </c>
      <c r="X74" s="625" t="str">
        <f t="shared" si="16"/>
        <v/>
      </c>
      <c r="Y74" s="158"/>
      <c r="Z74" s="163"/>
      <c r="AA74" s="161"/>
      <c r="AB74" s="164"/>
      <c r="AC74" s="165"/>
      <c r="AD74" s="157"/>
      <c r="AE74" s="158"/>
      <c r="AF74" s="159"/>
      <c r="AG74" s="162"/>
      <c r="AH74" s="657"/>
      <c r="AI74" s="657"/>
      <c r="AK74" s="142"/>
      <c r="AL74" s="769" t="str">
        <f t="shared" si="10"/>
        <v/>
      </c>
      <c r="AM74" s="721">
        <f t="shared" si="11"/>
        <v>0</v>
      </c>
      <c r="AN74" s="721">
        <f t="shared" si="12"/>
        <v>0</v>
      </c>
      <c r="AP74" s="748"/>
      <c r="AQ74" s="748"/>
      <c r="AV74" s="142"/>
      <c r="AW74" s="142"/>
      <c r="AX74" s="748"/>
      <c r="AY74" s="748"/>
      <c r="AZ74" s="748"/>
      <c r="BA74" s="1265"/>
      <c r="BB74" s="1265"/>
      <c r="BC74" s="1265"/>
      <c r="BD74" s="1265"/>
      <c r="BE74" s="1265"/>
      <c r="BF74" s="1265"/>
      <c r="BG74" s="1265"/>
    </row>
    <row r="75" spans="2:59">
      <c r="B75" s="773" t="str">
        <f>前年度登録!P72</f>
        <v/>
      </c>
      <c r="E75" s="774">
        <f>前年度登録!E72</f>
        <v>0</v>
      </c>
      <c r="F75" s="532" t="str">
        <f>前年度登録!CM72</f>
        <v/>
      </c>
      <c r="G75" s="990" t="str">
        <f>前年度登録!Z72</f>
        <v/>
      </c>
      <c r="H75" s="532" t="str">
        <f>前年度登録!CM72</f>
        <v/>
      </c>
      <c r="I75" s="185" t="str">
        <f>前年度登録!Y72</f>
        <v/>
      </c>
      <c r="J75" s="943" t="str">
        <f>前年度登録!CN72</f>
        <v/>
      </c>
      <c r="K75" s="891">
        <f>前年度登録!CP72</f>
        <v>0</v>
      </c>
      <c r="L75" s="892" t="str">
        <f>前年度登録!CU72</f>
        <v>00</v>
      </c>
      <c r="M75" s="773" t="str">
        <f>前年度登録!Q72</f>
        <v/>
      </c>
      <c r="N75" s="1258">
        <f>前年度登録!D72</f>
        <v>0</v>
      </c>
      <c r="O75" s="303"/>
      <c r="P75" s="258" t="str">
        <f>IF(O75="","",IF(I75=1,VLOOKUP(O75,男子種目コード!$A$1:$B$33,2,FALSE),IF(I75=2,VLOOKUP(O75,女子種目コード!$A$1:$B$27,2,FALSE))))</f>
        <v/>
      </c>
      <c r="Q75" s="494" t="str">
        <f>IF(O75="","",HLOOKUP(O75,前年度登録!$AH$3:$CH$118,70,FALSE))</f>
        <v/>
      </c>
      <c r="R75" s="624" t="str">
        <f t="shared" si="13"/>
        <v/>
      </c>
      <c r="S75" s="625" t="str">
        <f t="shared" si="14"/>
        <v/>
      </c>
      <c r="T75" s="303"/>
      <c r="U75" s="258" t="str">
        <f>IF(T75="","",IF(I75=1,VLOOKUP(T75,男子種目コード!$A$1:$B$33,2,FALSE),IF(I75=2,VLOOKUP(T75,女子種目コード!$A$1:$B$27,2,FALSE))))</f>
        <v/>
      </c>
      <c r="V75" s="540" t="str">
        <f>IF(T75="","",HLOOKUP(T75,前年度登録!$AH$3:$CH$118,70,FALSE))</f>
        <v/>
      </c>
      <c r="W75" s="620" t="str">
        <f t="shared" si="15"/>
        <v/>
      </c>
      <c r="X75" s="625" t="str">
        <f t="shared" si="16"/>
        <v/>
      </c>
      <c r="Y75" s="158"/>
      <c r="Z75" s="163"/>
      <c r="AA75" s="161"/>
      <c r="AB75" s="164"/>
      <c r="AC75" s="165"/>
      <c r="AD75" s="157"/>
      <c r="AE75" s="158"/>
      <c r="AF75" s="159"/>
      <c r="AG75" s="162"/>
      <c r="AH75" s="657"/>
      <c r="AI75" s="657"/>
      <c r="AK75" s="142"/>
      <c r="AL75" s="769" t="str">
        <f t="shared" si="10"/>
        <v/>
      </c>
      <c r="AM75" s="721">
        <f t="shared" si="11"/>
        <v>0</v>
      </c>
      <c r="AN75" s="721">
        <f t="shared" si="12"/>
        <v>0</v>
      </c>
      <c r="AP75" s="748"/>
      <c r="AQ75" s="748"/>
      <c r="AV75" s="142"/>
      <c r="AW75" s="142"/>
      <c r="AX75" s="748"/>
      <c r="AY75" s="748"/>
      <c r="AZ75" s="748"/>
      <c r="BA75" s="1265"/>
      <c r="BB75" s="1265"/>
      <c r="BC75" s="1265"/>
      <c r="BD75" s="1265"/>
      <c r="BE75" s="1265"/>
      <c r="BF75" s="1265"/>
      <c r="BG75" s="1265"/>
    </row>
    <row r="76" spans="2:59">
      <c r="B76" s="773" t="str">
        <f>前年度登録!P73</f>
        <v/>
      </c>
      <c r="E76" s="774">
        <f>前年度登録!E73</f>
        <v>0</v>
      </c>
      <c r="F76" s="532" t="str">
        <f>前年度登録!CM73</f>
        <v/>
      </c>
      <c r="G76" s="990" t="str">
        <f>前年度登録!Z73</f>
        <v/>
      </c>
      <c r="H76" s="532" t="str">
        <f>前年度登録!CM73</f>
        <v/>
      </c>
      <c r="I76" s="185" t="str">
        <f>前年度登録!Y73</f>
        <v/>
      </c>
      <c r="J76" s="943" t="str">
        <f>前年度登録!CN73</f>
        <v/>
      </c>
      <c r="K76" s="891">
        <f>前年度登録!CP73</f>
        <v>0</v>
      </c>
      <c r="L76" s="892" t="str">
        <f>前年度登録!CU73</f>
        <v>00</v>
      </c>
      <c r="M76" s="773" t="str">
        <f>前年度登録!Q73</f>
        <v/>
      </c>
      <c r="N76" s="1258">
        <f>前年度登録!D73</f>
        <v>0</v>
      </c>
      <c r="O76" s="303"/>
      <c r="P76" s="258" t="str">
        <f>IF(O76="","",IF(I76=1,VLOOKUP(O76,男子種目コード!$A$1:$B$33,2,FALSE),IF(I76=2,VLOOKUP(O76,女子種目コード!$A$1:$B$27,2,FALSE))))</f>
        <v/>
      </c>
      <c r="Q76" s="494" t="str">
        <f>IF(O76="","",HLOOKUP(O76,前年度登録!$AH$3:$CH$118,71,FALSE))</f>
        <v/>
      </c>
      <c r="R76" s="624" t="str">
        <f t="shared" si="13"/>
        <v/>
      </c>
      <c r="S76" s="625" t="str">
        <f t="shared" si="14"/>
        <v/>
      </c>
      <c r="T76" s="303"/>
      <c r="U76" s="258" t="str">
        <f>IF(T76="","",IF(I76=1,VLOOKUP(T76,男子種目コード!$A$1:$B$33,2,FALSE),IF(I76=2,VLOOKUP(T76,女子種目コード!$A$1:$B$27,2,FALSE))))</f>
        <v/>
      </c>
      <c r="V76" s="540" t="str">
        <f>IF(T76="","",HLOOKUP(T76,前年度登録!$AH$3:$CH$118,71,FALSE))</f>
        <v/>
      </c>
      <c r="W76" s="620" t="str">
        <f t="shared" si="15"/>
        <v/>
      </c>
      <c r="X76" s="625" t="str">
        <f t="shared" si="16"/>
        <v/>
      </c>
      <c r="Y76" s="158"/>
      <c r="Z76" s="163"/>
      <c r="AA76" s="161"/>
      <c r="AB76" s="164"/>
      <c r="AC76" s="165"/>
      <c r="AD76" s="157"/>
      <c r="AE76" s="158"/>
      <c r="AF76" s="159"/>
      <c r="AG76" s="162"/>
      <c r="AH76" s="657"/>
      <c r="AI76" s="657"/>
      <c r="AK76" s="142"/>
      <c r="AL76" s="769" t="str">
        <f t="shared" si="10"/>
        <v/>
      </c>
      <c r="AM76" s="721">
        <f t="shared" si="11"/>
        <v>0</v>
      </c>
      <c r="AN76" s="721">
        <f t="shared" si="12"/>
        <v>0</v>
      </c>
      <c r="AP76" s="748"/>
      <c r="AQ76" s="748"/>
      <c r="AV76" s="142"/>
      <c r="AW76" s="142"/>
      <c r="AX76" s="748"/>
      <c r="AY76" s="748"/>
      <c r="AZ76" s="748"/>
      <c r="BA76" s="1265"/>
      <c r="BB76" s="1265"/>
      <c r="BC76" s="1265"/>
      <c r="BD76" s="1265"/>
      <c r="BE76" s="1265"/>
      <c r="BF76" s="1265"/>
      <c r="BG76" s="1265"/>
    </row>
    <row r="77" spans="2:59">
      <c r="B77" s="773" t="str">
        <f>前年度登録!P74</f>
        <v/>
      </c>
      <c r="E77" s="774">
        <f>前年度登録!E74</f>
        <v>0</v>
      </c>
      <c r="F77" s="532" t="str">
        <f>前年度登録!CM74</f>
        <v/>
      </c>
      <c r="G77" s="990" t="str">
        <f>前年度登録!Z74</f>
        <v/>
      </c>
      <c r="H77" s="532" t="str">
        <f>前年度登録!CM74</f>
        <v/>
      </c>
      <c r="I77" s="185" t="str">
        <f>前年度登録!Y74</f>
        <v/>
      </c>
      <c r="J77" s="943" t="str">
        <f>前年度登録!CN74</f>
        <v/>
      </c>
      <c r="K77" s="891">
        <f>前年度登録!CP74</f>
        <v>0</v>
      </c>
      <c r="L77" s="892" t="str">
        <f>前年度登録!CU74</f>
        <v>00</v>
      </c>
      <c r="M77" s="773" t="str">
        <f>前年度登録!Q74</f>
        <v/>
      </c>
      <c r="N77" s="1258">
        <f>前年度登録!D74</f>
        <v>0</v>
      </c>
      <c r="O77" s="303"/>
      <c r="P77" s="258" t="str">
        <f>IF(O77="","",IF(I77=1,VLOOKUP(O77,男子種目コード!$A$1:$B$33,2,FALSE),IF(I77=2,VLOOKUP(O77,女子種目コード!$A$1:$B$27,2,FALSE))))</f>
        <v/>
      </c>
      <c r="Q77" s="494" t="str">
        <f>IF(O77="","",HLOOKUP(O77,前年度登録!$AH$3:$CH$118,72,FALSE))</f>
        <v/>
      </c>
      <c r="R77" s="624" t="str">
        <f t="shared" si="13"/>
        <v/>
      </c>
      <c r="S77" s="625" t="str">
        <f t="shared" si="14"/>
        <v/>
      </c>
      <c r="T77" s="303"/>
      <c r="U77" s="258" t="str">
        <f>IF(T77="","",IF(I77=1,VLOOKUP(T77,男子種目コード!$A$1:$B$33,2,FALSE),IF(I77=2,VLOOKUP(T77,女子種目コード!$A$1:$B$27,2,FALSE))))</f>
        <v/>
      </c>
      <c r="V77" s="540" t="str">
        <f>IF(T77="","",HLOOKUP(T77,前年度登録!$AH$3:$CH$118,72,FALSE))</f>
        <v/>
      </c>
      <c r="W77" s="620" t="str">
        <f t="shared" si="15"/>
        <v/>
      </c>
      <c r="X77" s="625" t="str">
        <f t="shared" si="16"/>
        <v/>
      </c>
      <c r="Y77" s="158"/>
      <c r="Z77" s="163"/>
      <c r="AA77" s="161"/>
      <c r="AB77" s="164"/>
      <c r="AC77" s="165"/>
      <c r="AD77" s="157"/>
      <c r="AE77" s="158"/>
      <c r="AF77" s="159"/>
      <c r="AG77" s="162"/>
      <c r="AH77" s="657"/>
      <c r="AI77" s="657"/>
      <c r="AK77" s="142"/>
      <c r="AL77" s="769" t="str">
        <f t="shared" si="10"/>
        <v/>
      </c>
      <c r="AM77" s="721">
        <f t="shared" si="11"/>
        <v>0</v>
      </c>
      <c r="AN77" s="721">
        <f t="shared" si="12"/>
        <v>0</v>
      </c>
      <c r="AP77" s="748"/>
      <c r="AQ77" s="748"/>
      <c r="AV77" s="142"/>
      <c r="AW77" s="142"/>
      <c r="AX77" s="748"/>
      <c r="AY77" s="748"/>
      <c r="AZ77" s="748"/>
      <c r="BA77" s="1265"/>
      <c r="BB77" s="1265"/>
      <c r="BC77" s="1265"/>
      <c r="BD77" s="1265"/>
      <c r="BE77" s="1265"/>
      <c r="BF77" s="1265"/>
      <c r="BG77" s="1265"/>
    </row>
    <row r="78" spans="2:59">
      <c r="B78" s="773" t="str">
        <f>前年度登録!P75</f>
        <v/>
      </c>
      <c r="E78" s="774">
        <f>前年度登録!E75</f>
        <v>0</v>
      </c>
      <c r="F78" s="532" t="str">
        <f>前年度登録!CM75</f>
        <v/>
      </c>
      <c r="G78" s="990" t="str">
        <f>前年度登録!Z75</f>
        <v/>
      </c>
      <c r="H78" s="532" t="str">
        <f>前年度登録!CM75</f>
        <v/>
      </c>
      <c r="I78" s="185" t="str">
        <f>前年度登録!Y75</f>
        <v/>
      </c>
      <c r="J78" s="943" t="str">
        <f>前年度登録!CN75</f>
        <v/>
      </c>
      <c r="K78" s="891">
        <f>前年度登録!CP75</f>
        <v>0</v>
      </c>
      <c r="L78" s="892" t="str">
        <f>前年度登録!CU75</f>
        <v>00</v>
      </c>
      <c r="M78" s="773" t="str">
        <f>前年度登録!Q75</f>
        <v/>
      </c>
      <c r="N78" s="1258">
        <f>前年度登録!D75</f>
        <v>0</v>
      </c>
      <c r="O78" s="303"/>
      <c r="P78" s="258" t="str">
        <f>IF(O78="","",IF(I78=1,VLOOKUP(O78,男子種目コード!$A$1:$B$33,2,FALSE),IF(I78=2,VLOOKUP(O78,女子種目コード!$A$1:$B$27,2,FALSE))))</f>
        <v/>
      </c>
      <c r="Q78" s="494" t="str">
        <f>IF(O78="","",HLOOKUP(O78,前年度登録!$AH$3:$CH$118,73,FALSE))</f>
        <v/>
      </c>
      <c r="R78" s="624" t="str">
        <f t="shared" si="13"/>
        <v/>
      </c>
      <c r="S78" s="625" t="str">
        <f t="shared" si="14"/>
        <v/>
      </c>
      <c r="T78" s="303"/>
      <c r="U78" s="258" t="str">
        <f>IF(T78="","",IF(I78=1,VLOOKUP(T78,男子種目コード!$A$1:$B$33,2,FALSE),IF(I78=2,VLOOKUP(T78,女子種目コード!$A$1:$B$27,2,FALSE))))</f>
        <v/>
      </c>
      <c r="V78" s="540" t="str">
        <f>IF(T78="","",HLOOKUP(T78,前年度登録!$AH$3:$CH$118,73,FALSE))</f>
        <v/>
      </c>
      <c r="W78" s="620" t="str">
        <f t="shared" si="15"/>
        <v/>
      </c>
      <c r="X78" s="625" t="str">
        <f t="shared" si="16"/>
        <v/>
      </c>
      <c r="Y78" s="158"/>
      <c r="Z78" s="163"/>
      <c r="AA78" s="161"/>
      <c r="AB78" s="164"/>
      <c r="AC78" s="165"/>
      <c r="AD78" s="157"/>
      <c r="AE78" s="158"/>
      <c r="AF78" s="159"/>
      <c r="AG78" s="162"/>
      <c r="AH78" s="657"/>
      <c r="AI78" s="657"/>
      <c r="AK78" s="142"/>
      <c r="AL78" s="769" t="str">
        <f t="shared" si="10"/>
        <v/>
      </c>
      <c r="AM78" s="721">
        <f t="shared" si="11"/>
        <v>0</v>
      </c>
      <c r="AN78" s="721">
        <f t="shared" si="12"/>
        <v>0</v>
      </c>
      <c r="AP78" s="748"/>
      <c r="AQ78" s="748"/>
      <c r="AV78" s="142"/>
      <c r="AW78" s="142"/>
      <c r="AX78" s="748"/>
      <c r="AY78" s="748"/>
      <c r="AZ78" s="748"/>
      <c r="BA78" s="1265"/>
      <c r="BB78" s="1265"/>
      <c r="BC78" s="1265"/>
      <c r="BD78" s="1265"/>
      <c r="BE78" s="1265"/>
      <c r="BF78" s="1265"/>
      <c r="BG78" s="1265"/>
    </row>
    <row r="79" spans="2:59">
      <c r="B79" s="773" t="str">
        <f>前年度登録!P76</f>
        <v/>
      </c>
      <c r="E79" s="774">
        <f>前年度登録!E76</f>
        <v>0</v>
      </c>
      <c r="F79" s="532" t="str">
        <f>前年度登録!CM76</f>
        <v/>
      </c>
      <c r="G79" s="990" t="str">
        <f>前年度登録!Z76</f>
        <v/>
      </c>
      <c r="H79" s="532" t="str">
        <f>前年度登録!CM76</f>
        <v/>
      </c>
      <c r="I79" s="185" t="str">
        <f>前年度登録!Y76</f>
        <v/>
      </c>
      <c r="J79" s="943" t="str">
        <f>前年度登録!CN76</f>
        <v/>
      </c>
      <c r="K79" s="891">
        <f>前年度登録!CP76</f>
        <v>0</v>
      </c>
      <c r="L79" s="892" t="str">
        <f>前年度登録!CU76</f>
        <v>00</v>
      </c>
      <c r="M79" s="773" t="str">
        <f>前年度登録!Q76</f>
        <v/>
      </c>
      <c r="N79" s="1258">
        <f>前年度登録!D76</f>
        <v>0</v>
      </c>
      <c r="O79" s="303"/>
      <c r="P79" s="258" t="str">
        <f>IF(O79="","",IF(I79=1,VLOOKUP(O79,男子種目コード!$A$1:$B$33,2,FALSE),IF(I79=2,VLOOKUP(O79,女子種目コード!$A$1:$B$27,2,FALSE))))</f>
        <v/>
      </c>
      <c r="Q79" s="494" t="str">
        <f>IF(O79="","",HLOOKUP(O79,前年度登録!$AH$3:$CH$118,74,FALSE))</f>
        <v/>
      </c>
      <c r="R79" s="624" t="str">
        <f t="shared" si="13"/>
        <v/>
      </c>
      <c r="S79" s="625" t="str">
        <f t="shared" si="14"/>
        <v/>
      </c>
      <c r="T79" s="303"/>
      <c r="U79" s="258" t="str">
        <f>IF(T79="","",IF(I79=1,VLOOKUP(T79,男子種目コード!$A$1:$B$33,2,FALSE),IF(I79=2,VLOOKUP(T79,女子種目コード!$A$1:$B$27,2,FALSE))))</f>
        <v/>
      </c>
      <c r="V79" s="540" t="str">
        <f>IF(T79="","",HLOOKUP(T79,前年度登録!$AH$3:$CH$118,74,FALSE))</f>
        <v/>
      </c>
      <c r="W79" s="620" t="str">
        <f t="shared" si="15"/>
        <v/>
      </c>
      <c r="X79" s="625" t="str">
        <f t="shared" si="16"/>
        <v/>
      </c>
      <c r="Y79" s="158"/>
      <c r="Z79" s="163"/>
      <c r="AA79" s="161"/>
      <c r="AB79" s="164"/>
      <c r="AC79" s="165"/>
      <c r="AD79" s="157"/>
      <c r="AE79" s="158"/>
      <c r="AF79" s="159"/>
      <c r="AG79" s="162"/>
      <c r="AH79" s="657"/>
      <c r="AI79" s="657"/>
      <c r="AK79" s="142"/>
      <c r="AL79" s="769" t="str">
        <f t="shared" si="10"/>
        <v/>
      </c>
      <c r="AM79" s="721">
        <f t="shared" si="11"/>
        <v>0</v>
      </c>
      <c r="AN79" s="721">
        <f t="shared" si="12"/>
        <v>0</v>
      </c>
      <c r="AP79" s="748"/>
      <c r="AQ79" s="748"/>
      <c r="AV79" s="142"/>
      <c r="AW79" s="142"/>
      <c r="AX79" s="748"/>
      <c r="AY79" s="748"/>
      <c r="AZ79" s="748"/>
      <c r="BA79" s="1265"/>
      <c r="BB79" s="1265"/>
      <c r="BC79" s="1265"/>
      <c r="BD79" s="1265"/>
      <c r="BE79" s="1265"/>
      <c r="BF79" s="1265"/>
      <c r="BG79" s="1265"/>
    </row>
    <row r="80" spans="2:59">
      <c r="B80" s="773" t="str">
        <f>前年度登録!P77</f>
        <v/>
      </c>
      <c r="E80" s="774">
        <f>前年度登録!E77</f>
        <v>0</v>
      </c>
      <c r="F80" s="532" t="str">
        <f>前年度登録!CM77</f>
        <v/>
      </c>
      <c r="G80" s="990" t="str">
        <f>前年度登録!Z77</f>
        <v/>
      </c>
      <c r="H80" s="532" t="str">
        <f>前年度登録!CM77</f>
        <v/>
      </c>
      <c r="I80" s="185" t="str">
        <f>前年度登録!Y77</f>
        <v/>
      </c>
      <c r="J80" s="943" t="str">
        <f>前年度登録!CN77</f>
        <v/>
      </c>
      <c r="K80" s="891">
        <f>前年度登録!CP77</f>
        <v>0</v>
      </c>
      <c r="L80" s="892" t="str">
        <f>前年度登録!CU77</f>
        <v>00</v>
      </c>
      <c r="M80" s="773" t="str">
        <f>前年度登録!Q77</f>
        <v/>
      </c>
      <c r="N80" s="1258">
        <f>前年度登録!D77</f>
        <v>0</v>
      </c>
      <c r="O80" s="303"/>
      <c r="P80" s="258" t="str">
        <f>IF(O80="","",IF(I80=1,VLOOKUP(O80,男子種目コード!$A$1:$B$33,2,FALSE),IF(I80=2,VLOOKUP(O80,女子種目コード!$A$1:$B$27,2,FALSE))))</f>
        <v/>
      </c>
      <c r="Q80" s="494" t="str">
        <f>IF(O80="","",HLOOKUP(O80,前年度登録!$AH$3:$CH$118,75,FALSE))</f>
        <v/>
      </c>
      <c r="R80" s="624" t="str">
        <f t="shared" si="13"/>
        <v/>
      </c>
      <c r="S80" s="625" t="str">
        <f t="shared" si="14"/>
        <v/>
      </c>
      <c r="T80" s="303"/>
      <c r="U80" s="258" t="str">
        <f>IF(T80="","",IF(I80=1,VLOOKUP(T80,男子種目コード!$A$1:$B$33,2,FALSE),IF(I80=2,VLOOKUP(T80,女子種目コード!$A$1:$B$27,2,FALSE))))</f>
        <v/>
      </c>
      <c r="V80" s="540" t="str">
        <f>IF(T80="","",HLOOKUP(T80,前年度登録!$AH$3:$CH$118,75,FALSE))</f>
        <v/>
      </c>
      <c r="W80" s="620" t="str">
        <f t="shared" si="15"/>
        <v/>
      </c>
      <c r="X80" s="625" t="str">
        <f t="shared" si="16"/>
        <v/>
      </c>
      <c r="Y80" s="158"/>
      <c r="Z80" s="163"/>
      <c r="AA80" s="161"/>
      <c r="AB80" s="164"/>
      <c r="AC80" s="165"/>
      <c r="AD80" s="157"/>
      <c r="AE80" s="158"/>
      <c r="AF80" s="159"/>
      <c r="AG80" s="162"/>
      <c r="AH80" s="657"/>
      <c r="AI80" s="657"/>
      <c r="AK80" s="142"/>
      <c r="AL80" s="769" t="str">
        <f t="shared" si="10"/>
        <v/>
      </c>
      <c r="AM80" s="721">
        <f t="shared" si="11"/>
        <v>0</v>
      </c>
      <c r="AN80" s="721">
        <f t="shared" si="12"/>
        <v>0</v>
      </c>
      <c r="AP80" s="748"/>
      <c r="AQ80" s="748"/>
      <c r="AV80" s="142"/>
      <c r="AW80" s="142"/>
      <c r="AX80" s="748"/>
      <c r="AY80" s="748"/>
      <c r="AZ80" s="748"/>
      <c r="BA80" s="1265"/>
      <c r="BB80" s="1265"/>
      <c r="BC80" s="1265"/>
      <c r="BD80" s="1265"/>
      <c r="BE80" s="1265"/>
      <c r="BF80" s="1265"/>
      <c r="BG80" s="1265"/>
    </row>
    <row r="81" spans="2:59">
      <c r="B81" s="773" t="str">
        <f>前年度登録!P78</f>
        <v/>
      </c>
      <c r="E81" s="774">
        <f>前年度登録!E78</f>
        <v>0</v>
      </c>
      <c r="F81" s="532" t="str">
        <f>前年度登録!CM78</f>
        <v/>
      </c>
      <c r="G81" s="990" t="str">
        <f>前年度登録!Z78</f>
        <v/>
      </c>
      <c r="H81" s="532" t="str">
        <f>前年度登録!CM78</f>
        <v/>
      </c>
      <c r="I81" s="185" t="str">
        <f>前年度登録!Y78</f>
        <v/>
      </c>
      <c r="J81" s="943" t="str">
        <f>前年度登録!CN78</f>
        <v/>
      </c>
      <c r="K81" s="891">
        <f>前年度登録!CP78</f>
        <v>0</v>
      </c>
      <c r="L81" s="892" t="str">
        <f>前年度登録!CU78</f>
        <v>00</v>
      </c>
      <c r="M81" s="773" t="str">
        <f>前年度登録!Q78</f>
        <v/>
      </c>
      <c r="N81" s="1258">
        <f>前年度登録!D78</f>
        <v>0</v>
      </c>
      <c r="O81" s="303"/>
      <c r="P81" s="258" t="str">
        <f>IF(O81="","",IF(I81=1,VLOOKUP(O81,男子種目コード!$A$1:$B$33,2,FALSE),IF(I81=2,VLOOKUP(O81,女子種目コード!$A$1:$B$27,2,FALSE))))</f>
        <v/>
      </c>
      <c r="Q81" s="494" t="str">
        <f>IF(O81="","",HLOOKUP(O81,前年度登録!$AH$3:$CH$118,76,FALSE))</f>
        <v/>
      </c>
      <c r="R81" s="624" t="str">
        <f t="shared" si="13"/>
        <v/>
      </c>
      <c r="S81" s="625" t="str">
        <f t="shared" si="14"/>
        <v/>
      </c>
      <c r="T81" s="303"/>
      <c r="U81" s="258" t="str">
        <f>IF(T81="","",IF(I81=1,VLOOKUP(T81,男子種目コード!$A$1:$B$33,2,FALSE),IF(I81=2,VLOOKUP(T81,女子種目コード!$A$1:$B$27,2,FALSE))))</f>
        <v/>
      </c>
      <c r="V81" s="540" t="str">
        <f>IF(T81="","",HLOOKUP(T81,前年度登録!$AH$3:$CH$118,76,FALSE))</f>
        <v/>
      </c>
      <c r="W81" s="620" t="str">
        <f t="shared" si="15"/>
        <v/>
      </c>
      <c r="X81" s="625" t="str">
        <f t="shared" si="16"/>
        <v/>
      </c>
      <c r="Y81" s="158"/>
      <c r="Z81" s="163"/>
      <c r="AA81" s="161"/>
      <c r="AB81" s="164"/>
      <c r="AC81" s="165"/>
      <c r="AD81" s="157"/>
      <c r="AE81" s="158"/>
      <c r="AF81" s="159"/>
      <c r="AG81" s="162"/>
      <c r="AH81" s="657"/>
      <c r="AI81" s="657"/>
      <c r="AK81" s="142"/>
      <c r="AL81" s="769" t="str">
        <f t="shared" si="10"/>
        <v/>
      </c>
      <c r="AM81" s="721">
        <f t="shared" si="11"/>
        <v>0</v>
      </c>
      <c r="AN81" s="721">
        <f t="shared" si="12"/>
        <v>0</v>
      </c>
      <c r="AP81" s="748"/>
      <c r="AQ81" s="748"/>
      <c r="AV81" s="142"/>
      <c r="AW81" s="142"/>
      <c r="AX81" s="748"/>
      <c r="AY81" s="748"/>
      <c r="AZ81" s="748"/>
      <c r="BA81" s="1265"/>
      <c r="BB81" s="1265"/>
      <c r="BC81" s="1265"/>
      <c r="BD81" s="1265"/>
      <c r="BE81" s="1265"/>
      <c r="BF81" s="1265"/>
      <c r="BG81" s="1265"/>
    </row>
    <row r="82" spans="2:59">
      <c r="B82" s="773" t="str">
        <f>前年度登録!P79</f>
        <v/>
      </c>
      <c r="E82" s="774">
        <f>前年度登録!E79</f>
        <v>0</v>
      </c>
      <c r="F82" s="532" t="str">
        <f>前年度登録!CM79</f>
        <v/>
      </c>
      <c r="G82" s="990" t="str">
        <f>前年度登録!Z79</f>
        <v/>
      </c>
      <c r="H82" s="532" t="str">
        <f>前年度登録!CM79</f>
        <v/>
      </c>
      <c r="I82" s="185" t="str">
        <f>前年度登録!Y79</f>
        <v/>
      </c>
      <c r="J82" s="943" t="str">
        <f>前年度登録!CN79</f>
        <v/>
      </c>
      <c r="K82" s="891">
        <f>前年度登録!CP79</f>
        <v>0</v>
      </c>
      <c r="L82" s="892" t="str">
        <f>前年度登録!CU79</f>
        <v>00</v>
      </c>
      <c r="M82" s="773" t="str">
        <f>前年度登録!Q79</f>
        <v/>
      </c>
      <c r="N82" s="1258">
        <f>前年度登録!D79</f>
        <v>0</v>
      </c>
      <c r="O82" s="303"/>
      <c r="P82" s="258" t="str">
        <f>IF(O82="","",IF(I82=1,VLOOKUP(O82,男子種目コード!$A$1:$B$33,2,FALSE),IF(I82=2,VLOOKUP(O82,女子種目コード!$A$1:$B$27,2,FALSE))))</f>
        <v/>
      </c>
      <c r="Q82" s="494" t="str">
        <f>IF(O82="","",HLOOKUP(O82,前年度登録!$AH$3:$CH$118,77,FALSE))</f>
        <v/>
      </c>
      <c r="R82" s="624" t="str">
        <f t="shared" si="13"/>
        <v/>
      </c>
      <c r="S82" s="625" t="str">
        <f t="shared" si="14"/>
        <v/>
      </c>
      <c r="T82" s="303"/>
      <c r="U82" s="258" t="str">
        <f>IF(T82="","",IF(I82=1,VLOOKUP(T82,男子種目コード!$A$1:$B$33,2,FALSE),IF(I82=2,VLOOKUP(T82,女子種目コード!$A$1:$B$27,2,FALSE))))</f>
        <v/>
      </c>
      <c r="V82" s="540" t="str">
        <f>IF(T82="","",HLOOKUP(T82,前年度登録!$AH$3:$CH$118,77,FALSE))</f>
        <v/>
      </c>
      <c r="W82" s="620" t="str">
        <f t="shared" si="15"/>
        <v/>
      </c>
      <c r="X82" s="625" t="str">
        <f t="shared" si="16"/>
        <v/>
      </c>
      <c r="Y82" s="158"/>
      <c r="Z82" s="163"/>
      <c r="AA82" s="161"/>
      <c r="AB82" s="164"/>
      <c r="AC82" s="165"/>
      <c r="AD82" s="157"/>
      <c r="AE82" s="158"/>
      <c r="AF82" s="159"/>
      <c r="AG82" s="162"/>
      <c r="AH82" s="657"/>
      <c r="AI82" s="657"/>
      <c r="AK82" s="142"/>
      <c r="AL82" s="769" t="str">
        <f t="shared" si="10"/>
        <v/>
      </c>
      <c r="AM82" s="721">
        <f t="shared" si="11"/>
        <v>0</v>
      </c>
      <c r="AN82" s="721">
        <f t="shared" si="12"/>
        <v>0</v>
      </c>
      <c r="AP82" s="748"/>
      <c r="AQ82" s="748"/>
      <c r="AV82" s="142"/>
      <c r="AW82" s="142"/>
      <c r="AX82" s="748"/>
      <c r="AY82" s="748"/>
      <c r="AZ82" s="748"/>
      <c r="BA82" s="1265"/>
      <c r="BB82" s="1265"/>
      <c r="BC82" s="1265"/>
      <c r="BD82" s="1265"/>
      <c r="BE82" s="1265"/>
      <c r="BF82" s="1265"/>
      <c r="BG82" s="1265"/>
    </row>
    <row r="83" spans="2:59">
      <c r="B83" s="773" t="str">
        <f>前年度登録!P80</f>
        <v/>
      </c>
      <c r="E83" s="774">
        <f>前年度登録!E80</f>
        <v>0</v>
      </c>
      <c r="F83" s="532" t="str">
        <f>前年度登録!CM80</f>
        <v/>
      </c>
      <c r="G83" s="990" t="str">
        <f>前年度登録!Z80</f>
        <v/>
      </c>
      <c r="H83" s="532" t="str">
        <f>前年度登録!CM80</f>
        <v/>
      </c>
      <c r="I83" s="185" t="str">
        <f>前年度登録!Y80</f>
        <v/>
      </c>
      <c r="J83" s="943" t="str">
        <f>前年度登録!CN80</f>
        <v/>
      </c>
      <c r="K83" s="891">
        <f>前年度登録!CP80</f>
        <v>0</v>
      </c>
      <c r="L83" s="892" t="str">
        <f>前年度登録!CU80</f>
        <v>00</v>
      </c>
      <c r="M83" s="773" t="str">
        <f>前年度登録!Q80</f>
        <v/>
      </c>
      <c r="N83" s="1258">
        <f>前年度登録!D80</f>
        <v>0</v>
      </c>
      <c r="O83" s="303"/>
      <c r="P83" s="258" t="str">
        <f>IF(O83="","",IF(I83=1,VLOOKUP(O83,男子種目コード!$A$1:$B$33,2,FALSE),IF(I83=2,VLOOKUP(O83,女子種目コード!$A$1:$B$27,2,FALSE))))</f>
        <v/>
      </c>
      <c r="Q83" s="494" t="str">
        <f>IF(O83="","",HLOOKUP(O83,前年度登録!$AH$3:$CH$118,78,FALSE))</f>
        <v/>
      </c>
      <c r="R83" s="624" t="str">
        <f t="shared" si="13"/>
        <v/>
      </c>
      <c r="S83" s="625" t="str">
        <f t="shared" si="14"/>
        <v/>
      </c>
      <c r="T83" s="303"/>
      <c r="U83" s="258" t="str">
        <f>IF(T83="","",IF(I83=1,VLOOKUP(T83,男子種目コード!$A$1:$B$33,2,FALSE),IF(I83=2,VLOOKUP(T83,女子種目コード!$A$1:$B$27,2,FALSE))))</f>
        <v/>
      </c>
      <c r="V83" s="540" t="str">
        <f>IF(T83="","",HLOOKUP(T83,前年度登録!$AH$3:$CH$118,78,FALSE))</f>
        <v/>
      </c>
      <c r="W83" s="620" t="str">
        <f t="shared" si="15"/>
        <v/>
      </c>
      <c r="X83" s="625" t="str">
        <f t="shared" si="16"/>
        <v/>
      </c>
      <c r="Y83" s="158"/>
      <c r="Z83" s="163"/>
      <c r="AA83" s="161"/>
      <c r="AB83" s="164"/>
      <c r="AC83" s="165"/>
      <c r="AD83" s="157"/>
      <c r="AE83" s="158"/>
      <c r="AF83" s="159"/>
      <c r="AG83" s="162"/>
      <c r="AH83" s="657"/>
      <c r="AI83" s="657"/>
      <c r="AK83" s="142"/>
      <c r="AL83" s="769" t="str">
        <f t="shared" si="10"/>
        <v/>
      </c>
      <c r="AM83" s="721">
        <f t="shared" si="11"/>
        <v>0</v>
      </c>
      <c r="AN83" s="721">
        <f t="shared" si="12"/>
        <v>0</v>
      </c>
      <c r="AP83" s="748"/>
      <c r="AQ83" s="748"/>
      <c r="AV83" s="142"/>
      <c r="AW83" s="142"/>
      <c r="AX83" s="748"/>
      <c r="AY83" s="748"/>
      <c r="AZ83" s="748"/>
      <c r="BA83" s="1265"/>
      <c r="BB83" s="1265"/>
      <c r="BC83" s="1265"/>
      <c r="BD83" s="1265"/>
      <c r="BE83" s="1265"/>
      <c r="BF83" s="1265"/>
      <c r="BG83" s="1265"/>
    </row>
    <row r="84" spans="2:59">
      <c r="B84" s="773" t="str">
        <f>前年度登録!P81</f>
        <v/>
      </c>
      <c r="E84" s="774">
        <f>前年度登録!E81</f>
        <v>0</v>
      </c>
      <c r="F84" s="532" t="str">
        <f>前年度登録!CM81</f>
        <v/>
      </c>
      <c r="G84" s="990" t="str">
        <f>前年度登録!Z81</f>
        <v/>
      </c>
      <c r="H84" s="532" t="str">
        <f>前年度登録!CM81</f>
        <v/>
      </c>
      <c r="I84" s="185" t="str">
        <f>前年度登録!Y81</f>
        <v/>
      </c>
      <c r="J84" s="943" t="str">
        <f>前年度登録!CN81</f>
        <v/>
      </c>
      <c r="K84" s="891">
        <f>前年度登録!CP81</f>
        <v>0</v>
      </c>
      <c r="L84" s="892" t="str">
        <f>前年度登録!CU81</f>
        <v>00</v>
      </c>
      <c r="M84" s="773" t="str">
        <f>前年度登録!Q81</f>
        <v/>
      </c>
      <c r="N84" s="1258">
        <f>前年度登録!D81</f>
        <v>0</v>
      </c>
      <c r="O84" s="303"/>
      <c r="P84" s="258" t="str">
        <f>IF(O84="","",IF(I84=1,VLOOKUP(O84,男子種目コード!$A$1:$B$33,2,FALSE),IF(I84=2,VLOOKUP(O84,女子種目コード!$A$1:$B$27,2,FALSE))))</f>
        <v/>
      </c>
      <c r="Q84" s="494" t="str">
        <f>IF(O84="","",HLOOKUP(O84,前年度登録!$AH$3:$CH$118,79,FALSE))</f>
        <v/>
      </c>
      <c r="R84" s="624" t="str">
        <f t="shared" si="13"/>
        <v/>
      </c>
      <c r="S84" s="625" t="str">
        <f t="shared" si="14"/>
        <v/>
      </c>
      <c r="T84" s="303"/>
      <c r="U84" s="258" t="str">
        <f>IF(T84="","",IF(I84=1,VLOOKUP(T84,男子種目コード!$A$1:$B$33,2,FALSE),IF(I84=2,VLOOKUP(T84,女子種目コード!$A$1:$B$27,2,FALSE))))</f>
        <v/>
      </c>
      <c r="V84" s="540" t="str">
        <f>IF(T84="","",HLOOKUP(T84,前年度登録!$AH$3:$CH$118,79,FALSE))</f>
        <v/>
      </c>
      <c r="W84" s="620" t="str">
        <f t="shared" si="15"/>
        <v/>
      </c>
      <c r="X84" s="625" t="str">
        <f t="shared" si="16"/>
        <v/>
      </c>
      <c r="Y84" s="158"/>
      <c r="Z84" s="163"/>
      <c r="AA84" s="161"/>
      <c r="AB84" s="164"/>
      <c r="AC84" s="165"/>
      <c r="AD84" s="157"/>
      <c r="AE84" s="158"/>
      <c r="AF84" s="159"/>
      <c r="AG84" s="162"/>
      <c r="AH84" s="657"/>
      <c r="AI84" s="657"/>
      <c r="AK84" s="142"/>
      <c r="AL84" s="769" t="str">
        <f t="shared" si="10"/>
        <v/>
      </c>
      <c r="AM84" s="721">
        <f t="shared" si="11"/>
        <v>0</v>
      </c>
      <c r="AN84" s="721">
        <f t="shared" si="12"/>
        <v>0</v>
      </c>
      <c r="AP84" s="748"/>
      <c r="AQ84" s="748"/>
      <c r="AV84" s="142"/>
      <c r="AW84" s="142"/>
      <c r="AX84" s="748"/>
      <c r="AY84" s="748"/>
      <c r="AZ84" s="748"/>
      <c r="BA84" s="1265"/>
      <c r="BB84" s="1265"/>
      <c r="BC84" s="1265"/>
      <c r="BD84" s="1265"/>
      <c r="BE84" s="1265"/>
      <c r="BF84" s="1265"/>
      <c r="BG84" s="1265"/>
    </row>
    <row r="85" spans="2:59">
      <c r="B85" s="773" t="str">
        <f>前年度登録!P82</f>
        <v/>
      </c>
      <c r="E85" s="774">
        <f>前年度登録!E82</f>
        <v>0</v>
      </c>
      <c r="F85" s="532" t="str">
        <f>前年度登録!CM82</f>
        <v/>
      </c>
      <c r="G85" s="990" t="str">
        <f>前年度登録!Z82</f>
        <v/>
      </c>
      <c r="H85" s="532" t="str">
        <f>前年度登録!CM82</f>
        <v/>
      </c>
      <c r="I85" s="185" t="str">
        <f>前年度登録!Y82</f>
        <v/>
      </c>
      <c r="J85" s="943" t="str">
        <f>前年度登録!CN82</f>
        <v/>
      </c>
      <c r="K85" s="891">
        <f>前年度登録!CP82</f>
        <v>0</v>
      </c>
      <c r="L85" s="892" t="str">
        <f>前年度登録!CU82</f>
        <v>00</v>
      </c>
      <c r="M85" s="773" t="str">
        <f>前年度登録!Q82</f>
        <v/>
      </c>
      <c r="N85" s="1258">
        <f>前年度登録!D82</f>
        <v>0</v>
      </c>
      <c r="O85" s="303"/>
      <c r="P85" s="258" t="str">
        <f>IF(O85="","",IF(I85=1,VLOOKUP(O85,男子種目コード!$A$1:$B$33,2,FALSE),IF(I85=2,VLOOKUP(O85,女子種目コード!$A$1:$B$27,2,FALSE))))</f>
        <v/>
      </c>
      <c r="Q85" s="494" t="str">
        <f>IF(O85="","",HLOOKUP(O85,前年度登録!$AH$3:$CH$118,80,FALSE))</f>
        <v/>
      </c>
      <c r="R85" s="624" t="str">
        <f t="shared" si="13"/>
        <v/>
      </c>
      <c r="S85" s="625" t="str">
        <f t="shared" si="14"/>
        <v/>
      </c>
      <c r="T85" s="303"/>
      <c r="U85" s="258" t="str">
        <f>IF(T85="","",IF(I85=1,VLOOKUP(T85,男子種目コード!$A$1:$B$33,2,FALSE),IF(I85=2,VLOOKUP(T85,女子種目コード!$A$1:$B$27,2,FALSE))))</f>
        <v/>
      </c>
      <c r="V85" s="540" t="str">
        <f>IF(T85="","",HLOOKUP(T85,前年度登録!$AH$3:$CH$118,80,FALSE))</f>
        <v/>
      </c>
      <c r="W85" s="620" t="str">
        <f t="shared" si="15"/>
        <v/>
      </c>
      <c r="X85" s="625" t="str">
        <f t="shared" si="16"/>
        <v/>
      </c>
      <c r="Y85" s="158"/>
      <c r="Z85" s="163"/>
      <c r="AA85" s="161"/>
      <c r="AB85" s="164"/>
      <c r="AC85" s="165"/>
      <c r="AD85" s="157"/>
      <c r="AE85" s="158"/>
      <c r="AF85" s="159"/>
      <c r="AG85" s="162"/>
      <c r="AH85" s="657"/>
      <c r="AI85" s="657"/>
      <c r="AK85" s="142"/>
      <c r="AL85" s="769" t="str">
        <f t="shared" si="10"/>
        <v/>
      </c>
      <c r="AM85" s="721">
        <f t="shared" si="11"/>
        <v>0</v>
      </c>
      <c r="AN85" s="721">
        <f t="shared" si="12"/>
        <v>0</v>
      </c>
      <c r="AP85" s="748"/>
      <c r="AQ85" s="748"/>
      <c r="AV85" s="142"/>
      <c r="AW85" s="142"/>
      <c r="AX85" s="748"/>
      <c r="AY85" s="748"/>
      <c r="AZ85" s="748"/>
      <c r="BA85" s="1265"/>
      <c r="BB85" s="1265"/>
      <c r="BC85" s="1265"/>
      <c r="BD85" s="1265"/>
      <c r="BE85" s="1265"/>
      <c r="BF85" s="1265"/>
      <c r="BG85" s="1265"/>
    </row>
    <row r="86" spans="2:59">
      <c r="B86" s="773" t="str">
        <f>前年度登録!P83</f>
        <v/>
      </c>
      <c r="E86" s="774">
        <f>前年度登録!E83</f>
        <v>0</v>
      </c>
      <c r="F86" s="532" t="str">
        <f>前年度登録!CM83</f>
        <v/>
      </c>
      <c r="G86" s="990" t="str">
        <f>前年度登録!Z83</f>
        <v/>
      </c>
      <c r="H86" s="532" t="str">
        <f>前年度登録!CM83</f>
        <v/>
      </c>
      <c r="I86" s="185" t="str">
        <f>前年度登録!Y83</f>
        <v/>
      </c>
      <c r="J86" s="943" t="str">
        <f>前年度登録!CN83</f>
        <v/>
      </c>
      <c r="K86" s="891">
        <f>前年度登録!CP83</f>
        <v>0</v>
      </c>
      <c r="L86" s="892" t="str">
        <f>前年度登録!CU83</f>
        <v>00</v>
      </c>
      <c r="M86" s="773" t="str">
        <f>前年度登録!Q83</f>
        <v/>
      </c>
      <c r="N86" s="1258">
        <f>前年度登録!D83</f>
        <v>0</v>
      </c>
      <c r="O86" s="303"/>
      <c r="P86" s="258" t="str">
        <f>IF(O86="","",IF(I86=1,VLOOKUP(O86,男子種目コード!$A$1:$B$33,2,FALSE),IF(I86=2,VLOOKUP(O86,女子種目コード!$A$1:$B$27,2,FALSE))))</f>
        <v/>
      </c>
      <c r="Q86" s="494" t="str">
        <f>IF(O86="","",HLOOKUP(O86,前年度登録!$AH$3:$CH$118,81,FALSE))</f>
        <v/>
      </c>
      <c r="R86" s="624" t="str">
        <f t="shared" si="13"/>
        <v/>
      </c>
      <c r="S86" s="625" t="str">
        <f t="shared" si="14"/>
        <v/>
      </c>
      <c r="T86" s="303"/>
      <c r="U86" s="258" t="str">
        <f>IF(T86="","",IF(I86=1,VLOOKUP(T86,男子種目コード!$A$1:$B$33,2,FALSE),IF(I86=2,VLOOKUP(T86,女子種目コード!$A$1:$B$27,2,FALSE))))</f>
        <v/>
      </c>
      <c r="V86" s="540" t="str">
        <f>IF(T86="","",HLOOKUP(T86,前年度登録!$AH$3:$CH$118,81,FALSE))</f>
        <v/>
      </c>
      <c r="W86" s="620" t="str">
        <f t="shared" si="15"/>
        <v/>
      </c>
      <c r="X86" s="625" t="str">
        <f t="shared" si="16"/>
        <v/>
      </c>
      <c r="Y86" s="158"/>
      <c r="Z86" s="163"/>
      <c r="AA86" s="161"/>
      <c r="AB86" s="164"/>
      <c r="AC86" s="165"/>
      <c r="AD86" s="157"/>
      <c r="AE86" s="158"/>
      <c r="AF86" s="159"/>
      <c r="AG86" s="162"/>
      <c r="AH86" s="657"/>
      <c r="AI86" s="657"/>
      <c r="AK86" s="142"/>
      <c r="AL86" s="769" t="str">
        <f t="shared" si="10"/>
        <v/>
      </c>
      <c r="AM86" s="721">
        <f t="shared" si="11"/>
        <v>0</v>
      </c>
      <c r="AN86" s="721">
        <f t="shared" si="12"/>
        <v>0</v>
      </c>
      <c r="AP86" s="748"/>
      <c r="AQ86" s="748"/>
      <c r="AV86" s="142"/>
      <c r="AW86" s="142"/>
      <c r="AX86" s="748"/>
      <c r="AY86" s="748"/>
      <c r="AZ86" s="748"/>
      <c r="BA86" s="1265"/>
      <c r="BB86" s="1265"/>
      <c r="BC86" s="1265"/>
      <c r="BD86" s="1265"/>
      <c r="BE86" s="1265"/>
      <c r="BF86" s="1265"/>
      <c r="BG86" s="1265"/>
    </row>
    <row r="87" spans="2:59">
      <c r="B87" s="773" t="str">
        <f>前年度登録!P84</f>
        <v/>
      </c>
      <c r="E87" s="774">
        <f>前年度登録!E84</f>
        <v>0</v>
      </c>
      <c r="F87" s="532" t="str">
        <f>前年度登録!CM84</f>
        <v/>
      </c>
      <c r="G87" s="990" t="str">
        <f>前年度登録!Z84</f>
        <v/>
      </c>
      <c r="H87" s="532" t="str">
        <f>前年度登録!CM84</f>
        <v/>
      </c>
      <c r="I87" s="185" t="str">
        <f>前年度登録!Y84</f>
        <v/>
      </c>
      <c r="J87" s="943" t="str">
        <f>前年度登録!CN84</f>
        <v/>
      </c>
      <c r="K87" s="891">
        <f>前年度登録!CP84</f>
        <v>0</v>
      </c>
      <c r="L87" s="892" t="str">
        <f>前年度登録!CU84</f>
        <v>00</v>
      </c>
      <c r="M87" s="773" t="str">
        <f>前年度登録!Q84</f>
        <v/>
      </c>
      <c r="N87" s="1258">
        <f>前年度登録!D84</f>
        <v>0</v>
      </c>
      <c r="O87" s="303"/>
      <c r="P87" s="258" t="str">
        <f>IF(O87="","",IF(I87=1,VLOOKUP(O87,男子種目コード!$A$1:$B$33,2,FALSE),IF(I87=2,VLOOKUP(O87,女子種目コード!$A$1:$B$27,2,FALSE))))</f>
        <v/>
      </c>
      <c r="Q87" s="494" t="str">
        <f>IF(O87="","",HLOOKUP(O87,前年度登録!$AH$3:$CH$118,82,FALSE))</f>
        <v/>
      </c>
      <c r="R87" s="624" t="str">
        <f t="shared" si="13"/>
        <v/>
      </c>
      <c r="S87" s="625" t="str">
        <f t="shared" si="14"/>
        <v/>
      </c>
      <c r="T87" s="303"/>
      <c r="U87" s="258" t="str">
        <f>IF(T87="","",IF(I87=1,VLOOKUP(T87,男子種目コード!$A$1:$B$33,2,FALSE),IF(I87=2,VLOOKUP(T87,女子種目コード!$A$1:$B$27,2,FALSE))))</f>
        <v/>
      </c>
      <c r="V87" s="540" t="str">
        <f>IF(T87="","",HLOOKUP(T87,前年度登録!$AH$3:$CH$118,82,FALSE))</f>
        <v/>
      </c>
      <c r="W87" s="620" t="str">
        <f t="shared" si="15"/>
        <v/>
      </c>
      <c r="X87" s="625" t="str">
        <f t="shared" si="16"/>
        <v/>
      </c>
      <c r="Y87" s="158"/>
      <c r="Z87" s="163"/>
      <c r="AA87" s="161"/>
      <c r="AB87" s="164"/>
      <c r="AC87" s="165"/>
      <c r="AD87" s="157"/>
      <c r="AE87" s="158"/>
      <c r="AF87" s="159"/>
      <c r="AG87" s="162"/>
      <c r="AH87" s="657"/>
      <c r="AI87" s="657"/>
      <c r="AK87" s="142"/>
      <c r="AL87" s="769" t="str">
        <f t="shared" si="10"/>
        <v/>
      </c>
      <c r="AM87" s="721">
        <f t="shared" si="11"/>
        <v>0</v>
      </c>
      <c r="AN87" s="721">
        <f t="shared" si="12"/>
        <v>0</v>
      </c>
      <c r="AP87" s="748"/>
      <c r="AQ87" s="748"/>
      <c r="AV87" s="142"/>
      <c r="AW87" s="142"/>
      <c r="AX87" s="748"/>
      <c r="AY87" s="748"/>
      <c r="AZ87" s="748"/>
      <c r="BA87" s="1265"/>
      <c r="BB87" s="1265"/>
      <c r="BC87" s="1265"/>
      <c r="BD87" s="1265"/>
      <c r="BE87" s="1265"/>
      <c r="BF87" s="1265"/>
      <c r="BG87" s="1265"/>
    </row>
    <row r="88" spans="2:59">
      <c r="B88" s="773" t="str">
        <f>前年度登録!P85</f>
        <v/>
      </c>
      <c r="E88" s="774">
        <f>前年度登録!E85</f>
        <v>0</v>
      </c>
      <c r="F88" s="532" t="str">
        <f>前年度登録!CM85</f>
        <v/>
      </c>
      <c r="G88" s="990" t="str">
        <f>前年度登録!Z85</f>
        <v/>
      </c>
      <c r="H88" s="532" t="str">
        <f>前年度登録!CM85</f>
        <v/>
      </c>
      <c r="I88" s="185" t="str">
        <f>前年度登録!Y85</f>
        <v/>
      </c>
      <c r="J88" s="943" t="str">
        <f>前年度登録!CN85</f>
        <v/>
      </c>
      <c r="K88" s="891">
        <f>前年度登録!CP85</f>
        <v>0</v>
      </c>
      <c r="L88" s="892" t="str">
        <f>前年度登録!CU85</f>
        <v>00</v>
      </c>
      <c r="M88" s="773" t="str">
        <f>前年度登録!Q85</f>
        <v/>
      </c>
      <c r="N88" s="1258">
        <f>前年度登録!D85</f>
        <v>0</v>
      </c>
      <c r="O88" s="303"/>
      <c r="P88" s="258" t="str">
        <f>IF(O88="","",IF(I88=1,VLOOKUP(O88,男子種目コード!$A$1:$B$33,2,FALSE),IF(I88=2,VLOOKUP(O88,女子種目コード!$A$1:$B$27,2,FALSE))))</f>
        <v/>
      </c>
      <c r="Q88" s="494" t="str">
        <f>IF(O88="","",HLOOKUP(O88,前年度登録!$AH$3:$CH$118,83,FALSE))</f>
        <v/>
      </c>
      <c r="R88" s="624" t="str">
        <f t="shared" si="13"/>
        <v/>
      </c>
      <c r="S88" s="625" t="str">
        <f t="shared" si="14"/>
        <v/>
      </c>
      <c r="T88" s="303"/>
      <c r="U88" s="258" t="str">
        <f>IF(T88="","",IF(I88=1,VLOOKUP(T88,男子種目コード!$A$1:$B$33,2,FALSE),IF(I88=2,VLOOKUP(T88,女子種目コード!$A$1:$B$27,2,FALSE))))</f>
        <v/>
      </c>
      <c r="V88" s="540" t="str">
        <f>IF(T88="","",HLOOKUP(T88,前年度登録!$AH$3:$CH$118,83,FALSE))</f>
        <v/>
      </c>
      <c r="W88" s="620" t="str">
        <f t="shared" si="15"/>
        <v/>
      </c>
      <c r="X88" s="625" t="str">
        <f t="shared" si="16"/>
        <v/>
      </c>
      <c r="Y88" s="158"/>
      <c r="Z88" s="163"/>
      <c r="AA88" s="161"/>
      <c r="AB88" s="164"/>
      <c r="AC88" s="165"/>
      <c r="AD88" s="157"/>
      <c r="AE88" s="158"/>
      <c r="AF88" s="159"/>
      <c r="AG88" s="162"/>
      <c r="AH88" s="657"/>
      <c r="AI88" s="657"/>
      <c r="AK88" s="142"/>
      <c r="AL88" s="769" t="str">
        <f t="shared" si="10"/>
        <v/>
      </c>
      <c r="AM88" s="721">
        <f t="shared" si="11"/>
        <v>0</v>
      </c>
      <c r="AN88" s="721">
        <f t="shared" si="12"/>
        <v>0</v>
      </c>
      <c r="AP88" s="748"/>
      <c r="AQ88" s="748"/>
      <c r="AV88" s="142"/>
      <c r="AW88" s="142"/>
      <c r="AX88" s="748"/>
      <c r="AY88" s="748"/>
      <c r="AZ88" s="748"/>
      <c r="BA88" s="1265"/>
      <c r="BB88" s="1265"/>
      <c r="BC88" s="1265"/>
      <c r="BD88" s="1265"/>
      <c r="BE88" s="1265"/>
      <c r="BF88" s="1265"/>
      <c r="BG88" s="1265"/>
    </row>
    <row r="89" spans="2:59">
      <c r="B89" s="773" t="str">
        <f>前年度登録!P86</f>
        <v/>
      </c>
      <c r="E89" s="774">
        <f>前年度登録!E86</f>
        <v>0</v>
      </c>
      <c r="F89" s="532" t="str">
        <f>前年度登録!CM86</f>
        <v/>
      </c>
      <c r="G89" s="990" t="str">
        <f>前年度登録!Z86</f>
        <v/>
      </c>
      <c r="H89" s="532" t="str">
        <f>前年度登録!CM86</f>
        <v/>
      </c>
      <c r="I89" s="185" t="str">
        <f>前年度登録!Y86</f>
        <v/>
      </c>
      <c r="J89" s="943" t="str">
        <f>前年度登録!CN86</f>
        <v/>
      </c>
      <c r="K89" s="891">
        <f>前年度登録!CP86</f>
        <v>0</v>
      </c>
      <c r="L89" s="892" t="str">
        <f>前年度登録!CU86</f>
        <v>00</v>
      </c>
      <c r="M89" s="773" t="str">
        <f>前年度登録!Q86</f>
        <v/>
      </c>
      <c r="N89" s="1258">
        <f>前年度登録!D86</f>
        <v>0</v>
      </c>
      <c r="O89" s="303"/>
      <c r="P89" s="258" t="str">
        <f>IF(O89="","",IF(I89=1,VLOOKUP(O89,男子種目コード!$A$1:$B$33,2,FALSE),IF(I89=2,VLOOKUP(O89,女子種目コード!$A$1:$B$27,2,FALSE))))</f>
        <v/>
      </c>
      <c r="Q89" s="494" t="str">
        <f>IF(O89="","",HLOOKUP(O89,前年度登録!$AH$3:$CH$118,84,FALSE))</f>
        <v/>
      </c>
      <c r="R89" s="624" t="str">
        <f t="shared" si="13"/>
        <v/>
      </c>
      <c r="S89" s="625" t="str">
        <f t="shared" si="14"/>
        <v/>
      </c>
      <c r="T89" s="303"/>
      <c r="U89" s="258" t="str">
        <f>IF(T89="","",IF(I89=1,VLOOKUP(T89,男子種目コード!$A$1:$B$33,2,FALSE),IF(I89=2,VLOOKUP(T89,女子種目コード!$A$1:$B$27,2,FALSE))))</f>
        <v/>
      </c>
      <c r="V89" s="540" t="str">
        <f>IF(T89="","",HLOOKUP(T89,前年度登録!$AH$3:$CH$118,84,FALSE))</f>
        <v/>
      </c>
      <c r="W89" s="620" t="str">
        <f t="shared" si="15"/>
        <v/>
      </c>
      <c r="X89" s="625" t="str">
        <f t="shared" si="16"/>
        <v/>
      </c>
      <c r="Y89" s="158"/>
      <c r="Z89" s="163"/>
      <c r="AA89" s="161"/>
      <c r="AB89" s="164"/>
      <c r="AC89" s="165"/>
      <c r="AD89" s="157"/>
      <c r="AE89" s="158"/>
      <c r="AF89" s="159"/>
      <c r="AG89" s="162"/>
      <c r="AH89" s="657"/>
      <c r="AI89" s="657"/>
      <c r="AK89" s="142"/>
      <c r="AL89" s="769" t="str">
        <f t="shared" si="10"/>
        <v/>
      </c>
      <c r="AM89" s="721">
        <f t="shared" si="11"/>
        <v>0</v>
      </c>
      <c r="AN89" s="721">
        <f t="shared" si="12"/>
        <v>0</v>
      </c>
      <c r="AP89" s="748"/>
      <c r="AQ89" s="748"/>
      <c r="AV89" s="142"/>
      <c r="AW89" s="142"/>
      <c r="AX89" s="748"/>
      <c r="AY89" s="748"/>
      <c r="AZ89" s="748"/>
      <c r="BA89" s="1265"/>
      <c r="BB89" s="1265"/>
      <c r="BC89" s="1265"/>
      <c r="BD89" s="1265"/>
      <c r="BE89" s="1265"/>
      <c r="BF89" s="1265"/>
      <c r="BG89" s="1265"/>
    </row>
    <row r="90" spans="2:59">
      <c r="B90" s="773" t="str">
        <f>前年度登録!P87</f>
        <v/>
      </c>
      <c r="E90" s="774">
        <f>前年度登録!E87</f>
        <v>0</v>
      </c>
      <c r="F90" s="532" t="str">
        <f>前年度登録!CM87</f>
        <v/>
      </c>
      <c r="G90" s="990" t="str">
        <f>前年度登録!Z87</f>
        <v/>
      </c>
      <c r="H90" s="532" t="str">
        <f>前年度登録!CM87</f>
        <v/>
      </c>
      <c r="I90" s="185" t="str">
        <f>前年度登録!Y87</f>
        <v/>
      </c>
      <c r="J90" s="943" t="str">
        <f>前年度登録!CN87</f>
        <v/>
      </c>
      <c r="K90" s="891">
        <f>前年度登録!CP87</f>
        <v>0</v>
      </c>
      <c r="L90" s="892" t="str">
        <f>前年度登録!CU87</f>
        <v>00</v>
      </c>
      <c r="M90" s="773" t="str">
        <f>前年度登録!Q87</f>
        <v/>
      </c>
      <c r="N90" s="1258">
        <f>前年度登録!D87</f>
        <v>0</v>
      </c>
      <c r="O90" s="303"/>
      <c r="P90" s="258" t="str">
        <f>IF(O90="","",IF(I90=1,VLOOKUP(O90,男子種目コード!$A$1:$B$33,2,FALSE),IF(I90=2,VLOOKUP(O90,女子種目コード!$A$1:$B$27,2,FALSE))))</f>
        <v/>
      </c>
      <c r="Q90" s="494" t="str">
        <f>IF(O90="","",HLOOKUP(O90,前年度登録!$AH$3:$CH$118,85,FALSE))</f>
        <v/>
      </c>
      <c r="R90" s="624" t="str">
        <f t="shared" si="13"/>
        <v/>
      </c>
      <c r="S90" s="625" t="str">
        <f t="shared" si="14"/>
        <v/>
      </c>
      <c r="T90" s="303"/>
      <c r="U90" s="258" t="str">
        <f>IF(T90="","",IF(I90=1,VLOOKUP(T90,男子種目コード!$A$1:$B$33,2,FALSE),IF(I90=2,VLOOKUP(T90,女子種目コード!$A$1:$B$27,2,FALSE))))</f>
        <v/>
      </c>
      <c r="V90" s="540" t="str">
        <f>IF(T90="","",HLOOKUP(T90,前年度登録!$AH$3:$CH$118,85,FALSE))</f>
        <v/>
      </c>
      <c r="W90" s="620" t="str">
        <f t="shared" si="15"/>
        <v/>
      </c>
      <c r="X90" s="625" t="str">
        <f t="shared" si="16"/>
        <v/>
      </c>
      <c r="Y90" s="158"/>
      <c r="Z90" s="163"/>
      <c r="AA90" s="161"/>
      <c r="AB90" s="164"/>
      <c r="AC90" s="165"/>
      <c r="AD90" s="157"/>
      <c r="AE90" s="158"/>
      <c r="AF90" s="159"/>
      <c r="AG90" s="162"/>
      <c r="AH90" s="657"/>
      <c r="AI90" s="657"/>
      <c r="AK90" s="142"/>
      <c r="AL90" s="769" t="str">
        <f t="shared" si="10"/>
        <v/>
      </c>
      <c r="AM90" s="721">
        <f t="shared" si="11"/>
        <v>0</v>
      </c>
      <c r="AN90" s="721">
        <f t="shared" si="12"/>
        <v>0</v>
      </c>
      <c r="AP90" s="748"/>
      <c r="AQ90" s="748"/>
      <c r="AV90" s="142"/>
      <c r="AW90" s="142"/>
      <c r="AX90" s="748"/>
      <c r="AY90" s="748"/>
      <c r="AZ90" s="748"/>
      <c r="BA90" s="1265"/>
      <c r="BB90" s="1265"/>
      <c r="BC90" s="1265"/>
      <c r="BD90" s="1265"/>
      <c r="BE90" s="1265"/>
      <c r="BF90" s="1265"/>
      <c r="BG90" s="1265"/>
    </row>
    <row r="91" spans="2:59">
      <c r="B91" s="773" t="str">
        <f>前年度登録!P88</f>
        <v/>
      </c>
      <c r="E91" s="774">
        <f>前年度登録!E88</f>
        <v>0</v>
      </c>
      <c r="F91" s="532" t="str">
        <f>前年度登録!CM88</f>
        <v/>
      </c>
      <c r="G91" s="990" t="str">
        <f>前年度登録!Z88</f>
        <v/>
      </c>
      <c r="H91" s="532" t="str">
        <f>前年度登録!CM88</f>
        <v/>
      </c>
      <c r="I91" s="185" t="str">
        <f>前年度登録!Y88</f>
        <v/>
      </c>
      <c r="J91" s="943" t="str">
        <f>前年度登録!CN88</f>
        <v/>
      </c>
      <c r="K91" s="891">
        <f>前年度登録!CP88</f>
        <v>0</v>
      </c>
      <c r="L91" s="892" t="str">
        <f>前年度登録!CU88</f>
        <v>00</v>
      </c>
      <c r="M91" s="773" t="str">
        <f>前年度登録!Q88</f>
        <v/>
      </c>
      <c r="N91" s="1258">
        <f>前年度登録!D88</f>
        <v>0</v>
      </c>
      <c r="O91" s="303"/>
      <c r="P91" s="258" t="str">
        <f>IF(O91="","",IF(I91=1,VLOOKUP(O91,男子種目コード!$A$1:$B$33,2,FALSE),IF(I91=2,VLOOKUP(O91,女子種目コード!$A$1:$B$27,2,FALSE))))</f>
        <v/>
      </c>
      <c r="Q91" s="494" t="str">
        <f>IF(O91="","",HLOOKUP(O91,前年度登録!$AH$3:$CH$118,86,FALSE))</f>
        <v/>
      </c>
      <c r="R91" s="624" t="str">
        <f t="shared" si="13"/>
        <v/>
      </c>
      <c r="S91" s="625" t="str">
        <f t="shared" si="14"/>
        <v/>
      </c>
      <c r="T91" s="303"/>
      <c r="U91" s="258" t="str">
        <f>IF(T91="","",IF(I91=1,VLOOKUP(T91,男子種目コード!$A$1:$B$33,2,FALSE),IF(I91=2,VLOOKUP(T91,女子種目コード!$A$1:$B$27,2,FALSE))))</f>
        <v/>
      </c>
      <c r="V91" s="540" t="str">
        <f>IF(T91="","",HLOOKUP(T91,前年度登録!$AH$3:$CH$118,86,FALSE))</f>
        <v/>
      </c>
      <c r="W91" s="620" t="str">
        <f t="shared" si="15"/>
        <v/>
      </c>
      <c r="X91" s="625" t="str">
        <f t="shared" si="16"/>
        <v/>
      </c>
      <c r="Y91" s="158"/>
      <c r="Z91" s="163"/>
      <c r="AA91" s="161"/>
      <c r="AB91" s="164"/>
      <c r="AC91" s="165"/>
      <c r="AD91" s="157"/>
      <c r="AE91" s="158"/>
      <c r="AF91" s="159"/>
      <c r="AG91" s="162"/>
      <c r="AH91" s="657"/>
      <c r="AI91" s="657"/>
      <c r="AK91" s="142"/>
      <c r="AL91" s="769" t="str">
        <f t="shared" si="10"/>
        <v/>
      </c>
      <c r="AM91" s="721">
        <f t="shared" si="11"/>
        <v>0</v>
      </c>
      <c r="AN91" s="721">
        <f t="shared" si="12"/>
        <v>0</v>
      </c>
      <c r="AP91" s="748"/>
      <c r="AQ91" s="748"/>
      <c r="AV91" s="142"/>
      <c r="AW91" s="142"/>
      <c r="AX91" s="748"/>
      <c r="AY91" s="748"/>
      <c r="AZ91" s="748"/>
      <c r="BA91" s="1265"/>
      <c r="BB91" s="1265"/>
      <c r="BC91" s="1265"/>
      <c r="BD91" s="1265"/>
      <c r="BE91" s="1265"/>
      <c r="BF91" s="1265"/>
      <c r="BG91" s="1265"/>
    </row>
    <row r="92" spans="2:59">
      <c r="B92" s="773" t="str">
        <f>前年度登録!P89</f>
        <v/>
      </c>
      <c r="E92" s="774">
        <f>前年度登録!E89</f>
        <v>0</v>
      </c>
      <c r="F92" s="532" t="str">
        <f>前年度登録!CM89</f>
        <v/>
      </c>
      <c r="G92" s="990" t="str">
        <f>前年度登録!Z89</f>
        <v/>
      </c>
      <c r="H92" s="532" t="str">
        <f>前年度登録!CM89</f>
        <v/>
      </c>
      <c r="I92" s="185" t="str">
        <f>前年度登録!Y89</f>
        <v/>
      </c>
      <c r="J92" s="943" t="str">
        <f>前年度登録!CN89</f>
        <v/>
      </c>
      <c r="K92" s="891">
        <f>前年度登録!CP89</f>
        <v>0</v>
      </c>
      <c r="L92" s="892" t="str">
        <f>前年度登録!CU89</f>
        <v>00</v>
      </c>
      <c r="M92" s="773" t="str">
        <f>前年度登録!Q89</f>
        <v/>
      </c>
      <c r="N92" s="1258">
        <f>前年度登録!D89</f>
        <v>0</v>
      </c>
      <c r="O92" s="303"/>
      <c r="P92" s="258" t="str">
        <f>IF(O92="","",IF(I92=1,VLOOKUP(O92,男子種目コード!$A$1:$B$33,2,FALSE),IF(I92=2,VLOOKUP(O92,女子種目コード!$A$1:$B$27,2,FALSE))))</f>
        <v/>
      </c>
      <c r="Q92" s="494" t="str">
        <f>IF(O92="","",HLOOKUP(O92,前年度登録!$AH$3:$CH$118,87,FALSE))</f>
        <v/>
      </c>
      <c r="R92" s="624" t="str">
        <f t="shared" si="13"/>
        <v/>
      </c>
      <c r="S92" s="625" t="str">
        <f t="shared" si="14"/>
        <v/>
      </c>
      <c r="T92" s="303"/>
      <c r="U92" s="258" t="str">
        <f>IF(T92="","",IF(I92=1,VLOOKUP(T92,男子種目コード!$A$1:$B$33,2,FALSE),IF(I92=2,VLOOKUP(T92,女子種目コード!$A$1:$B$27,2,FALSE))))</f>
        <v/>
      </c>
      <c r="V92" s="540" t="str">
        <f>IF(T92="","",HLOOKUP(T92,前年度登録!$AH$3:$CH$118,87,FALSE))</f>
        <v/>
      </c>
      <c r="W92" s="620" t="str">
        <f t="shared" si="15"/>
        <v/>
      </c>
      <c r="X92" s="625" t="str">
        <f t="shared" si="16"/>
        <v/>
      </c>
      <c r="Y92" s="158"/>
      <c r="Z92" s="163"/>
      <c r="AA92" s="161"/>
      <c r="AB92" s="164"/>
      <c r="AC92" s="165"/>
      <c r="AD92" s="157"/>
      <c r="AE92" s="158"/>
      <c r="AF92" s="159"/>
      <c r="AG92" s="162"/>
      <c r="AH92" s="657"/>
      <c r="AI92" s="657"/>
      <c r="AK92" s="142"/>
      <c r="AL92" s="769" t="str">
        <f t="shared" si="10"/>
        <v/>
      </c>
      <c r="AM92" s="721">
        <f t="shared" si="11"/>
        <v>0</v>
      </c>
      <c r="AN92" s="721">
        <f t="shared" si="12"/>
        <v>0</v>
      </c>
      <c r="AP92" s="748"/>
      <c r="AQ92" s="748"/>
      <c r="AV92" s="142"/>
      <c r="AW92" s="142"/>
      <c r="AX92" s="748"/>
      <c r="AY92" s="748"/>
      <c r="AZ92" s="748"/>
      <c r="BA92" s="1265"/>
      <c r="BB92" s="1265"/>
      <c r="BC92" s="1265"/>
      <c r="BD92" s="1265"/>
      <c r="BE92" s="1265"/>
      <c r="BF92" s="1265"/>
      <c r="BG92" s="1265"/>
    </row>
    <row r="93" spans="2:59">
      <c r="B93" s="773" t="str">
        <f>前年度登録!P90</f>
        <v/>
      </c>
      <c r="E93" s="774">
        <f>前年度登録!E90</f>
        <v>0</v>
      </c>
      <c r="F93" s="532" t="str">
        <f>前年度登録!CM90</f>
        <v/>
      </c>
      <c r="G93" s="990" t="str">
        <f>前年度登録!Z90</f>
        <v/>
      </c>
      <c r="H93" s="532" t="str">
        <f>前年度登録!CM90</f>
        <v/>
      </c>
      <c r="I93" s="185" t="str">
        <f>前年度登録!Y90</f>
        <v/>
      </c>
      <c r="J93" s="943" t="str">
        <f>前年度登録!CN90</f>
        <v/>
      </c>
      <c r="K93" s="891">
        <f>前年度登録!CP90</f>
        <v>0</v>
      </c>
      <c r="L93" s="892" t="str">
        <f>前年度登録!CU90</f>
        <v>00</v>
      </c>
      <c r="M93" s="773" t="str">
        <f>前年度登録!Q90</f>
        <v/>
      </c>
      <c r="N93" s="1258">
        <f>前年度登録!D90</f>
        <v>0</v>
      </c>
      <c r="O93" s="303"/>
      <c r="P93" s="258" t="str">
        <f>IF(O93="","",IF(I93=1,VLOOKUP(O93,男子種目コード!$A$1:$B$33,2,FALSE),IF(I93=2,VLOOKUP(O93,女子種目コード!$A$1:$B$27,2,FALSE))))</f>
        <v/>
      </c>
      <c r="Q93" s="494" t="str">
        <f>IF(O93="","",HLOOKUP(O93,前年度登録!$AH$3:$CH$118,88,FALSE))</f>
        <v/>
      </c>
      <c r="R93" s="624" t="str">
        <f t="shared" si="13"/>
        <v/>
      </c>
      <c r="S93" s="625" t="str">
        <f t="shared" si="14"/>
        <v/>
      </c>
      <c r="T93" s="303"/>
      <c r="U93" s="258" t="str">
        <f>IF(T93="","",IF(I93=1,VLOOKUP(T93,男子種目コード!$A$1:$B$33,2,FALSE),IF(I93=2,VLOOKUP(T93,女子種目コード!$A$1:$B$27,2,FALSE))))</f>
        <v/>
      </c>
      <c r="V93" s="540" t="str">
        <f>IF(T93="","",HLOOKUP(T93,前年度登録!$AH$3:$CH$118,88,FALSE))</f>
        <v/>
      </c>
      <c r="W93" s="620" t="str">
        <f t="shared" si="15"/>
        <v/>
      </c>
      <c r="X93" s="625" t="str">
        <f t="shared" si="16"/>
        <v/>
      </c>
      <c r="Y93" s="158"/>
      <c r="Z93" s="163"/>
      <c r="AA93" s="161"/>
      <c r="AB93" s="164"/>
      <c r="AC93" s="165"/>
      <c r="AD93" s="157"/>
      <c r="AE93" s="158"/>
      <c r="AF93" s="159"/>
      <c r="AG93" s="162"/>
      <c r="AH93" s="657"/>
      <c r="AI93" s="657"/>
      <c r="AK93" s="142"/>
      <c r="AL93" s="769" t="str">
        <f t="shared" si="10"/>
        <v/>
      </c>
      <c r="AM93" s="721">
        <f t="shared" si="11"/>
        <v>0</v>
      </c>
      <c r="AN93" s="721">
        <f t="shared" si="12"/>
        <v>0</v>
      </c>
      <c r="AP93" s="748"/>
      <c r="AQ93" s="748"/>
      <c r="AV93" s="142"/>
      <c r="AW93" s="142"/>
      <c r="AX93" s="748"/>
      <c r="AY93" s="748"/>
      <c r="AZ93" s="748"/>
      <c r="BA93" s="1265"/>
      <c r="BB93" s="1265"/>
      <c r="BC93" s="1265"/>
      <c r="BD93" s="1265"/>
      <c r="BE93" s="1265"/>
      <c r="BF93" s="1265"/>
      <c r="BG93" s="1265"/>
    </row>
    <row r="94" spans="2:59">
      <c r="B94" s="773" t="str">
        <f>前年度登録!P91</f>
        <v/>
      </c>
      <c r="E94" s="774">
        <f>前年度登録!E91</f>
        <v>0</v>
      </c>
      <c r="F94" s="532" t="str">
        <f>前年度登録!CM91</f>
        <v/>
      </c>
      <c r="G94" s="990" t="str">
        <f>前年度登録!Z91</f>
        <v/>
      </c>
      <c r="H94" s="532" t="str">
        <f>前年度登録!CM91</f>
        <v/>
      </c>
      <c r="I94" s="185" t="str">
        <f>前年度登録!Y91</f>
        <v/>
      </c>
      <c r="J94" s="943" t="str">
        <f>前年度登録!CN91</f>
        <v/>
      </c>
      <c r="K94" s="891">
        <f>前年度登録!CP91</f>
        <v>0</v>
      </c>
      <c r="L94" s="892" t="str">
        <f>前年度登録!CU91</f>
        <v>00</v>
      </c>
      <c r="M94" s="773" t="str">
        <f>前年度登録!Q91</f>
        <v/>
      </c>
      <c r="N94" s="1258">
        <f>前年度登録!D91</f>
        <v>0</v>
      </c>
      <c r="O94" s="303"/>
      <c r="P94" s="258" t="str">
        <f>IF(O94="","",IF(I94=1,VLOOKUP(O94,男子種目コード!$A$1:$B$33,2,FALSE),IF(I94=2,VLOOKUP(O94,女子種目コード!$A$1:$B$27,2,FALSE))))</f>
        <v/>
      </c>
      <c r="Q94" s="494" t="str">
        <f>IF(O94="","",HLOOKUP(O94,前年度登録!$AH$3:$CH$118,89,FALSE))</f>
        <v/>
      </c>
      <c r="R94" s="624" t="str">
        <f t="shared" si="13"/>
        <v/>
      </c>
      <c r="S94" s="625" t="str">
        <f t="shared" si="14"/>
        <v/>
      </c>
      <c r="T94" s="303"/>
      <c r="U94" s="258" t="str">
        <f>IF(T94="","",IF(I94=1,VLOOKUP(T94,男子種目コード!$A$1:$B$33,2,FALSE),IF(I94=2,VLOOKUP(T94,女子種目コード!$A$1:$B$27,2,FALSE))))</f>
        <v/>
      </c>
      <c r="V94" s="540" t="str">
        <f>IF(T94="","",HLOOKUP(T94,前年度登録!$AH$3:$CH$118,89,FALSE))</f>
        <v/>
      </c>
      <c r="W94" s="620" t="str">
        <f t="shared" si="15"/>
        <v/>
      </c>
      <c r="X94" s="625" t="str">
        <f t="shared" si="16"/>
        <v/>
      </c>
      <c r="Y94" s="158"/>
      <c r="Z94" s="163"/>
      <c r="AA94" s="161"/>
      <c r="AB94" s="164"/>
      <c r="AC94" s="165"/>
      <c r="AD94" s="157"/>
      <c r="AE94" s="158"/>
      <c r="AF94" s="159"/>
      <c r="AG94" s="162"/>
      <c r="AH94" s="657"/>
      <c r="AI94" s="657"/>
      <c r="AK94" s="142"/>
      <c r="AL94" s="769" t="str">
        <f t="shared" si="10"/>
        <v/>
      </c>
      <c r="AM94" s="721">
        <f t="shared" si="11"/>
        <v>0</v>
      </c>
      <c r="AN94" s="721">
        <f t="shared" si="12"/>
        <v>0</v>
      </c>
      <c r="AP94" s="748"/>
      <c r="AQ94" s="748"/>
      <c r="AV94" s="142"/>
      <c r="AW94" s="142"/>
      <c r="AX94" s="748"/>
      <c r="AY94" s="748"/>
      <c r="AZ94" s="748"/>
      <c r="BA94" s="1265"/>
      <c r="BB94" s="1265"/>
      <c r="BC94" s="1265"/>
      <c r="BD94" s="1265"/>
      <c r="BE94" s="1265"/>
      <c r="BF94" s="1265"/>
      <c r="BG94" s="1265"/>
    </row>
    <row r="95" spans="2:59">
      <c r="B95" s="773" t="str">
        <f>前年度登録!P92</f>
        <v/>
      </c>
      <c r="E95" s="774">
        <f>前年度登録!E92</f>
        <v>0</v>
      </c>
      <c r="F95" s="532" t="str">
        <f>前年度登録!CM92</f>
        <v/>
      </c>
      <c r="G95" s="990" t="str">
        <f>前年度登録!Z92</f>
        <v/>
      </c>
      <c r="H95" s="532" t="str">
        <f>前年度登録!CM92</f>
        <v/>
      </c>
      <c r="I95" s="185" t="str">
        <f>前年度登録!Y92</f>
        <v/>
      </c>
      <c r="J95" s="943" t="str">
        <f>前年度登録!CN92</f>
        <v/>
      </c>
      <c r="K95" s="891">
        <f>前年度登録!CP92</f>
        <v>0</v>
      </c>
      <c r="L95" s="892" t="str">
        <f>前年度登録!CU92</f>
        <v>00</v>
      </c>
      <c r="M95" s="773" t="str">
        <f>前年度登録!Q92</f>
        <v/>
      </c>
      <c r="N95" s="1258">
        <f>前年度登録!D92</f>
        <v>0</v>
      </c>
      <c r="O95" s="303"/>
      <c r="P95" s="258" t="str">
        <f>IF(O95="","",IF(I95=1,VLOOKUP(O95,男子種目コード!$A$1:$B$33,2,FALSE),IF(I95=2,VLOOKUP(O95,女子種目コード!$A$1:$B$27,2,FALSE))))</f>
        <v/>
      </c>
      <c r="Q95" s="494" t="str">
        <f>IF(O95="","",HLOOKUP(O95,前年度登録!$AH$3:$CH$118,90,FALSE))</f>
        <v/>
      </c>
      <c r="R95" s="624" t="str">
        <f t="shared" si="13"/>
        <v/>
      </c>
      <c r="S95" s="625" t="str">
        <f t="shared" si="14"/>
        <v/>
      </c>
      <c r="T95" s="303"/>
      <c r="U95" s="258" t="str">
        <f>IF(T95="","",IF(I95=1,VLOOKUP(T95,男子種目コード!$A$1:$B$33,2,FALSE),IF(I95=2,VLOOKUP(T95,女子種目コード!$A$1:$B$27,2,FALSE))))</f>
        <v/>
      </c>
      <c r="V95" s="540" t="str">
        <f>IF(T95="","",HLOOKUP(T95,前年度登録!$AH$3:$CH$118,90,FALSE))</f>
        <v/>
      </c>
      <c r="W95" s="620" t="str">
        <f t="shared" si="15"/>
        <v/>
      </c>
      <c r="X95" s="625" t="str">
        <f t="shared" si="16"/>
        <v/>
      </c>
      <c r="Y95" s="158"/>
      <c r="Z95" s="163"/>
      <c r="AA95" s="161"/>
      <c r="AB95" s="164"/>
      <c r="AC95" s="165"/>
      <c r="AD95" s="157"/>
      <c r="AE95" s="158"/>
      <c r="AF95" s="159"/>
      <c r="AG95" s="162"/>
      <c r="AH95" s="657"/>
      <c r="AI95" s="657"/>
      <c r="AK95" s="142"/>
      <c r="AL95" s="769" t="str">
        <f t="shared" si="10"/>
        <v/>
      </c>
      <c r="AM95" s="721">
        <f t="shared" si="11"/>
        <v>0</v>
      </c>
      <c r="AN95" s="721">
        <f t="shared" si="12"/>
        <v>0</v>
      </c>
      <c r="AP95" s="748"/>
      <c r="AQ95" s="748"/>
      <c r="AV95" s="142"/>
      <c r="AW95" s="142"/>
      <c r="AX95" s="748"/>
      <c r="AY95" s="748"/>
      <c r="AZ95" s="748"/>
      <c r="BA95" s="1265"/>
      <c r="BB95" s="1265"/>
      <c r="BC95" s="1265"/>
      <c r="BD95" s="1265"/>
      <c r="BE95" s="1265"/>
      <c r="BF95" s="1265"/>
      <c r="BG95" s="1265"/>
    </row>
    <row r="96" spans="2:59">
      <c r="B96" s="773" t="str">
        <f>前年度登録!P93</f>
        <v/>
      </c>
      <c r="E96" s="774">
        <f>前年度登録!E93</f>
        <v>0</v>
      </c>
      <c r="F96" s="532" t="str">
        <f>前年度登録!CM93</f>
        <v/>
      </c>
      <c r="G96" s="990" t="str">
        <f>前年度登録!Z93</f>
        <v/>
      </c>
      <c r="H96" s="532" t="str">
        <f>前年度登録!CM93</f>
        <v/>
      </c>
      <c r="I96" s="185" t="str">
        <f>前年度登録!Y93</f>
        <v/>
      </c>
      <c r="J96" s="943" t="str">
        <f>前年度登録!CN93</f>
        <v/>
      </c>
      <c r="K96" s="891">
        <f>前年度登録!CP93</f>
        <v>0</v>
      </c>
      <c r="L96" s="892" t="str">
        <f>前年度登録!CU93</f>
        <v>00</v>
      </c>
      <c r="M96" s="773" t="str">
        <f>前年度登録!Q93</f>
        <v/>
      </c>
      <c r="N96" s="1258">
        <f>前年度登録!D93</f>
        <v>0</v>
      </c>
      <c r="O96" s="303"/>
      <c r="P96" s="258" t="str">
        <f>IF(O96="","",IF(I96=1,VLOOKUP(O96,男子種目コード!$A$1:$B$33,2,FALSE),IF(I96=2,VLOOKUP(O96,女子種目コード!$A$1:$B$27,2,FALSE))))</f>
        <v/>
      </c>
      <c r="Q96" s="494" t="str">
        <f>IF(O96="","",HLOOKUP(O96,前年度登録!$AH$3:$CH$118,91,FALSE))</f>
        <v/>
      </c>
      <c r="R96" s="624" t="str">
        <f t="shared" si="13"/>
        <v/>
      </c>
      <c r="S96" s="625" t="str">
        <f t="shared" si="14"/>
        <v/>
      </c>
      <c r="T96" s="303"/>
      <c r="U96" s="258" t="str">
        <f>IF(T96="","",IF(I96=1,VLOOKUP(T96,男子種目コード!$A$1:$B$33,2,FALSE),IF(I96=2,VLOOKUP(T96,女子種目コード!$A$1:$B$27,2,FALSE))))</f>
        <v/>
      </c>
      <c r="V96" s="540" t="str">
        <f>IF(T96="","",HLOOKUP(T96,前年度登録!$AH$3:$CH$118,91,FALSE))</f>
        <v/>
      </c>
      <c r="W96" s="620" t="str">
        <f t="shared" si="15"/>
        <v/>
      </c>
      <c r="X96" s="625" t="str">
        <f t="shared" si="16"/>
        <v/>
      </c>
      <c r="Y96" s="158"/>
      <c r="Z96" s="163"/>
      <c r="AA96" s="161"/>
      <c r="AB96" s="164"/>
      <c r="AC96" s="165"/>
      <c r="AD96" s="157"/>
      <c r="AE96" s="158"/>
      <c r="AF96" s="159"/>
      <c r="AG96" s="162"/>
      <c r="AH96" s="657"/>
      <c r="AI96" s="657"/>
      <c r="AK96" s="142"/>
      <c r="AL96" s="769" t="str">
        <f t="shared" si="10"/>
        <v/>
      </c>
      <c r="AM96" s="721">
        <f t="shared" si="11"/>
        <v>0</v>
      </c>
      <c r="AN96" s="721">
        <f t="shared" si="12"/>
        <v>0</v>
      </c>
      <c r="AP96" s="748"/>
      <c r="AQ96" s="748"/>
      <c r="AV96" s="142"/>
      <c r="AW96" s="142"/>
      <c r="AX96" s="748"/>
      <c r="AY96" s="748"/>
      <c r="AZ96" s="748"/>
      <c r="BA96" s="1265"/>
      <c r="BB96" s="1265"/>
      <c r="BC96" s="1265"/>
      <c r="BD96" s="1265"/>
      <c r="BE96" s="1265"/>
      <c r="BF96" s="1265"/>
      <c r="BG96" s="1265"/>
    </row>
    <row r="97" spans="2:59">
      <c r="B97" s="773" t="str">
        <f>前年度登録!P94</f>
        <v/>
      </c>
      <c r="E97" s="774">
        <f>前年度登録!E94</f>
        <v>0</v>
      </c>
      <c r="F97" s="532" t="str">
        <f>前年度登録!CM94</f>
        <v/>
      </c>
      <c r="G97" s="990" t="str">
        <f>前年度登録!Z94</f>
        <v/>
      </c>
      <c r="H97" s="532" t="str">
        <f>前年度登録!CM94</f>
        <v/>
      </c>
      <c r="I97" s="185" t="str">
        <f>前年度登録!Y94</f>
        <v/>
      </c>
      <c r="J97" s="943" t="str">
        <f>前年度登録!CN94</f>
        <v/>
      </c>
      <c r="K97" s="891">
        <f>前年度登録!CP94</f>
        <v>0</v>
      </c>
      <c r="L97" s="892" t="str">
        <f>前年度登録!CU94</f>
        <v>00</v>
      </c>
      <c r="M97" s="773" t="str">
        <f>前年度登録!Q94</f>
        <v/>
      </c>
      <c r="N97" s="1258">
        <f>前年度登録!D94</f>
        <v>0</v>
      </c>
      <c r="O97" s="303"/>
      <c r="P97" s="258" t="str">
        <f>IF(O97="","",IF(I97=1,VLOOKUP(O97,男子種目コード!$A$1:$B$33,2,FALSE),IF(I97=2,VLOOKUP(O97,女子種目コード!$A$1:$B$27,2,FALSE))))</f>
        <v/>
      </c>
      <c r="Q97" s="494" t="str">
        <f>IF(O97="","",HLOOKUP(O97,前年度登録!$AH$3:$CH$118,92,FALSE))</f>
        <v/>
      </c>
      <c r="R97" s="624" t="str">
        <f t="shared" si="13"/>
        <v/>
      </c>
      <c r="S97" s="625" t="str">
        <f t="shared" si="14"/>
        <v/>
      </c>
      <c r="T97" s="303"/>
      <c r="U97" s="258" t="str">
        <f>IF(T97="","",IF(I97=1,VLOOKUP(T97,男子種目コード!$A$1:$B$33,2,FALSE),IF(I97=2,VLOOKUP(T97,女子種目コード!$A$1:$B$27,2,FALSE))))</f>
        <v/>
      </c>
      <c r="V97" s="540" t="str">
        <f>IF(T97="","",HLOOKUP(T97,前年度登録!$AH$3:$CH$118,92,FALSE))</f>
        <v/>
      </c>
      <c r="W97" s="620" t="str">
        <f t="shared" si="15"/>
        <v/>
      </c>
      <c r="X97" s="625" t="str">
        <f t="shared" si="16"/>
        <v/>
      </c>
      <c r="Y97" s="158"/>
      <c r="Z97" s="163"/>
      <c r="AA97" s="161"/>
      <c r="AB97" s="164"/>
      <c r="AC97" s="165"/>
      <c r="AD97" s="157"/>
      <c r="AE97" s="158"/>
      <c r="AF97" s="159"/>
      <c r="AG97" s="162"/>
      <c r="AH97" s="657"/>
      <c r="AI97" s="657"/>
      <c r="AK97" s="142"/>
      <c r="AL97" s="769" t="str">
        <f t="shared" si="10"/>
        <v/>
      </c>
      <c r="AM97" s="721">
        <f t="shared" si="11"/>
        <v>0</v>
      </c>
      <c r="AN97" s="721">
        <f t="shared" si="12"/>
        <v>0</v>
      </c>
      <c r="AP97" s="748"/>
      <c r="AQ97" s="748"/>
      <c r="AV97" s="142"/>
      <c r="AW97" s="142"/>
      <c r="AX97" s="748"/>
      <c r="AY97" s="748"/>
      <c r="AZ97" s="748"/>
      <c r="BA97" s="1265"/>
      <c r="BB97" s="1265"/>
      <c r="BC97" s="1265"/>
      <c r="BD97" s="1265"/>
      <c r="BE97" s="1265"/>
      <c r="BF97" s="1265"/>
      <c r="BG97" s="1265"/>
    </row>
    <row r="98" spans="2:59">
      <c r="B98" s="773" t="str">
        <f>前年度登録!P95</f>
        <v/>
      </c>
      <c r="E98" s="774">
        <f>前年度登録!E95</f>
        <v>0</v>
      </c>
      <c r="F98" s="532" t="str">
        <f>前年度登録!CM95</f>
        <v/>
      </c>
      <c r="G98" s="990" t="str">
        <f>前年度登録!Z95</f>
        <v/>
      </c>
      <c r="H98" s="532" t="str">
        <f>前年度登録!CM95</f>
        <v/>
      </c>
      <c r="I98" s="185" t="str">
        <f>前年度登録!Y95</f>
        <v/>
      </c>
      <c r="J98" s="943" t="str">
        <f>前年度登録!CN95</f>
        <v/>
      </c>
      <c r="K98" s="891">
        <f>前年度登録!CP95</f>
        <v>0</v>
      </c>
      <c r="L98" s="892" t="str">
        <f>前年度登録!CU95</f>
        <v>00</v>
      </c>
      <c r="M98" s="773" t="str">
        <f>前年度登録!Q95</f>
        <v/>
      </c>
      <c r="N98" s="1258">
        <f>前年度登録!D95</f>
        <v>0</v>
      </c>
      <c r="O98" s="303"/>
      <c r="P98" s="258" t="str">
        <f>IF(O98="","",IF(I98=1,VLOOKUP(O98,男子種目コード!$A$1:$B$33,2,FALSE),IF(I98=2,VLOOKUP(O98,女子種目コード!$A$1:$B$27,2,FALSE))))</f>
        <v/>
      </c>
      <c r="Q98" s="494" t="str">
        <f>IF(O98="","",HLOOKUP(O98,前年度登録!$AH$3:$CH$118,93,FALSE))</f>
        <v/>
      </c>
      <c r="R98" s="624" t="str">
        <f t="shared" si="13"/>
        <v/>
      </c>
      <c r="S98" s="625" t="str">
        <f t="shared" si="14"/>
        <v/>
      </c>
      <c r="T98" s="303"/>
      <c r="U98" s="258" t="str">
        <f>IF(T98="","",IF(I98=1,VLOOKUP(T98,男子種目コード!$A$1:$B$33,2,FALSE),IF(I98=2,VLOOKUP(T98,女子種目コード!$A$1:$B$27,2,FALSE))))</f>
        <v/>
      </c>
      <c r="V98" s="540" t="str">
        <f>IF(T98="","",HLOOKUP(T98,前年度登録!$AH$3:$CH$118,93,FALSE))</f>
        <v/>
      </c>
      <c r="W98" s="620" t="str">
        <f t="shared" si="15"/>
        <v/>
      </c>
      <c r="X98" s="625" t="str">
        <f t="shared" si="16"/>
        <v/>
      </c>
      <c r="Y98" s="158"/>
      <c r="Z98" s="163"/>
      <c r="AA98" s="161"/>
      <c r="AB98" s="164"/>
      <c r="AC98" s="165"/>
      <c r="AD98" s="157"/>
      <c r="AE98" s="158"/>
      <c r="AF98" s="159"/>
      <c r="AG98" s="162"/>
      <c r="AH98" s="657"/>
      <c r="AI98" s="657"/>
      <c r="AK98" s="142"/>
      <c r="AL98" s="769" t="str">
        <f t="shared" si="10"/>
        <v/>
      </c>
      <c r="AM98" s="721">
        <f t="shared" si="11"/>
        <v>0</v>
      </c>
      <c r="AN98" s="721">
        <f t="shared" si="12"/>
        <v>0</v>
      </c>
      <c r="AP98" s="748"/>
      <c r="AQ98" s="748"/>
      <c r="AV98" s="142"/>
      <c r="AW98" s="142"/>
      <c r="AX98" s="748"/>
      <c r="AY98" s="748"/>
      <c r="AZ98" s="748"/>
      <c r="BA98" s="1265"/>
      <c r="BB98" s="1265"/>
      <c r="BC98" s="1265"/>
      <c r="BD98" s="1265"/>
      <c r="BE98" s="1265"/>
      <c r="BF98" s="1265"/>
      <c r="BG98" s="1265"/>
    </row>
    <row r="99" spans="2:59">
      <c r="B99" s="773" t="str">
        <f>前年度登録!P96</f>
        <v/>
      </c>
      <c r="E99" s="774">
        <f>前年度登録!E96</f>
        <v>0</v>
      </c>
      <c r="F99" s="532" t="str">
        <f>前年度登録!CM96</f>
        <v/>
      </c>
      <c r="G99" s="990" t="str">
        <f>前年度登録!Z96</f>
        <v/>
      </c>
      <c r="H99" s="532" t="str">
        <f>前年度登録!CM96</f>
        <v/>
      </c>
      <c r="I99" s="185" t="str">
        <f>前年度登録!Y96</f>
        <v/>
      </c>
      <c r="J99" s="943" t="str">
        <f>前年度登録!CN96</f>
        <v/>
      </c>
      <c r="K99" s="891">
        <f>前年度登録!CP96</f>
        <v>0</v>
      </c>
      <c r="L99" s="892" t="str">
        <f>前年度登録!CU96</f>
        <v>00</v>
      </c>
      <c r="M99" s="773" t="str">
        <f>前年度登録!Q96</f>
        <v/>
      </c>
      <c r="N99" s="1258">
        <f>前年度登録!D96</f>
        <v>0</v>
      </c>
      <c r="O99" s="303"/>
      <c r="P99" s="258" t="str">
        <f>IF(O99="","",IF(I99=1,VLOOKUP(O99,男子種目コード!$A$1:$B$33,2,FALSE),IF(I99=2,VLOOKUP(O99,女子種目コード!$A$1:$B$27,2,FALSE))))</f>
        <v/>
      </c>
      <c r="Q99" s="494" t="str">
        <f>IF(O99="","",HLOOKUP(O99,前年度登録!$AH$3:$CH$118,94,FALSE))</f>
        <v/>
      </c>
      <c r="R99" s="624" t="str">
        <f t="shared" si="13"/>
        <v/>
      </c>
      <c r="S99" s="625" t="str">
        <f t="shared" si="14"/>
        <v/>
      </c>
      <c r="T99" s="303"/>
      <c r="U99" s="258" t="str">
        <f>IF(T99="","",IF(I99=1,VLOOKUP(T99,男子種目コード!$A$1:$B$33,2,FALSE),IF(I99=2,VLOOKUP(T99,女子種目コード!$A$1:$B$27,2,FALSE))))</f>
        <v/>
      </c>
      <c r="V99" s="540" t="str">
        <f>IF(T99="","",HLOOKUP(T99,前年度登録!$AH$3:$CH$118,94,FALSE))</f>
        <v/>
      </c>
      <c r="W99" s="620" t="str">
        <f t="shared" si="15"/>
        <v/>
      </c>
      <c r="X99" s="625" t="str">
        <f t="shared" si="16"/>
        <v/>
      </c>
      <c r="Y99" s="158"/>
      <c r="Z99" s="163"/>
      <c r="AA99" s="161"/>
      <c r="AB99" s="164"/>
      <c r="AC99" s="165"/>
      <c r="AD99" s="157"/>
      <c r="AE99" s="158"/>
      <c r="AF99" s="159"/>
      <c r="AG99" s="162"/>
      <c r="AH99" s="657"/>
      <c r="AI99" s="657"/>
      <c r="AK99" s="142"/>
      <c r="AL99" s="769" t="str">
        <f t="shared" si="10"/>
        <v/>
      </c>
      <c r="AM99" s="721">
        <f t="shared" si="11"/>
        <v>0</v>
      </c>
      <c r="AN99" s="721">
        <f t="shared" si="12"/>
        <v>0</v>
      </c>
      <c r="AP99" s="748"/>
      <c r="AQ99" s="748"/>
      <c r="AV99" s="142"/>
      <c r="AW99" s="142"/>
      <c r="AX99" s="748"/>
      <c r="AY99" s="748"/>
      <c r="AZ99" s="748"/>
      <c r="BA99" s="1265"/>
      <c r="BB99" s="1265"/>
      <c r="BC99" s="1265"/>
      <c r="BD99" s="1265"/>
      <c r="BE99" s="1265"/>
      <c r="BF99" s="1265"/>
      <c r="BG99" s="1265"/>
    </row>
    <row r="100" spans="2:59">
      <c r="B100" s="773" t="str">
        <f>前年度登録!P97</f>
        <v/>
      </c>
      <c r="E100" s="774">
        <f>前年度登録!E97</f>
        <v>0</v>
      </c>
      <c r="F100" s="532" t="str">
        <f>前年度登録!CM97</f>
        <v/>
      </c>
      <c r="G100" s="990" t="str">
        <f>前年度登録!Z97</f>
        <v/>
      </c>
      <c r="H100" s="532" t="str">
        <f>前年度登録!CM97</f>
        <v/>
      </c>
      <c r="I100" s="185" t="str">
        <f>前年度登録!Y97</f>
        <v/>
      </c>
      <c r="J100" s="943" t="str">
        <f>前年度登録!CN97</f>
        <v/>
      </c>
      <c r="K100" s="891">
        <f>前年度登録!CP97</f>
        <v>0</v>
      </c>
      <c r="L100" s="892" t="str">
        <f>前年度登録!CU97</f>
        <v>00</v>
      </c>
      <c r="M100" s="773" t="str">
        <f>前年度登録!Q97</f>
        <v/>
      </c>
      <c r="N100" s="1258">
        <f>前年度登録!D97</f>
        <v>0</v>
      </c>
      <c r="O100" s="303"/>
      <c r="P100" s="258" t="str">
        <f>IF(O100="","",IF(I100=1,VLOOKUP(O100,男子種目コード!$A$1:$B$33,2,FALSE),IF(I100=2,VLOOKUP(O100,女子種目コード!$A$1:$B$27,2,FALSE))))</f>
        <v/>
      </c>
      <c r="Q100" s="494" t="str">
        <f>IF(O100="","",HLOOKUP(O100,前年度登録!$AH$3:$CH$118,95,FALSE))</f>
        <v/>
      </c>
      <c r="R100" s="624" t="str">
        <f t="shared" si="13"/>
        <v/>
      </c>
      <c r="S100" s="625" t="str">
        <f t="shared" si="14"/>
        <v/>
      </c>
      <c r="T100" s="303"/>
      <c r="U100" s="258" t="str">
        <f>IF(T100="","",IF(I100=1,VLOOKUP(T100,男子種目コード!$A$1:$B$33,2,FALSE),IF(I100=2,VLOOKUP(T100,女子種目コード!$A$1:$B$27,2,FALSE))))</f>
        <v/>
      </c>
      <c r="V100" s="540" t="str">
        <f>IF(T100="","",HLOOKUP(T100,前年度登録!$AH$3:$CH$118,95,FALSE))</f>
        <v/>
      </c>
      <c r="W100" s="620" t="str">
        <f t="shared" si="15"/>
        <v/>
      </c>
      <c r="X100" s="625" t="str">
        <f t="shared" si="16"/>
        <v/>
      </c>
      <c r="Y100" s="158"/>
      <c r="Z100" s="163"/>
      <c r="AA100" s="161"/>
      <c r="AB100" s="164"/>
      <c r="AC100" s="165"/>
      <c r="AD100" s="157"/>
      <c r="AE100" s="158"/>
      <c r="AF100" s="159"/>
      <c r="AG100" s="162"/>
      <c r="AH100" s="657"/>
      <c r="AI100" s="657"/>
      <c r="AK100" s="142"/>
      <c r="AL100" s="769" t="str">
        <f t="shared" si="10"/>
        <v/>
      </c>
      <c r="AM100" s="721">
        <f t="shared" si="11"/>
        <v>0</v>
      </c>
      <c r="AN100" s="721">
        <f t="shared" si="12"/>
        <v>0</v>
      </c>
      <c r="AP100" s="748"/>
      <c r="AQ100" s="748"/>
      <c r="AV100" s="142"/>
      <c r="AW100" s="142"/>
      <c r="AX100" s="748"/>
      <c r="AY100" s="748"/>
      <c r="AZ100" s="748"/>
      <c r="BA100" s="1265"/>
      <c r="BB100" s="1265"/>
      <c r="BC100" s="1265"/>
      <c r="BD100" s="1265"/>
      <c r="BE100" s="1265"/>
      <c r="BF100" s="1265"/>
      <c r="BG100" s="1265"/>
    </row>
    <row r="101" spans="2:59">
      <c r="B101" s="773" t="str">
        <f>前年度登録!P98</f>
        <v/>
      </c>
      <c r="E101" s="774">
        <f>前年度登録!E98</f>
        <v>0</v>
      </c>
      <c r="F101" s="532" t="str">
        <f>前年度登録!CM98</f>
        <v/>
      </c>
      <c r="G101" s="990" t="str">
        <f>前年度登録!Z98</f>
        <v/>
      </c>
      <c r="H101" s="532" t="str">
        <f>前年度登録!CM98</f>
        <v/>
      </c>
      <c r="I101" s="185" t="str">
        <f>前年度登録!Y98</f>
        <v/>
      </c>
      <c r="J101" s="943" t="str">
        <f>前年度登録!CN98</f>
        <v/>
      </c>
      <c r="K101" s="891">
        <f>前年度登録!CP98</f>
        <v>0</v>
      </c>
      <c r="L101" s="892" t="str">
        <f>前年度登録!CU98</f>
        <v>00</v>
      </c>
      <c r="M101" s="773" t="str">
        <f>前年度登録!Q98</f>
        <v/>
      </c>
      <c r="N101" s="1258">
        <f>前年度登録!D98</f>
        <v>0</v>
      </c>
      <c r="O101" s="303"/>
      <c r="P101" s="258" t="str">
        <f>IF(O101="","",IF(I101=1,VLOOKUP(O101,男子種目コード!$A$1:$B$33,2,FALSE),IF(I101=2,VLOOKUP(O101,女子種目コード!$A$1:$B$27,2,FALSE))))</f>
        <v/>
      </c>
      <c r="Q101" s="494" t="str">
        <f>IF(O101="","",HLOOKUP(O101,前年度登録!$AH$3:$CH$118,96,FALSE))</f>
        <v/>
      </c>
      <c r="R101" s="624" t="str">
        <f t="shared" si="13"/>
        <v/>
      </c>
      <c r="S101" s="625" t="str">
        <f t="shared" si="14"/>
        <v/>
      </c>
      <c r="T101" s="303"/>
      <c r="U101" s="258" t="str">
        <f>IF(T101="","",IF(I101=1,VLOOKUP(T101,男子種目コード!$A$1:$B$33,2,FALSE),IF(I101=2,VLOOKUP(T101,女子種目コード!$A$1:$B$27,2,FALSE))))</f>
        <v/>
      </c>
      <c r="V101" s="540" t="str">
        <f>IF(T101="","",HLOOKUP(T101,前年度登録!$AH$3:$CH$118,96,FALSE))</f>
        <v/>
      </c>
      <c r="W101" s="620" t="str">
        <f t="shared" si="15"/>
        <v/>
      </c>
      <c r="X101" s="625" t="str">
        <f t="shared" si="16"/>
        <v/>
      </c>
      <c r="Y101" s="158"/>
      <c r="Z101" s="163"/>
      <c r="AA101" s="161"/>
      <c r="AB101" s="164"/>
      <c r="AC101" s="165"/>
      <c r="AD101" s="157"/>
      <c r="AE101" s="158"/>
      <c r="AF101" s="159"/>
      <c r="AG101" s="162"/>
      <c r="AH101" s="657"/>
      <c r="AI101" s="657"/>
      <c r="AK101" s="142"/>
      <c r="AL101" s="769" t="str">
        <f t="shared" si="10"/>
        <v/>
      </c>
      <c r="AM101" s="721">
        <f t="shared" si="11"/>
        <v>0</v>
      </c>
      <c r="AN101" s="721">
        <f t="shared" si="12"/>
        <v>0</v>
      </c>
      <c r="AP101" s="748"/>
      <c r="AQ101" s="748"/>
      <c r="AV101" s="142"/>
      <c r="AW101" s="142"/>
      <c r="AX101" s="748"/>
      <c r="AY101" s="748"/>
      <c r="AZ101" s="748"/>
      <c r="BA101" s="1265"/>
      <c r="BB101" s="1265"/>
      <c r="BC101" s="1265"/>
      <c r="BD101" s="1265"/>
      <c r="BE101" s="1265"/>
      <c r="BF101" s="1265"/>
      <c r="BG101" s="1265"/>
    </row>
    <row r="102" spans="2:59">
      <c r="B102" s="773" t="str">
        <f>前年度登録!P99</f>
        <v/>
      </c>
      <c r="E102" s="774">
        <f>前年度登録!E99</f>
        <v>0</v>
      </c>
      <c r="F102" s="532" t="str">
        <f>前年度登録!CM99</f>
        <v/>
      </c>
      <c r="G102" s="990" t="str">
        <f>前年度登録!Z99</f>
        <v/>
      </c>
      <c r="H102" s="532" t="str">
        <f>前年度登録!CM99</f>
        <v/>
      </c>
      <c r="I102" s="185" t="str">
        <f>前年度登録!Y99</f>
        <v/>
      </c>
      <c r="J102" s="943" t="str">
        <f>前年度登録!CN99</f>
        <v/>
      </c>
      <c r="K102" s="891">
        <f>前年度登録!CP99</f>
        <v>0</v>
      </c>
      <c r="L102" s="892" t="str">
        <f>前年度登録!CU99</f>
        <v>00</v>
      </c>
      <c r="M102" s="773" t="str">
        <f>前年度登録!Q99</f>
        <v/>
      </c>
      <c r="N102" s="1258">
        <f>前年度登録!D99</f>
        <v>0</v>
      </c>
      <c r="O102" s="303"/>
      <c r="P102" s="258" t="str">
        <f>IF(O102="","",IF(I102=1,VLOOKUP(O102,男子種目コード!$A$1:$B$33,2,FALSE),IF(I102=2,VLOOKUP(O102,女子種目コード!$A$1:$B$27,2,FALSE))))</f>
        <v/>
      </c>
      <c r="Q102" s="494" t="str">
        <f>IF(O102="","",HLOOKUP(O102,前年度登録!$AH$3:$CH$118,97,FALSE))</f>
        <v/>
      </c>
      <c r="R102" s="624" t="str">
        <f t="shared" si="13"/>
        <v/>
      </c>
      <c r="S102" s="625" t="str">
        <f t="shared" si="14"/>
        <v/>
      </c>
      <c r="T102" s="303"/>
      <c r="U102" s="258" t="str">
        <f>IF(T102="","",IF(I102=1,VLOOKUP(T102,男子種目コード!$A$1:$B$33,2,FALSE),IF(I102=2,VLOOKUP(T102,女子種目コード!$A$1:$B$27,2,FALSE))))</f>
        <v/>
      </c>
      <c r="V102" s="540" t="str">
        <f>IF(T102="","",HLOOKUP(T102,前年度登録!$AH$3:$CH$118,97,FALSE))</f>
        <v/>
      </c>
      <c r="W102" s="620" t="str">
        <f t="shared" si="15"/>
        <v/>
      </c>
      <c r="X102" s="625" t="str">
        <f t="shared" si="16"/>
        <v/>
      </c>
      <c r="Y102" s="158"/>
      <c r="Z102" s="163"/>
      <c r="AA102" s="161"/>
      <c r="AB102" s="164"/>
      <c r="AC102" s="165"/>
      <c r="AD102" s="157"/>
      <c r="AE102" s="158"/>
      <c r="AF102" s="159"/>
      <c r="AG102" s="162"/>
      <c r="AH102" s="657"/>
      <c r="AI102" s="657"/>
      <c r="AK102" s="142"/>
      <c r="AL102" s="769" t="str">
        <f t="shared" si="10"/>
        <v/>
      </c>
      <c r="AM102" s="721">
        <f t="shared" si="11"/>
        <v>0</v>
      </c>
      <c r="AN102" s="721">
        <f t="shared" si="12"/>
        <v>0</v>
      </c>
      <c r="AP102" s="748"/>
      <c r="AQ102" s="748"/>
      <c r="AV102" s="142"/>
      <c r="AW102" s="142"/>
      <c r="AX102" s="748"/>
      <c r="AY102" s="748"/>
      <c r="AZ102" s="748"/>
      <c r="BA102" s="1265"/>
      <c r="BB102" s="1265"/>
      <c r="BC102" s="1265"/>
      <c r="BD102" s="1265"/>
      <c r="BE102" s="1265"/>
      <c r="BF102" s="1265"/>
      <c r="BG102" s="1265"/>
    </row>
    <row r="103" spans="2:59">
      <c r="B103" s="773" t="str">
        <f>前年度登録!P100</f>
        <v/>
      </c>
      <c r="E103" s="774">
        <f>前年度登録!E100</f>
        <v>0</v>
      </c>
      <c r="F103" s="532" t="str">
        <f>前年度登録!CM100</f>
        <v/>
      </c>
      <c r="G103" s="990" t="str">
        <f>前年度登録!Z100</f>
        <v/>
      </c>
      <c r="H103" s="532" t="str">
        <f>前年度登録!CM100</f>
        <v/>
      </c>
      <c r="I103" s="185" t="str">
        <f>前年度登録!Y100</f>
        <v/>
      </c>
      <c r="J103" s="943" t="str">
        <f>前年度登録!CN100</f>
        <v/>
      </c>
      <c r="K103" s="891">
        <f>前年度登録!CP100</f>
        <v>0</v>
      </c>
      <c r="L103" s="892" t="str">
        <f>前年度登録!CU100</f>
        <v>00</v>
      </c>
      <c r="M103" s="773" t="str">
        <f>前年度登録!Q100</f>
        <v/>
      </c>
      <c r="N103" s="1258">
        <f>前年度登録!D100</f>
        <v>0</v>
      </c>
      <c r="O103" s="303"/>
      <c r="P103" s="258" t="str">
        <f>IF(O103="","",IF(I103=1,VLOOKUP(O103,男子種目コード!$A$1:$B$33,2,FALSE),IF(I103=2,VLOOKUP(O103,女子種目コード!$A$1:$B$27,2,FALSE))))</f>
        <v/>
      </c>
      <c r="Q103" s="494" t="str">
        <f>IF(O103="","",HLOOKUP(O103,前年度登録!$AH$3:$CH$118,98,FALSE))</f>
        <v/>
      </c>
      <c r="R103" s="624" t="str">
        <f t="shared" si="13"/>
        <v/>
      </c>
      <c r="S103" s="625" t="str">
        <f t="shared" si="14"/>
        <v/>
      </c>
      <c r="T103" s="303"/>
      <c r="U103" s="258" t="str">
        <f>IF(T103="","",IF(I103=1,VLOOKUP(T103,男子種目コード!$A$1:$B$33,2,FALSE),IF(I103=2,VLOOKUP(T103,女子種目コード!$A$1:$B$27,2,FALSE))))</f>
        <v/>
      </c>
      <c r="V103" s="540" t="str">
        <f>IF(T103="","",HLOOKUP(T103,前年度登録!$AH$3:$CH$118,98,FALSE))</f>
        <v/>
      </c>
      <c r="W103" s="620" t="str">
        <f t="shared" si="15"/>
        <v/>
      </c>
      <c r="X103" s="625" t="str">
        <f t="shared" si="16"/>
        <v/>
      </c>
      <c r="Y103" s="158"/>
      <c r="Z103" s="163"/>
      <c r="AA103" s="161"/>
      <c r="AB103" s="164"/>
      <c r="AC103" s="165"/>
      <c r="AD103" s="157"/>
      <c r="AE103" s="158"/>
      <c r="AF103" s="159"/>
      <c r="AG103" s="162"/>
      <c r="AH103" s="657"/>
      <c r="AI103" s="657"/>
      <c r="AK103" s="142"/>
      <c r="AL103" s="769" t="str">
        <f t="shared" ref="AL103:AL116" si="17">IF(O103="","",1)</f>
        <v/>
      </c>
      <c r="AM103" s="721">
        <f t="shared" ref="AM103:AM116" si="18">IF(OR(AL103=1,T103=""),0,1)</f>
        <v>0</v>
      </c>
      <c r="AN103" s="721">
        <f t="shared" ref="AN103:AN116" si="19">IF(OR(AL103=1,AM103=1,AB103=""),0,1)</f>
        <v>0</v>
      </c>
      <c r="AP103" s="748"/>
      <c r="AQ103" s="748"/>
      <c r="AV103" s="142"/>
      <c r="AW103" s="142"/>
      <c r="AX103" s="748"/>
      <c r="AY103" s="748"/>
      <c r="AZ103" s="748"/>
      <c r="BA103" s="1265"/>
      <c r="BB103" s="1265"/>
      <c r="BC103" s="1265"/>
      <c r="BD103" s="1265"/>
      <c r="BE103" s="1265"/>
      <c r="BF103" s="1265"/>
      <c r="BG103" s="1265"/>
    </row>
    <row r="104" spans="2:59">
      <c r="B104" s="773" t="str">
        <f>前年度登録!P101</f>
        <v/>
      </c>
      <c r="E104" s="774">
        <f>前年度登録!E101</f>
        <v>0</v>
      </c>
      <c r="F104" s="532" t="str">
        <f>前年度登録!CM101</f>
        <v/>
      </c>
      <c r="G104" s="990" t="str">
        <f>前年度登録!Z101</f>
        <v/>
      </c>
      <c r="H104" s="532" t="str">
        <f>前年度登録!CM101</f>
        <v/>
      </c>
      <c r="I104" s="185" t="str">
        <f>前年度登録!Y101</f>
        <v/>
      </c>
      <c r="J104" s="943" t="str">
        <f>前年度登録!CN101</f>
        <v/>
      </c>
      <c r="K104" s="891">
        <f>前年度登録!CP101</f>
        <v>0</v>
      </c>
      <c r="L104" s="892" t="str">
        <f>前年度登録!CU101</f>
        <v>00</v>
      </c>
      <c r="M104" s="773" t="str">
        <f>前年度登録!Q101</f>
        <v/>
      </c>
      <c r="N104" s="1258">
        <f>前年度登録!D101</f>
        <v>0</v>
      </c>
      <c r="O104" s="303"/>
      <c r="P104" s="258" t="str">
        <f>IF(O104="","",IF(I104=1,VLOOKUP(O104,男子種目コード!$A$1:$B$33,2,FALSE),IF(I104=2,VLOOKUP(O104,女子種目コード!$A$1:$B$27,2,FALSE))))</f>
        <v/>
      </c>
      <c r="Q104" s="494" t="str">
        <f>IF(O104="","",HLOOKUP(O104,前年度登録!$AH$3:$CH$118,99,FALSE))</f>
        <v/>
      </c>
      <c r="R104" s="624" t="str">
        <f t="shared" si="13"/>
        <v/>
      </c>
      <c r="S104" s="625" t="str">
        <f t="shared" si="14"/>
        <v/>
      </c>
      <c r="T104" s="303"/>
      <c r="U104" s="258" t="str">
        <f>IF(T104="","",IF(I104=1,VLOOKUP(T104,男子種目コード!$A$1:$B$33,2,FALSE),IF(I104=2,VLOOKUP(T104,女子種目コード!$A$1:$B$27,2,FALSE))))</f>
        <v/>
      </c>
      <c r="V104" s="540" t="str">
        <f>IF(T104="","",HLOOKUP(T104,前年度登録!$AH$3:$CH$118,99,FALSE))</f>
        <v/>
      </c>
      <c r="W104" s="620" t="str">
        <f t="shared" si="15"/>
        <v/>
      </c>
      <c r="X104" s="625" t="str">
        <f t="shared" si="16"/>
        <v/>
      </c>
      <c r="Y104" s="158"/>
      <c r="Z104" s="163"/>
      <c r="AA104" s="161"/>
      <c r="AB104" s="164"/>
      <c r="AC104" s="165"/>
      <c r="AD104" s="157"/>
      <c r="AE104" s="158"/>
      <c r="AF104" s="159"/>
      <c r="AG104" s="162"/>
      <c r="AH104" s="657"/>
      <c r="AI104" s="657"/>
      <c r="AK104" s="142"/>
      <c r="AL104" s="769" t="str">
        <f t="shared" si="17"/>
        <v/>
      </c>
      <c r="AM104" s="721">
        <f t="shared" si="18"/>
        <v>0</v>
      </c>
      <c r="AN104" s="721">
        <f t="shared" si="19"/>
        <v>0</v>
      </c>
      <c r="AP104" s="748"/>
      <c r="AQ104" s="748"/>
      <c r="AV104" s="142"/>
      <c r="AW104" s="142"/>
      <c r="AX104" s="748"/>
      <c r="AY104" s="748"/>
      <c r="AZ104" s="748"/>
      <c r="BA104" s="1265"/>
      <c r="BB104" s="1265"/>
      <c r="BC104" s="1265"/>
      <c r="BD104" s="1265"/>
      <c r="BE104" s="1265"/>
      <c r="BF104" s="1265"/>
      <c r="BG104" s="1265"/>
    </row>
    <row r="105" spans="2:59">
      <c r="B105" s="773" t="str">
        <f>前年度登録!P102</f>
        <v/>
      </c>
      <c r="E105" s="774">
        <f>前年度登録!E102</f>
        <v>0</v>
      </c>
      <c r="F105" s="532" t="str">
        <f>前年度登録!CM102</f>
        <v/>
      </c>
      <c r="G105" s="990" t="str">
        <f>前年度登録!Z102</f>
        <v/>
      </c>
      <c r="H105" s="532" t="str">
        <f>前年度登録!CM102</f>
        <v/>
      </c>
      <c r="I105" s="185" t="str">
        <f>前年度登録!Y102</f>
        <v/>
      </c>
      <c r="J105" s="943" t="str">
        <f>前年度登録!CN102</f>
        <v/>
      </c>
      <c r="K105" s="891">
        <f>前年度登録!CP102</f>
        <v>0</v>
      </c>
      <c r="L105" s="892" t="str">
        <f>前年度登録!CU102</f>
        <v>00</v>
      </c>
      <c r="M105" s="773" t="str">
        <f>前年度登録!Q102</f>
        <v/>
      </c>
      <c r="N105" s="1258">
        <f>前年度登録!D102</f>
        <v>0</v>
      </c>
      <c r="O105" s="303"/>
      <c r="P105" s="258" t="str">
        <f>IF(O105="","",IF(I105=1,VLOOKUP(O105,男子種目コード!$A$1:$B$33,2,FALSE),IF(I105=2,VLOOKUP(O105,女子種目コード!$A$1:$B$27,2,FALSE))))</f>
        <v/>
      </c>
      <c r="Q105" s="494" t="str">
        <f>IF(O105="","",HLOOKUP(O105,前年度登録!$AH$3:$CH$118,100,FALSE))</f>
        <v/>
      </c>
      <c r="R105" s="624" t="str">
        <f t="shared" si="13"/>
        <v/>
      </c>
      <c r="S105" s="625" t="str">
        <f t="shared" si="14"/>
        <v/>
      </c>
      <c r="T105" s="303"/>
      <c r="U105" s="258" t="str">
        <f>IF(T105="","",IF(I105=1,VLOOKUP(T105,男子種目コード!$A$1:$B$33,2,FALSE),IF(I105=2,VLOOKUP(T105,女子種目コード!$A$1:$B$27,2,FALSE))))</f>
        <v/>
      </c>
      <c r="V105" s="540" t="str">
        <f>IF(T105="","",HLOOKUP(T105,前年度登録!$AH$3:$CH$118,100,FALSE))</f>
        <v/>
      </c>
      <c r="W105" s="620" t="str">
        <f t="shared" si="15"/>
        <v/>
      </c>
      <c r="X105" s="625" t="str">
        <f t="shared" si="16"/>
        <v/>
      </c>
      <c r="Y105" s="158"/>
      <c r="Z105" s="163"/>
      <c r="AA105" s="161"/>
      <c r="AB105" s="164"/>
      <c r="AC105" s="165"/>
      <c r="AD105" s="157"/>
      <c r="AE105" s="158"/>
      <c r="AF105" s="159"/>
      <c r="AG105" s="162"/>
      <c r="AH105" s="657"/>
      <c r="AI105" s="657"/>
      <c r="AK105" s="142"/>
      <c r="AL105" s="769" t="str">
        <f t="shared" si="17"/>
        <v/>
      </c>
      <c r="AM105" s="721">
        <f t="shared" si="18"/>
        <v>0</v>
      </c>
      <c r="AN105" s="721">
        <f t="shared" si="19"/>
        <v>0</v>
      </c>
      <c r="AP105" s="748"/>
      <c r="AQ105" s="748"/>
      <c r="AV105" s="142"/>
      <c r="AW105" s="142"/>
      <c r="AX105" s="748"/>
      <c r="AY105" s="748"/>
      <c r="AZ105" s="748"/>
      <c r="BA105" s="1265"/>
      <c r="BB105" s="1265"/>
      <c r="BC105" s="1265"/>
      <c r="BD105" s="1265"/>
      <c r="BE105" s="1265"/>
      <c r="BF105" s="1265"/>
      <c r="BG105" s="1265"/>
    </row>
    <row r="106" spans="2:59">
      <c r="B106" s="773" t="str">
        <f>前年度登録!P103</f>
        <v/>
      </c>
      <c r="E106" s="774">
        <f>前年度登録!E103</f>
        <v>0</v>
      </c>
      <c r="F106" s="532" t="str">
        <f>前年度登録!CM103</f>
        <v/>
      </c>
      <c r="G106" s="990" t="str">
        <f>前年度登録!Z103</f>
        <v/>
      </c>
      <c r="H106" s="532" t="str">
        <f>前年度登録!CM103</f>
        <v/>
      </c>
      <c r="I106" s="185" t="str">
        <f>前年度登録!Y103</f>
        <v/>
      </c>
      <c r="J106" s="943" t="str">
        <f>前年度登録!CN103</f>
        <v/>
      </c>
      <c r="K106" s="891">
        <f>前年度登録!CP103</f>
        <v>0</v>
      </c>
      <c r="L106" s="892" t="str">
        <f>前年度登録!CU103</f>
        <v>00</v>
      </c>
      <c r="M106" s="773" t="str">
        <f>前年度登録!Q103</f>
        <v/>
      </c>
      <c r="N106" s="1258">
        <f>前年度登録!D103</f>
        <v>0</v>
      </c>
      <c r="O106" s="303"/>
      <c r="P106" s="258" t="str">
        <f>IF(O106="","",IF(I106=1,VLOOKUP(O106,男子種目コード!$A$1:$B$33,2,FALSE),IF(I106=2,VLOOKUP(O106,女子種目コード!$A$1:$B$27,2,FALSE))))</f>
        <v/>
      </c>
      <c r="Q106" s="494" t="str">
        <f>IF(O106="","",HLOOKUP(O106,前年度登録!$AH$3:$CH$118,101,FALSE))</f>
        <v/>
      </c>
      <c r="R106" s="624" t="str">
        <f t="shared" si="13"/>
        <v/>
      </c>
      <c r="S106" s="625" t="str">
        <f t="shared" si="14"/>
        <v/>
      </c>
      <c r="T106" s="303"/>
      <c r="U106" s="258" t="str">
        <f>IF(T106="","",IF(I106=1,VLOOKUP(T106,男子種目コード!$A$1:$B$33,2,FALSE),IF(I106=2,VLOOKUP(T106,女子種目コード!$A$1:$B$27,2,FALSE))))</f>
        <v/>
      </c>
      <c r="V106" s="540" t="str">
        <f>IF(T106="","",HLOOKUP(T106,前年度登録!$AH$3:$CH$118,101,FALSE))</f>
        <v/>
      </c>
      <c r="W106" s="620" t="str">
        <f t="shared" si="15"/>
        <v/>
      </c>
      <c r="X106" s="625" t="str">
        <f t="shared" si="16"/>
        <v/>
      </c>
      <c r="Y106" s="158"/>
      <c r="Z106" s="163"/>
      <c r="AA106" s="161"/>
      <c r="AB106" s="164"/>
      <c r="AC106" s="165"/>
      <c r="AD106" s="157"/>
      <c r="AE106" s="158"/>
      <c r="AF106" s="159"/>
      <c r="AG106" s="162"/>
      <c r="AH106" s="657"/>
      <c r="AI106" s="657"/>
      <c r="AK106" s="142"/>
      <c r="AL106" s="769" t="str">
        <f t="shared" si="17"/>
        <v/>
      </c>
      <c r="AM106" s="721">
        <f t="shared" si="18"/>
        <v>0</v>
      </c>
      <c r="AN106" s="721">
        <f t="shared" si="19"/>
        <v>0</v>
      </c>
      <c r="AP106" s="748"/>
      <c r="AQ106" s="748"/>
      <c r="AV106" s="142"/>
      <c r="AW106" s="142"/>
      <c r="AX106" s="748"/>
      <c r="AY106" s="748"/>
      <c r="AZ106" s="748"/>
      <c r="BA106" s="1265"/>
      <c r="BB106" s="1265"/>
      <c r="BC106" s="1265"/>
      <c r="BD106" s="1265"/>
      <c r="BE106" s="1265"/>
      <c r="BF106" s="1265"/>
      <c r="BG106" s="1265"/>
    </row>
    <row r="107" spans="2:59">
      <c r="B107" s="773" t="str">
        <f>前年度登録!P104</f>
        <v/>
      </c>
      <c r="E107" s="774">
        <f>前年度登録!E104</f>
        <v>0</v>
      </c>
      <c r="F107" s="532" t="str">
        <f>前年度登録!CM104</f>
        <v/>
      </c>
      <c r="G107" s="990" t="str">
        <f>前年度登録!Z104</f>
        <v/>
      </c>
      <c r="H107" s="532" t="str">
        <f>前年度登録!CM104</f>
        <v/>
      </c>
      <c r="I107" s="185" t="str">
        <f>前年度登録!Y104</f>
        <v/>
      </c>
      <c r="J107" s="943" t="str">
        <f>前年度登録!CN104</f>
        <v/>
      </c>
      <c r="K107" s="891">
        <f>前年度登録!CP104</f>
        <v>0</v>
      </c>
      <c r="L107" s="892" t="str">
        <f>前年度登録!CU104</f>
        <v>00</v>
      </c>
      <c r="M107" s="773" t="str">
        <f>前年度登録!Q104</f>
        <v/>
      </c>
      <c r="N107" s="1258">
        <f>前年度登録!D104</f>
        <v>0</v>
      </c>
      <c r="O107" s="303"/>
      <c r="P107" s="258" t="str">
        <f>IF(O107="","",IF(I107=1,VLOOKUP(O107,男子種目コード!$A$1:$B$33,2,FALSE),IF(I107=2,VLOOKUP(O107,女子種目コード!$A$1:$B$27,2,FALSE))))</f>
        <v/>
      </c>
      <c r="Q107" s="494" t="str">
        <f>IF(O107="","",HLOOKUP(O107,前年度登録!$AH$3:$CH$118,102,FALSE))</f>
        <v/>
      </c>
      <c r="R107" s="624" t="str">
        <f t="shared" si="13"/>
        <v/>
      </c>
      <c r="S107" s="625" t="str">
        <f t="shared" si="14"/>
        <v/>
      </c>
      <c r="T107" s="303"/>
      <c r="U107" s="258" t="str">
        <f>IF(T107="","",IF(I107=1,VLOOKUP(T107,男子種目コード!$A$1:$B$33,2,FALSE),IF(I107=2,VLOOKUP(T107,女子種目コード!$A$1:$B$27,2,FALSE))))</f>
        <v/>
      </c>
      <c r="V107" s="540" t="str">
        <f>IF(T107="","",HLOOKUP(T107,前年度登録!$AH$3:$CH$118,102,FALSE))</f>
        <v/>
      </c>
      <c r="W107" s="620" t="str">
        <f t="shared" si="15"/>
        <v/>
      </c>
      <c r="X107" s="625" t="str">
        <f t="shared" si="16"/>
        <v/>
      </c>
      <c r="Y107" s="158"/>
      <c r="Z107" s="163"/>
      <c r="AA107" s="161"/>
      <c r="AB107" s="164"/>
      <c r="AC107" s="165"/>
      <c r="AD107" s="157"/>
      <c r="AE107" s="158"/>
      <c r="AF107" s="159"/>
      <c r="AG107" s="162"/>
      <c r="AH107" s="657"/>
      <c r="AI107" s="657"/>
      <c r="AK107" s="142"/>
      <c r="AL107" s="769" t="str">
        <f t="shared" si="17"/>
        <v/>
      </c>
      <c r="AM107" s="721">
        <f t="shared" si="18"/>
        <v>0</v>
      </c>
      <c r="AN107" s="721">
        <f t="shared" si="19"/>
        <v>0</v>
      </c>
      <c r="AP107" s="748"/>
      <c r="AQ107" s="748"/>
      <c r="AV107" s="142"/>
      <c r="AW107" s="142"/>
      <c r="AX107" s="748"/>
      <c r="AY107" s="748"/>
      <c r="AZ107" s="748"/>
      <c r="BA107" s="1265"/>
      <c r="BB107" s="1265"/>
      <c r="BC107" s="1265"/>
      <c r="BD107" s="1265"/>
      <c r="BE107" s="1265"/>
      <c r="BF107" s="1265"/>
      <c r="BG107" s="1265"/>
    </row>
    <row r="108" spans="2:59">
      <c r="B108" s="773" t="str">
        <f>前年度登録!P105</f>
        <v/>
      </c>
      <c r="E108" s="774">
        <f>前年度登録!E105</f>
        <v>0</v>
      </c>
      <c r="F108" s="532" t="str">
        <f>前年度登録!CM105</f>
        <v/>
      </c>
      <c r="G108" s="990" t="str">
        <f>前年度登録!Z105</f>
        <v/>
      </c>
      <c r="H108" s="532" t="str">
        <f>前年度登録!CM105</f>
        <v/>
      </c>
      <c r="I108" s="185" t="str">
        <f>前年度登録!Y105</f>
        <v/>
      </c>
      <c r="J108" s="943" t="str">
        <f>前年度登録!CN105</f>
        <v/>
      </c>
      <c r="K108" s="891">
        <f>前年度登録!CP105</f>
        <v>0</v>
      </c>
      <c r="L108" s="892" t="str">
        <f>前年度登録!CU105</f>
        <v>00</v>
      </c>
      <c r="M108" s="773" t="str">
        <f>前年度登録!Q105</f>
        <v/>
      </c>
      <c r="N108" s="1258">
        <f>前年度登録!D105</f>
        <v>0</v>
      </c>
      <c r="O108" s="303"/>
      <c r="P108" s="258" t="str">
        <f>IF(O108="","",IF(I108=1,VLOOKUP(O108,男子種目コード!$A$1:$B$33,2,FALSE),IF(I108=2,VLOOKUP(O108,女子種目コード!$A$1:$B$27,2,FALSE))))</f>
        <v/>
      </c>
      <c r="Q108" s="494" t="str">
        <f>IF(O108="","",HLOOKUP(O108,前年度登録!$AH$3:$CH$118,103,FALSE))</f>
        <v/>
      </c>
      <c r="R108" s="624" t="str">
        <f t="shared" si="13"/>
        <v/>
      </c>
      <c r="S108" s="625" t="str">
        <f t="shared" si="14"/>
        <v/>
      </c>
      <c r="T108" s="303"/>
      <c r="U108" s="258" t="str">
        <f>IF(T108="","",IF(I108=1,VLOOKUP(T108,男子種目コード!$A$1:$B$33,2,FALSE),IF(I108=2,VLOOKUP(T108,女子種目コード!$A$1:$B$27,2,FALSE))))</f>
        <v/>
      </c>
      <c r="V108" s="540" t="str">
        <f>IF(T108="","",HLOOKUP(T108,前年度登録!$AH$3:$CH$118,103,FALSE))</f>
        <v/>
      </c>
      <c r="W108" s="620" t="str">
        <f t="shared" si="15"/>
        <v/>
      </c>
      <c r="X108" s="625" t="str">
        <f t="shared" si="16"/>
        <v/>
      </c>
      <c r="Y108" s="158"/>
      <c r="Z108" s="163"/>
      <c r="AA108" s="161"/>
      <c r="AB108" s="164"/>
      <c r="AC108" s="165"/>
      <c r="AD108" s="157"/>
      <c r="AE108" s="158"/>
      <c r="AF108" s="159"/>
      <c r="AG108" s="162"/>
      <c r="AH108" s="657"/>
      <c r="AI108" s="657"/>
      <c r="AK108" s="142"/>
      <c r="AL108" s="769" t="str">
        <f t="shared" si="17"/>
        <v/>
      </c>
      <c r="AM108" s="721">
        <f t="shared" si="18"/>
        <v>0</v>
      </c>
      <c r="AN108" s="721">
        <f t="shared" si="19"/>
        <v>0</v>
      </c>
      <c r="AP108" s="748"/>
      <c r="AQ108" s="748"/>
      <c r="AV108" s="142"/>
      <c r="AW108" s="142"/>
      <c r="AX108" s="748"/>
      <c r="AY108" s="748"/>
      <c r="AZ108" s="748"/>
      <c r="BA108" s="1265"/>
      <c r="BB108" s="1265"/>
      <c r="BC108" s="1265"/>
      <c r="BD108" s="1265"/>
      <c r="BE108" s="1265"/>
      <c r="BF108" s="1265"/>
      <c r="BG108" s="1265"/>
    </row>
    <row r="109" spans="2:59">
      <c r="B109" s="773" t="str">
        <f>前年度登録!P106</f>
        <v/>
      </c>
      <c r="E109" s="774">
        <f>前年度登録!E106</f>
        <v>0</v>
      </c>
      <c r="F109" s="532" t="str">
        <f>前年度登録!CM106</f>
        <v/>
      </c>
      <c r="G109" s="990" t="str">
        <f>前年度登録!Z106</f>
        <v/>
      </c>
      <c r="H109" s="532" t="str">
        <f>前年度登録!CM106</f>
        <v/>
      </c>
      <c r="I109" s="185" t="str">
        <f>前年度登録!Y106</f>
        <v/>
      </c>
      <c r="J109" s="943" t="str">
        <f>前年度登録!CN106</f>
        <v/>
      </c>
      <c r="K109" s="891">
        <f>前年度登録!CP106</f>
        <v>0</v>
      </c>
      <c r="L109" s="892" t="str">
        <f>前年度登録!CU106</f>
        <v>00</v>
      </c>
      <c r="M109" s="773" t="str">
        <f>前年度登録!Q106</f>
        <v/>
      </c>
      <c r="N109" s="1258">
        <f>前年度登録!D106</f>
        <v>0</v>
      </c>
      <c r="O109" s="303"/>
      <c r="P109" s="258" t="str">
        <f>IF(O109="","",IF(I109=1,VLOOKUP(O109,男子種目コード!$A$1:$B$33,2,FALSE),IF(I109=2,VLOOKUP(O109,女子種目コード!$A$1:$B$27,2,FALSE))))</f>
        <v/>
      </c>
      <c r="Q109" s="494" t="str">
        <f>IF(O109="","",HLOOKUP(O109,前年度登録!$AH$3:$CH$118,104,FALSE))</f>
        <v/>
      </c>
      <c r="R109" s="624" t="str">
        <f t="shared" si="13"/>
        <v/>
      </c>
      <c r="S109" s="625" t="str">
        <f t="shared" si="14"/>
        <v/>
      </c>
      <c r="T109" s="303"/>
      <c r="U109" s="258" t="str">
        <f>IF(T109="","",IF(I109=1,VLOOKUP(T109,男子種目コード!$A$1:$B$33,2,FALSE),IF(I109=2,VLOOKUP(T109,女子種目コード!$A$1:$B$27,2,FALSE))))</f>
        <v/>
      </c>
      <c r="V109" s="540" t="str">
        <f>IF(T109="","",HLOOKUP(T109,前年度登録!$AH$3:$CH$118,104,FALSE))</f>
        <v/>
      </c>
      <c r="W109" s="620" t="str">
        <f t="shared" si="15"/>
        <v/>
      </c>
      <c r="X109" s="625" t="str">
        <f t="shared" si="16"/>
        <v/>
      </c>
      <c r="Y109" s="158"/>
      <c r="Z109" s="163"/>
      <c r="AA109" s="161"/>
      <c r="AB109" s="164"/>
      <c r="AC109" s="165"/>
      <c r="AD109" s="157"/>
      <c r="AE109" s="158"/>
      <c r="AF109" s="159"/>
      <c r="AG109" s="162"/>
      <c r="AH109" s="657"/>
      <c r="AI109" s="657"/>
      <c r="AK109" s="142"/>
      <c r="AL109" s="769" t="str">
        <f t="shared" si="17"/>
        <v/>
      </c>
      <c r="AM109" s="721">
        <f t="shared" si="18"/>
        <v>0</v>
      </c>
      <c r="AN109" s="721">
        <f t="shared" si="19"/>
        <v>0</v>
      </c>
      <c r="AP109" s="748"/>
      <c r="AQ109" s="748"/>
      <c r="AV109" s="142"/>
      <c r="AW109" s="142"/>
      <c r="AX109" s="748"/>
      <c r="AY109" s="748"/>
      <c r="AZ109" s="748"/>
      <c r="BA109" s="1265"/>
      <c r="BB109" s="1265"/>
      <c r="BC109" s="1265"/>
      <c r="BD109" s="1265"/>
      <c r="BE109" s="1265"/>
      <c r="BF109" s="1265"/>
      <c r="BG109" s="1265"/>
    </row>
    <row r="110" spans="2:59">
      <c r="B110" s="773" t="str">
        <f>前年度登録!P107</f>
        <v/>
      </c>
      <c r="E110" s="774">
        <f>前年度登録!E107</f>
        <v>0</v>
      </c>
      <c r="F110" s="532" t="str">
        <f>前年度登録!CM107</f>
        <v/>
      </c>
      <c r="G110" s="990" t="str">
        <f>前年度登録!Z107</f>
        <v/>
      </c>
      <c r="H110" s="532" t="str">
        <f>前年度登録!CM107</f>
        <v/>
      </c>
      <c r="I110" s="185" t="str">
        <f>前年度登録!Y107</f>
        <v/>
      </c>
      <c r="J110" s="943" t="str">
        <f>前年度登録!CN107</f>
        <v/>
      </c>
      <c r="K110" s="891">
        <f>前年度登録!CP107</f>
        <v>0</v>
      </c>
      <c r="L110" s="892" t="str">
        <f>前年度登録!CU107</f>
        <v>00</v>
      </c>
      <c r="M110" s="773" t="str">
        <f>前年度登録!Q107</f>
        <v/>
      </c>
      <c r="N110" s="1258">
        <f>前年度登録!D107</f>
        <v>0</v>
      </c>
      <c r="O110" s="303"/>
      <c r="P110" s="258" t="str">
        <f>IF(O110="","",IF(I110=1,VLOOKUP(O110,男子種目コード!$A$1:$B$33,2,FALSE),IF(I110=2,VLOOKUP(O110,女子種目コード!$A$1:$B$27,2,FALSE))))</f>
        <v/>
      </c>
      <c r="Q110" s="494" t="str">
        <f>IF(O110="","",HLOOKUP(O110,前年度登録!$AH$3:$CH$118,105,FALSE))</f>
        <v/>
      </c>
      <c r="R110" s="624" t="str">
        <f t="shared" si="13"/>
        <v/>
      </c>
      <c r="S110" s="625" t="str">
        <f t="shared" si="14"/>
        <v/>
      </c>
      <c r="T110" s="303"/>
      <c r="U110" s="258" t="str">
        <f>IF(T110="","",IF(I110=1,VLOOKUP(T110,男子種目コード!$A$1:$B$33,2,FALSE),IF(I110=2,VLOOKUP(T110,女子種目コード!$A$1:$B$27,2,FALSE))))</f>
        <v/>
      </c>
      <c r="V110" s="540" t="str">
        <f>IF(T110="","",HLOOKUP(T110,前年度登録!$AH$3:$CH$118,105,FALSE))</f>
        <v/>
      </c>
      <c r="W110" s="620" t="str">
        <f t="shared" si="15"/>
        <v/>
      </c>
      <c r="X110" s="625" t="str">
        <f t="shared" si="16"/>
        <v/>
      </c>
      <c r="Y110" s="158"/>
      <c r="Z110" s="163"/>
      <c r="AA110" s="161"/>
      <c r="AB110" s="164"/>
      <c r="AC110" s="165"/>
      <c r="AD110" s="157"/>
      <c r="AE110" s="158"/>
      <c r="AF110" s="159"/>
      <c r="AG110" s="162"/>
      <c r="AH110" s="657"/>
      <c r="AI110" s="657"/>
      <c r="AK110" s="142"/>
      <c r="AL110" s="769" t="str">
        <f t="shared" si="17"/>
        <v/>
      </c>
      <c r="AM110" s="721">
        <f t="shared" si="18"/>
        <v>0</v>
      </c>
      <c r="AN110" s="721">
        <f t="shared" si="19"/>
        <v>0</v>
      </c>
      <c r="AP110" s="748"/>
      <c r="AQ110" s="748"/>
      <c r="AV110" s="142"/>
      <c r="AW110" s="142"/>
      <c r="AX110" s="748"/>
      <c r="AY110" s="748"/>
      <c r="AZ110" s="748"/>
      <c r="BA110" s="1265"/>
      <c r="BB110" s="1265"/>
      <c r="BC110" s="1265"/>
      <c r="BD110" s="1265"/>
      <c r="BE110" s="1265"/>
      <c r="BF110" s="1265"/>
      <c r="BG110" s="1265"/>
    </row>
    <row r="111" spans="2:59">
      <c r="B111" s="773" t="str">
        <f>前年度登録!P108</f>
        <v/>
      </c>
      <c r="E111" s="774">
        <f>前年度登録!E108</f>
        <v>0</v>
      </c>
      <c r="F111" s="532" t="str">
        <f>前年度登録!CM108</f>
        <v/>
      </c>
      <c r="G111" s="990" t="str">
        <f>前年度登録!Z108</f>
        <v/>
      </c>
      <c r="H111" s="532" t="str">
        <f>前年度登録!CM108</f>
        <v/>
      </c>
      <c r="I111" s="185" t="str">
        <f>前年度登録!Y108</f>
        <v/>
      </c>
      <c r="J111" s="943" t="str">
        <f>前年度登録!CN108</f>
        <v/>
      </c>
      <c r="K111" s="891">
        <f>前年度登録!CP108</f>
        <v>0</v>
      </c>
      <c r="L111" s="892" t="str">
        <f>前年度登録!CU108</f>
        <v>00</v>
      </c>
      <c r="M111" s="773" t="str">
        <f>前年度登録!Q108</f>
        <v/>
      </c>
      <c r="N111" s="1258">
        <f>前年度登録!D108</f>
        <v>0</v>
      </c>
      <c r="O111" s="303"/>
      <c r="P111" s="258" t="str">
        <f>IF(O111="","",IF(I111=1,VLOOKUP(O111,男子種目コード!$A$1:$B$33,2,FALSE),IF(I111=2,VLOOKUP(O111,女子種目コード!$A$1:$B$27,2,FALSE))))</f>
        <v/>
      </c>
      <c r="Q111" s="494" t="str">
        <f>IF(O111="","",HLOOKUP(O111,前年度登録!$AH$3:$CH$118,106,FALSE))</f>
        <v/>
      </c>
      <c r="R111" s="624" t="str">
        <f t="shared" si="13"/>
        <v/>
      </c>
      <c r="S111" s="625" t="str">
        <f t="shared" si="14"/>
        <v/>
      </c>
      <c r="T111" s="303"/>
      <c r="U111" s="258" t="str">
        <f>IF(T111="","",IF(I111=1,VLOOKUP(T111,男子種目コード!$A$1:$B$33,2,FALSE),IF(I111=2,VLOOKUP(T111,女子種目コード!$A$1:$B$27,2,FALSE))))</f>
        <v/>
      </c>
      <c r="V111" s="540" t="str">
        <f>IF(T111="","",HLOOKUP(T111,前年度登録!$AH$3:$CH$118,106,FALSE))</f>
        <v/>
      </c>
      <c r="W111" s="620" t="str">
        <f t="shared" si="15"/>
        <v/>
      </c>
      <c r="X111" s="625" t="str">
        <f t="shared" si="16"/>
        <v/>
      </c>
      <c r="Y111" s="158"/>
      <c r="Z111" s="163"/>
      <c r="AA111" s="161"/>
      <c r="AB111" s="164"/>
      <c r="AC111" s="165"/>
      <c r="AD111" s="157"/>
      <c r="AE111" s="158"/>
      <c r="AF111" s="159"/>
      <c r="AG111" s="162"/>
      <c r="AH111" s="657"/>
      <c r="AI111" s="657"/>
      <c r="AK111" s="142"/>
      <c r="AL111" s="769" t="str">
        <f t="shared" si="17"/>
        <v/>
      </c>
      <c r="AM111" s="721">
        <f t="shared" si="18"/>
        <v>0</v>
      </c>
      <c r="AN111" s="721">
        <f t="shared" si="19"/>
        <v>0</v>
      </c>
      <c r="AP111" s="748"/>
      <c r="AQ111" s="748"/>
      <c r="AV111" s="142"/>
      <c r="AW111" s="142"/>
      <c r="AX111" s="748"/>
      <c r="AY111" s="748"/>
      <c r="AZ111" s="748"/>
      <c r="BA111" s="1265"/>
      <c r="BB111" s="1265"/>
      <c r="BC111" s="1265"/>
      <c r="BD111" s="1265"/>
      <c r="BE111" s="1265"/>
      <c r="BF111" s="1265"/>
      <c r="BG111" s="1265"/>
    </row>
    <row r="112" spans="2:59">
      <c r="B112" s="773" t="str">
        <f>前年度登録!P109</f>
        <v/>
      </c>
      <c r="E112" s="774">
        <f>前年度登録!E109</f>
        <v>0</v>
      </c>
      <c r="F112" s="532" t="str">
        <f>前年度登録!CM109</f>
        <v/>
      </c>
      <c r="G112" s="990" t="str">
        <f>前年度登録!Z109</f>
        <v/>
      </c>
      <c r="H112" s="532" t="str">
        <f>前年度登録!CM109</f>
        <v/>
      </c>
      <c r="I112" s="185" t="str">
        <f>前年度登録!Y109</f>
        <v/>
      </c>
      <c r="J112" s="943" t="str">
        <f>前年度登録!CN109</f>
        <v/>
      </c>
      <c r="K112" s="891">
        <f>前年度登録!CP109</f>
        <v>0</v>
      </c>
      <c r="L112" s="892" t="str">
        <f>前年度登録!CU109</f>
        <v>00</v>
      </c>
      <c r="M112" s="773" t="str">
        <f>前年度登録!Q109</f>
        <v/>
      </c>
      <c r="N112" s="1258">
        <f>前年度登録!D109</f>
        <v>0</v>
      </c>
      <c r="O112" s="303"/>
      <c r="P112" s="258" t="str">
        <f>IF(O112="","",IF(I112=1,VLOOKUP(O112,男子種目コード!$A$1:$B$33,2,FALSE),IF(I112=2,VLOOKUP(O112,女子種目コード!$A$1:$B$27,2,FALSE))))</f>
        <v/>
      </c>
      <c r="Q112" s="494" t="str">
        <f>IF(O112="","",HLOOKUP(O112,前年度登録!$AH$3:$CH$118,107,FALSE))</f>
        <v/>
      </c>
      <c r="R112" s="624" t="str">
        <f t="shared" si="13"/>
        <v/>
      </c>
      <c r="S112" s="625" t="str">
        <f t="shared" si="14"/>
        <v/>
      </c>
      <c r="T112" s="303"/>
      <c r="U112" s="258" t="str">
        <f>IF(T112="","",IF(I112=1,VLOOKUP(T112,男子種目コード!$A$1:$B$33,2,FALSE),IF(I112=2,VLOOKUP(T112,女子種目コード!$A$1:$B$27,2,FALSE))))</f>
        <v/>
      </c>
      <c r="V112" s="540" t="str">
        <f>IF(T112="","",HLOOKUP(T112,前年度登録!$AH$3:$CH$118,107,FALSE))</f>
        <v/>
      </c>
      <c r="W112" s="620" t="str">
        <f t="shared" si="15"/>
        <v/>
      </c>
      <c r="X112" s="625" t="str">
        <f t="shared" si="16"/>
        <v/>
      </c>
      <c r="Y112" s="158"/>
      <c r="Z112" s="163"/>
      <c r="AA112" s="161"/>
      <c r="AB112" s="164"/>
      <c r="AC112" s="165"/>
      <c r="AD112" s="157"/>
      <c r="AE112" s="158"/>
      <c r="AF112" s="159"/>
      <c r="AG112" s="162"/>
      <c r="AH112" s="657"/>
      <c r="AI112" s="657"/>
      <c r="AK112" s="142"/>
      <c r="AL112" s="769" t="str">
        <f t="shared" si="17"/>
        <v/>
      </c>
      <c r="AM112" s="721">
        <f t="shared" si="18"/>
        <v>0</v>
      </c>
      <c r="AN112" s="721">
        <f t="shared" si="19"/>
        <v>0</v>
      </c>
      <c r="AP112" s="748"/>
      <c r="AQ112" s="748"/>
      <c r="AV112" s="142"/>
      <c r="AW112" s="142"/>
      <c r="AX112" s="748"/>
      <c r="AY112" s="748"/>
      <c r="AZ112" s="748"/>
      <c r="BA112" s="1265"/>
      <c r="BB112" s="1265"/>
      <c r="BC112" s="1265"/>
      <c r="BD112" s="1265"/>
      <c r="BE112" s="1265"/>
      <c r="BF112" s="1265"/>
      <c r="BG112" s="1265"/>
    </row>
    <row r="113" spans="1:59">
      <c r="B113" s="773" t="str">
        <f>前年度登録!P110</f>
        <v/>
      </c>
      <c r="E113" s="774">
        <f>前年度登録!E110</f>
        <v>0</v>
      </c>
      <c r="F113" s="532" t="str">
        <f>前年度登録!CM110</f>
        <v/>
      </c>
      <c r="G113" s="990" t="str">
        <f>前年度登録!Z110</f>
        <v/>
      </c>
      <c r="H113" s="532" t="str">
        <f>前年度登録!CM110</f>
        <v/>
      </c>
      <c r="I113" s="185" t="str">
        <f>前年度登録!Y110</f>
        <v/>
      </c>
      <c r="J113" s="943" t="str">
        <f>前年度登録!CN110</f>
        <v/>
      </c>
      <c r="K113" s="891">
        <f>前年度登録!CP110</f>
        <v>0</v>
      </c>
      <c r="L113" s="892" t="str">
        <f>前年度登録!CU110</f>
        <v>00</v>
      </c>
      <c r="M113" s="773" t="str">
        <f>前年度登録!Q110</f>
        <v/>
      </c>
      <c r="N113" s="1258">
        <f>前年度登録!D110</f>
        <v>0</v>
      </c>
      <c r="O113" s="303"/>
      <c r="P113" s="258" t="str">
        <f>IF(O113="","",IF(I113=1,VLOOKUP(O113,男子種目コード!$A$1:$B$33,2,FALSE),IF(I113=2,VLOOKUP(O113,女子種目コード!$A$1:$B$27,2,FALSE))))</f>
        <v/>
      </c>
      <c r="Q113" s="494" t="str">
        <f>IF(O113="","",HLOOKUP(O113,前年度登録!$AH$3:$CH$118,108,FALSE))</f>
        <v/>
      </c>
      <c r="R113" s="624" t="str">
        <f t="shared" si="13"/>
        <v/>
      </c>
      <c r="S113" s="625" t="str">
        <f t="shared" si="14"/>
        <v/>
      </c>
      <c r="T113" s="303"/>
      <c r="U113" s="258" t="str">
        <f>IF(T113="","",IF(I113=1,VLOOKUP(T113,男子種目コード!$A$1:$B$33,2,FALSE),IF(I113=2,VLOOKUP(T113,女子種目コード!$A$1:$B$27,2,FALSE))))</f>
        <v/>
      </c>
      <c r="V113" s="540" t="str">
        <f>IF(T113="","",HLOOKUP(T113,前年度登録!$AH$3:$CH$118,108,FALSE))</f>
        <v/>
      </c>
      <c r="W113" s="620" t="str">
        <f t="shared" si="15"/>
        <v/>
      </c>
      <c r="X113" s="625" t="str">
        <f t="shared" si="16"/>
        <v/>
      </c>
      <c r="Y113" s="158"/>
      <c r="Z113" s="163"/>
      <c r="AA113" s="161"/>
      <c r="AB113" s="164"/>
      <c r="AC113" s="165"/>
      <c r="AD113" s="157"/>
      <c r="AE113" s="158"/>
      <c r="AF113" s="159"/>
      <c r="AG113" s="162"/>
      <c r="AH113" s="657"/>
      <c r="AI113" s="657"/>
      <c r="AK113" s="142"/>
      <c r="AL113" s="769" t="str">
        <f t="shared" si="17"/>
        <v/>
      </c>
      <c r="AM113" s="721">
        <f t="shared" si="18"/>
        <v>0</v>
      </c>
      <c r="AN113" s="721">
        <f t="shared" si="19"/>
        <v>0</v>
      </c>
      <c r="AP113" s="748"/>
      <c r="AQ113" s="748"/>
      <c r="AV113" s="142"/>
      <c r="AW113" s="142"/>
      <c r="AX113" s="748"/>
      <c r="AY113" s="748"/>
      <c r="AZ113" s="748"/>
      <c r="BA113" s="1265"/>
      <c r="BB113" s="1265"/>
      <c r="BC113" s="1265"/>
      <c r="BD113" s="1265"/>
      <c r="BE113" s="1265"/>
      <c r="BF113" s="1265"/>
      <c r="BG113" s="1265"/>
    </row>
    <row r="114" spans="1:59">
      <c r="B114" s="773" t="str">
        <f>前年度登録!P111</f>
        <v/>
      </c>
      <c r="E114" s="774">
        <f>前年度登録!E111</f>
        <v>0</v>
      </c>
      <c r="F114" s="532" t="str">
        <f>前年度登録!CM111</f>
        <v/>
      </c>
      <c r="G114" s="990" t="str">
        <f>前年度登録!Z111</f>
        <v/>
      </c>
      <c r="H114" s="532" t="str">
        <f>前年度登録!CM111</f>
        <v/>
      </c>
      <c r="I114" s="185" t="str">
        <f>前年度登録!Y111</f>
        <v/>
      </c>
      <c r="J114" s="943" t="str">
        <f>前年度登録!CN111</f>
        <v/>
      </c>
      <c r="K114" s="891">
        <f>前年度登録!CP111</f>
        <v>0</v>
      </c>
      <c r="L114" s="892" t="str">
        <f>前年度登録!CU111</f>
        <v>00</v>
      </c>
      <c r="M114" s="773" t="str">
        <f>前年度登録!Q111</f>
        <v/>
      </c>
      <c r="N114" s="1258">
        <f>前年度登録!D111</f>
        <v>0</v>
      </c>
      <c r="O114" s="303"/>
      <c r="P114" s="258" t="str">
        <f>IF(O114="","",IF(I114=1,VLOOKUP(O114,男子種目コード!$A$1:$B$33,2,FALSE),IF(I114=2,VLOOKUP(O114,女子種目コード!$A$1:$B$27,2,FALSE))))</f>
        <v/>
      </c>
      <c r="Q114" s="494" t="str">
        <f>IF(O114="","",HLOOKUP(O114,前年度登録!$AH$3:$CH$118,109,FALSE))</f>
        <v/>
      </c>
      <c r="R114" s="624" t="str">
        <f t="shared" si="13"/>
        <v/>
      </c>
      <c r="S114" s="625" t="str">
        <f t="shared" si="14"/>
        <v/>
      </c>
      <c r="T114" s="303"/>
      <c r="U114" s="258" t="str">
        <f>IF(T114="","",IF(I114=1,VLOOKUP(T114,男子種目コード!$A$1:$B$33,2,FALSE),IF(I114=2,VLOOKUP(T114,女子種目コード!$A$1:$B$27,2,FALSE))))</f>
        <v/>
      </c>
      <c r="V114" s="540" t="str">
        <f>IF(T114="","",HLOOKUP(T114,前年度登録!$AH$3:$CH$118,109,FALSE))</f>
        <v/>
      </c>
      <c r="W114" s="620" t="str">
        <f t="shared" si="15"/>
        <v/>
      </c>
      <c r="X114" s="625" t="str">
        <f t="shared" si="16"/>
        <v/>
      </c>
      <c r="Y114" s="158"/>
      <c r="Z114" s="163"/>
      <c r="AA114" s="161"/>
      <c r="AB114" s="164"/>
      <c r="AC114" s="165"/>
      <c r="AD114" s="157"/>
      <c r="AE114" s="158"/>
      <c r="AF114" s="159"/>
      <c r="AG114" s="162"/>
      <c r="AH114" s="657"/>
      <c r="AI114" s="657"/>
      <c r="AK114" s="142"/>
      <c r="AL114" s="769" t="str">
        <f t="shared" si="17"/>
        <v/>
      </c>
      <c r="AM114" s="721">
        <f t="shared" si="18"/>
        <v>0</v>
      </c>
      <c r="AN114" s="721">
        <f t="shared" si="19"/>
        <v>0</v>
      </c>
      <c r="AP114" s="748"/>
      <c r="AQ114" s="748"/>
      <c r="AV114" s="142"/>
      <c r="AW114" s="142"/>
      <c r="AX114" s="748"/>
      <c r="AY114" s="748"/>
      <c r="AZ114" s="748"/>
      <c r="BA114" s="1265"/>
      <c r="BB114" s="1265"/>
      <c r="BC114" s="1265"/>
      <c r="BD114" s="1265"/>
      <c r="BE114" s="1265"/>
      <c r="BF114" s="1265"/>
      <c r="BG114" s="1265"/>
    </row>
    <row r="115" spans="1:59">
      <c r="B115" s="773" t="str">
        <f>前年度登録!P112</f>
        <v/>
      </c>
      <c r="E115" s="774">
        <f>前年度登録!E112</f>
        <v>0</v>
      </c>
      <c r="F115" s="532" t="str">
        <f>前年度登録!CM112</f>
        <v/>
      </c>
      <c r="G115" s="990" t="str">
        <f>前年度登録!Z112</f>
        <v/>
      </c>
      <c r="H115" s="532" t="str">
        <f>前年度登録!CM112</f>
        <v/>
      </c>
      <c r="I115" s="185" t="str">
        <f>前年度登録!Y112</f>
        <v/>
      </c>
      <c r="J115" s="943" t="str">
        <f>前年度登録!CN112</f>
        <v/>
      </c>
      <c r="K115" s="891">
        <f>前年度登録!CP112</f>
        <v>0</v>
      </c>
      <c r="L115" s="892" t="str">
        <f>前年度登録!CU112</f>
        <v>00</v>
      </c>
      <c r="M115" s="773" t="str">
        <f>前年度登録!Q112</f>
        <v/>
      </c>
      <c r="N115" s="1258">
        <f>前年度登録!D112</f>
        <v>0</v>
      </c>
      <c r="O115" s="303"/>
      <c r="P115" s="258" t="str">
        <f>IF(O115="","",IF(I115=1,VLOOKUP(O115,男子種目コード!$A$1:$B$33,2,FALSE),IF(I115=2,VLOOKUP(O115,女子種目コード!$A$1:$B$27,2,FALSE))))</f>
        <v/>
      </c>
      <c r="Q115" s="494" t="str">
        <f>IF(O115="","",HLOOKUP(O115,前年度登録!$AH$3:$CH$118,110,FALSE))</f>
        <v/>
      </c>
      <c r="R115" s="624" t="str">
        <f t="shared" si="13"/>
        <v/>
      </c>
      <c r="S115" s="625" t="str">
        <f t="shared" si="14"/>
        <v/>
      </c>
      <c r="T115" s="303"/>
      <c r="U115" s="258" t="str">
        <f>IF(T115="","",IF(I115=1,VLOOKUP(T115,男子種目コード!$A$1:$B$33,2,FALSE),IF(I115=2,VLOOKUP(T115,女子種目コード!$A$1:$B$27,2,FALSE))))</f>
        <v/>
      </c>
      <c r="V115" s="540" t="str">
        <f>IF(T115="","",HLOOKUP(T115,前年度登録!$AH$3:$CH$118,110,FALSE))</f>
        <v/>
      </c>
      <c r="W115" s="620" t="str">
        <f t="shared" si="15"/>
        <v/>
      </c>
      <c r="X115" s="625" t="str">
        <f t="shared" si="16"/>
        <v/>
      </c>
      <c r="Y115" s="158"/>
      <c r="Z115" s="163"/>
      <c r="AA115" s="161"/>
      <c r="AB115" s="164"/>
      <c r="AC115" s="165"/>
      <c r="AD115" s="157"/>
      <c r="AE115" s="158"/>
      <c r="AF115" s="159"/>
      <c r="AG115" s="162"/>
      <c r="AH115" s="657"/>
      <c r="AI115" s="657"/>
      <c r="AK115" s="142"/>
      <c r="AL115" s="769" t="str">
        <f t="shared" si="17"/>
        <v/>
      </c>
      <c r="AM115" s="721">
        <f t="shared" si="18"/>
        <v>0</v>
      </c>
      <c r="AN115" s="721">
        <f t="shared" si="19"/>
        <v>0</v>
      </c>
      <c r="AP115" s="748"/>
      <c r="AQ115" s="748"/>
      <c r="AV115" s="142"/>
      <c r="AW115" s="142"/>
      <c r="AX115" s="748"/>
      <c r="AY115" s="748"/>
      <c r="AZ115" s="748"/>
      <c r="BA115" s="1265"/>
      <c r="BB115" s="1265"/>
      <c r="BC115" s="1265"/>
      <c r="BD115" s="1265"/>
      <c r="BE115" s="1265"/>
      <c r="BF115" s="1265"/>
      <c r="BG115" s="1265"/>
    </row>
    <row r="116" spans="1:59" ht="14.25" thickBot="1">
      <c r="B116" s="786" t="str">
        <f>前年度登録!P113</f>
        <v/>
      </c>
      <c r="E116" s="787">
        <f>前年度登録!E113</f>
        <v>0</v>
      </c>
      <c r="F116" s="533" t="str">
        <f>前年度登録!CM113</f>
        <v/>
      </c>
      <c r="G116" s="991" t="str">
        <f>前年度登録!Z113</f>
        <v/>
      </c>
      <c r="H116" s="533" t="str">
        <f>前年度登録!CM113</f>
        <v/>
      </c>
      <c r="I116" s="186" t="str">
        <f>前年度登録!Y113</f>
        <v/>
      </c>
      <c r="J116" s="944" t="str">
        <f>前年度登録!CN113</f>
        <v/>
      </c>
      <c r="K116" s="893">
        <f>前年度登録!CP113</f>
        <v>0</v>
      </c>
      <c r="L116" s="894" t="str">
        <f>前年度登録!CU113</f>
        <v>00</v>
      </c>
      <c r="M116" s="786" t="str">
        <f>前年度登録!Q113</f>
        <v/>
      </c>
      <c r="N116" s="1258">
        <f>前年度登録!D113</f>
        <v>0</v>
      </c>
      <c r="O116" s="305"/>
      <c r="P116" s="260" t="str">
        <f>IF(O116="","",IF(I116=1,VLOOKUP(O116,男子種目コード!$A$1:$B$33,2,FALSE),IF(I116=2,VLOOKUP(O116,女子種目コード!$A$1:$B$27,2,FALSE))))</f>
        <v/>
      </c>
      <c r="Q116" s="495" t="str">
        <f>IF(O116="","",HLOOKUP(O116,前年度登録!$AH$3:$CH$118,111,FALSE))</f>
        <v/>
      </c>
      <c r="R116" s="626" t="str">
        <f t="shared" si="13"/>
        <v/>
      </c>
      <c r="S116" s="627" t="str">
        <f t="shared" si="14"/>
        <v/>
      </c>
      <c r="T116" s="305"/>
      <c r="U116" s="260" t="str">
        <f>IF(T116="","",IF(I116=1,VLOOKUP(T116,男子種目コード!$A$1:$B$33,2,FALSE),IF(I116=2,VLOOKUP(T116,女子種目コード!$A$1:$B$27,2,FALSE))))</f>
        <v/>
      </c>
      <c r="V116" s="541" t="str">
        <f>IF(T116="","",HLOOKUP(T116,前年度登録!$AH$3:$CH$118,111,FALSE))</f>
        <v/>
      </c>
      <c r="W116" s="621" t="str">
        <f t="shared" si="15"/>
        <v/>
      </c>
      <c r="X116" s="627" t="str">
        <f t="shared" si="16"/>
        <v/>
      </c>
      <c r="Y116" s="170"/>
      <c r="Z116" s="171"/>
      <c r="AA116" s="169"/>
      <c r="AB116" s="172"/>
      <c r="AC116" s="173"/>
      <c r="AD116" s="157"/>
      <c r="AE116" s="158"/>
      <c r="AF116" s="159"/>
      <c r="AG116" s="162"/>
      <c r="AH116" s="657"/>
      <c r="AI116" s="657"/>
      <c r="AK116" s="142"/>
      <c r="AL116" s="769" t="str">
        <f t="shared" si="17"/>
        <v/>
      </c>
      <c r="AM116" s="721">
        <f t="shared" si="18"/>
        <v>0</v>
      </c>
      <c r="AN116" s="721">
        <f t="shared" si="19"/>
        <v>0</v>
      </c>
      <c r="AP116" s="748"/>
      <c r="AQ116" s="748"/>
      <c r="AV116" s="271"/>
      <c r="AW116" s="271"/>
      <c r="AX116" s="748"/>
      <c r="AY116" s="748"/>
      <c r="AZ116" s="748"/>
      <c r="BA116" s="1265"/>
      <c r="BB116" s="1265"/>
      <c r="BC116" s="1265"/>
      <c r="BD116" s="1265"/>
      <c r="BE116" s="1265"/>
      <c r="BF116" s="1265"/>
      <c r="BG116" s="1265"/>
    </row>
    <row r="117" spans="1:59">
      <c r="B117" s="748"/>
      <c r="C117" s="748"/>
      <c r="D117" s="748"/>
      <c r="E117" s="748"/>
      <c r="F117" s="748"/>
      <c r="G117" s="788"/>
      <c r="H117" s="298"/>
      <c r="I117" s="298"/>
      <c r="J117" s="655"/>
      <c r="K117" s="655"/>
      <c r="L117" s="748"/>
      <c r="M117" s="267"/>
      <c r="N117" s="299"/>
      <c r="O117" s="269"/>
      <c r="P117" s="267"/>
      <c r="Q117" s="299"/>
      <c r="R117" s="269"/>
      <c r="S117" s="267"/>
      <c r="T117" s="268"/>
      <c r="U117" s="269"/>
      <c r="V117" s="270"/>
      <c r="W117" s="268"/>
      <c r="X117" s="269"/>
      <c r="Y117" s="267"/>
      <c r="Z117" s="268"/>
      <c r="AA117" s="269"/>
      <c r="AB117" s="655"/>
      <c r="AC117" s="655"/>
      <c r="AD117" s="748"/>
      <c r="AE117" s="271"/>
      <c r="AF117" s="789">
        <f>SUM(AL7:AL116)</f>
        <v>0</v>
      </c>
      <c r="AG117" s="789">
        <f>SUM(AM7:AM116)</f>
        <v>0</v>
      </c>
      <c r="AH117" s="789">
        <f>SUM(AN7:AN116)</f>
        <v>0</v>
      </c>
      <c r="AI117" s="748"/>
      <c r="AJ117" s="748"/>
      <c r="AK117" s="748"/>
      <c r="AL117" s="748"/>
      <c r="AM117" s="748"/>
      <c r="AN117" s="748"/>
      <c r="AO117" s="748"/>
      <c r="AP117" s="748"/>
      <c r="AQ117" s="748"/>
      <c r="AR117" s="748"/>
      <c r="AS117" s="748"/>
      <c r="AT117" s="748"/>
      <c r="AU117" s="748"/>
      <c r="AV117" s="271"/>
      <c r="AW117" s="748"/>
      <c r="AX117" s="748"/>
      <c r="AY117" s="748"/>
      <c r="AZ117" s="748"/>
      <c r="BA117" s="1265"/>
      <c r="BB117" s="1265"/>
      <c r="BC117" s="1265"/>
      <c r="BD117" s="1265"/>
      <c r="BE117" s="1265"/>
      <c r="BF117" s="1265"/>
      <c r="BG117" s="1265"/>
    </row>
    <row r="118" spans="1:59">
      <c r="B118" s="748"/>
      <c r="C118" s="748"/>
      <c r="D118" s="748"/>
      <c r="E118" s="748"/>
      <c r="F118" s="748"/>
      <c r="G118" s="788"/>
      <c r="H118" s="298"/>
      <c r="I118" s="298"/>
      <c r="J118" s="655"/>
      <c r="K118" s="655"/>
      <c r="L118" s="748"/>
      <c r="M118" s="267"/>
      <c r="N118" s="299"/>
      <c r="O118" s="269"/>
      <c r="P118" s="267"/>
      <c r="Q118" s="299"/>
      <c r="R118" s="269"/>
      <c r="S118" s="267"/>
      <c r="T118" s="268"/>
      <c r="U118" s="269"/>
      <c r="V118" s="270"/>
      <c r="W118" s="268"/>
      <c r="X118" s="269"/>
      <c r="Y118" s="267"/>
      <c r="Z118" s="268"/>
      <c r="AA118" s="269"/>
      <c r="AB118" s="655"/>
      <c r="AC118" s="655"/>
      <c r="AD118" s="748"/>
      <c r="AE118" s="271"/>
      <c r="AF118" s="789">
        <f>SUM(AF117:AH117)</f>
        <v>0</v>
      </c>
      <c r="AG118" s="789"/>
      <c r="AH118" s="789"/>
      <c r="AI118" s="748"/>
      <c r="AJ118" s="748"/>
      <c r="AK118" s="748"/>
      <c r="AL118" s="748"/>
      <c r="AM118" s="748"/>
      <c r="AN118" s="748"/>
      <c r="AO118" s="748"/>
      <c r="AP118" s="271"/>
      <c r="AQ118" s="271"/>
      <c r="AR118" s="748"/>
      <c r="AS118" s="748"/>
      <c r="AT118" s="748"/>
      <c r="AU118" s="748"/>
      <c r="AV118" s="748"/>
      <c r="AW118" s="748"/>
      <c r="AX118" s="748"/>
      <c r="AY118" s="748"/>
      <c r="AZ118" s="748"/>
      <c r="BA118" s="1265"/>
      <c r="BB118" s="1265"/>
      <c r="BC118" s="1265"/>
      <c r="BD118" s="1265"/>
      <c r="BE118" s="1265"/>
      <c r="BF118" s="1265"/>
      <c r="BG118" s="1265"/>
    </row>
    <row r="119" spans="1:59">
      <c r="B119" s="748"/>
      <c r="C119" s="748"/>
      <c r="D119" s="748"/>
      <c r="E119" s="748"/>
      <c r="F119" s="748"/>
      <c r="G119" s="788"/>
      <c r="H119" s="298"/>
      <c r="I119" s="298"/>
      <c r="J119" s="655"/>
      <c r="K119" s="655"/>
      <c r="L119" s="748"/>
      <c r="M119" s="267"/>
      <c r="N119" s="299"/>
      <c r="O119" s="269"/>
      <c r="P119" s="267"/>
      <c r="Q119" s="299"/>
      <c r="R119" s="269"/>
      <c r="S119" s="267"/>
      <c r="T119" s="268"/>
      <c r="U119" s="269"/>
      <c r="V119" s="270"/>
      <c r="W119" s="268"/>
      <c r="X119" s="269"/>
      <c r="Y119" s="267"/>
      <c r="Z119" s="268"/>
      <c r="AA119" s="269"/>
      <c r="AB119" s="655"/>
      <c r="AC119" s="655"/>
      <c r="AD119" s="748"/>
      <c r="AE119" s="271"/>
      <c r="AF119" s="789"/>
      <c r="AG119" s="789"/>
      <c r="AH119" s="789"/>
      <c r="AI119" s="748"/>
      <c r="AJ119" s="748"/>
      <c r="AK119" s="748"/>
      <c r="AL119" s="748"/>
      <c r="AM119" s="748"/>
      <c r="AN119" s="748"/>
      <c r="AO119" s="748"/>
      <c r="AP119" s="271"/>
      <c r="AQ119" s="271"/>
      <c r="AR119" s="748"/>
      <c r="AS119" s="748"/>
      <c r="AT119" s="748"/>
      <c r="AU119" s="748"/>
      <c r="AV119" s="748"/>
      <c r="AW119" s="748"/>
      <c r="AX119" s="748"/>
      <c r="AY119" s="748"/>
      <c r="AZ119" s="748"/>
      <c r="BA119" s="1265"/>
      <c r="BB119" s="1265"/>
      <c r="BC119" s="1265"/>
      <c r="BD119" s="1265"/>
      <c r="BE119" s="1265"/>
      <c r="BF119" s="1265"/>
      <c r="BG119" s="1265"/>
    </row>
    <row r="120" spans="1:59">
      <c r="B120" s="748"/>
      <c r="C120" s="748"/>
      <c r="D120" s="748"/>
      <c r="E120" s="748"/>
      <c r="F120" s="748"/>
      <c r="G120" s="788"/>
      <c r="H120" s="298"/>
      <c r="I120" s="298"/>
      <c r="J120" s="655"/>
      <c r="K120" s="655"/>
      <c r="L120" s="748"/>
      <c r="M120" s="267"/>
      <c r="N120" s="299"/>
      <c r="O120" s="269"/>
      <c r="P120" s="267"/>
      <c r="Q120" s="299"/>
      <c r="R120" s="269"/>
      <c r="S120" s="267"/>
      <c r="T120" s="268"/>
      <c r="U120" s="269"/>
      <c r="V120" s="270"/>
      <c r="W120" s="268"/>
      <c r="X120" s="269"/>
      <c r="Y120" s="267"/>
      <c r="Z120" s="268"/>
      <c r="AA120" s="269"/>
      <c r="AB120" s="655"/>
      <c r="AC120" s="655"/>
      <c r="AD120" s="748"/>
      <c r="AE120" s="271"/>
      <c r="AF120" s="789"/>
      <c r="AG120" s="789"/>
      <c r="AH120" s="789"/>
      <c r="AI120" s="748"/>
      <c r="AJ120" s="748"/>
      <c r="AK120" s="748"/>
      <c r="AL120" s="748"/>
      <c r="AM120" s="748"/>
      <c r="AN120" s="748"/>
      <c r="AO120" s="748"/>
      <c r="AP120" s="271"/>
      <c r="AQ120" s="271"/>
      <c r="AR120" s="748"/>
      <c r="AS120" s="748"/>
      <c r="AT120" s="748"/>
      <c r="AU120" s="748"/>
      <c r="AV120" s="748"/>
      <c r="AW120" s="748"/>
      <c r="AX120" s="748"/>
      <c r="AY120" s="748"/>
      <c r="AZ120" s="748"/>
      <c r="BA120" s="1265"/>
      <c r="BB120" s="1265"/>
      <c r="BC120" s="1265"/>
      <c r="BD120" s="1265"/>
      <c r="BE120" s="1265"/>
      <c r="BF120" s="1265"/>
      <c r="BG120" s="1265"/>
    </row>
    <row r="121" spans="1:59">
      <c r="B121" s="748"/>
      <c r="C121" s="748"/>
      <c r="D121" s="748"/>
      <c r="E121" s="748"/>
      <c r="F121" s="748"/>
      <c r="G121" s="788"/>
      <c r="H121" s="298"/>
      <c r="I121" s="298"/>
      <c r="J121" s="655"/>
      <c r="K121" s="655"/>
      <c r="L121" s="748"/>
      <c r="M121" s="267"/>
      <c r="N121" s="299"/>
      <c r="O121" s="269"/>
      <c r="P121" s="267"/>
      <c r="Q121" s="299"/>
      <c r="R121" s="269"/>
      <c r="S121" s="267"/>
      <c r="T121" s="268"/>
      <c r="U121" s="269"/>
      <c r="V121" s="270"/>
      <c r="W121" s="268"/>
      <c r="X121" s="269"/>
      <c r="Y121" s="267"/>
      <c r="Z121" s="268"/>
      <c r="AA121" s="269"/>
      <c r="AB121" s="655"/>
      <c r="AC121" s="655"/>
      <c r="AD121" s="748"/>
      <c r="AE121" s="271"/>
      <c r="AF121" s="789"/>
      <c r="AG121" s="789"/>
      <c r="AH121" s="789"/>
      <c r="AI121" s="748"/>
      <c r="AJ121" s="748"/>
      <c r="AK121" s="748"/>
      <c r="AL121" s="748"/>
      <c r="AM121" s="748"/>
      <c r="AN121" s="748"/>
      <c r="AO121" s="748"/>
      <c r="AP121" s="271"/>
      <c r="AQ121" s="271"/>
      <c r="AR121" s="748"/>
      <c r="AS121" s="748"/>
      <c r="AT121" s="748"/>
      <c r="AU121" s="748"/>
      <c r="AV121" s="748"/>
      <c r="AW121" s="748"/>
      <c r="AX121" s="748"/>
      <c r="AY121" s="748"/>
      <c r="AZ121" s="748"/>
      <c r="BA121" s="1265"/>
      <c r="BB121" s="1265"/>
      <c r="BC121" s="1265"/>
      <c r="BD121" s="1265"/>
      <c r="BE121" s="1265"/>
      <c r="BF121" s="1265"/>
      <c r="BG121" s="1265"/>
    </row>
    <row r="122" spans="1:59">
      <c r="B122" s="748"/>
      <c r="C122" s="748"/>
      <c r="D122" s="748"/>
      <c r="E122" s="748"/>
      <c r="F122" s="748"/>
      <c r="G122" s="788"/>
      <c r="H122" s="298"/>
      <c r="I122" s="298"/>
      <c r="J122" s="655"/>
      <c r="K122" s="655"/>
      <c r="L122" s="748"/>
      <c r="M122" s="267"/>
      <c r="N122" s="299"/>
      <c r="O122" s="269"/>
      <c r="P122" s="267"/>
      <c r="Q122" s="299"/>
      <c r="R122" s="269"/>
      <c r="S122" s="267"/>
      <c r="T122" s="268"/>
      <c r="U122" s="269"/>
      <c r="V122" s="270"/>
      <c r="W122" s="268"/>
      <c r="X122" s="269"/>
      <c r="Y122" s="267"/>
      <c r="Z122" s="268"/>
      <c r="AA122" s="269"/>
      <c r="AB122" s="655"/>
      <c r="AC122" s="655"/>
      <c r="AD122" s="748"/>
      <c r="AE122" s="271"/>
      <c r="AF122" s="789"/>
      <c r="AG122" s="789"/>
      <c r="AH122" s="789"/>
      <c r="AI122" s="748"/>
      <c r="AJ122" s="748"/>
      <c r="AK122" s="748"/>
      <c r="AL122" s="748"/>
      <c r="AM122" s="748"/>
      <c r="AN122" s="748"/>
      <c r="AO122" s="748"/>
      <c r="AP122" s="271"/>
      <c r="AQ122" s="271"/>
      <c r="AR122" s="748"/>
      <c r="AS122" s="748"/>
      <c r="AT122" s="748"/>
      <c r="AU122" s="748"/>
      <c r="AV122" s="748"/>
      <c r="AW122" s="748"/>
      <c r="AX122" s="748"/>
      <c r="AY122" s="748"/>
      <c r="AZ122" s="748"/>
      <c r="BA122" s="1265"/>
      <c r="BB122" s="1265"/>
      <c r="BC122" s="1265"/>
      <c r="BD122" s="1265"/>
      <c r="BE122" s="1265"/>
      <c r="BF122" s="1265"/>
      <c r="BG122" s="1265"/>
    </row>
    <row r="123" spans="1:59">
      <c r="A123" s="1265"/>
      <c r="B123" s="1265"/>
      <c r="C123" s="1265"/>
      <c r="D123" s="1265"/>
      <c r="E123" s="1265"/>
      <c r="F123" s="1265"/>
      <c r="G123" s="1267"/>
      <c r="H123" s="1268"/>
      <c r="I123" s="1268"/>
      <c r="J123" s="1269"/>
      <c r="K123" s="1269"/>
      <c r="L123" s="1265"/>
      <c r="M123" s="1270"/>
      <c r="N123" s="1271"/>
      <c r="O123" s="1272"/>
      <c r="P123" s="1270"/>
      <c r="Q123" s="1271"/>
      <c r="R123" s="1272"/>
      <c r="S123" s="1270"/>
      <c r="T123" s="1273"/>
      <c r="U123" s="1272"/>
      <c r="V123" s="1274"/>
      <c r="W123" s="1273"/>
      <c r="X123" s="1272"/>
      <c r="Y123" s="1270"/>
      <c r="Z123" s="1273"/>
      <c r="AA123" s="1272"/>
      <c r="AB123" s="1269"/>
      <c r="AC123" s="1269"/>
      <c r="AD123" s="1265"/>
      <c r="AE123" s="1275"/>
      <c r="AF123" s="1276"/>
      <c r="AG123" s="1276"/>
      <c r="AH123" s="1276"/>
      <c r="AI123" s="1265"/>
      <c r="AJ123" s="1265"/>
      <c r="AK123" s="1265"/>
      <c r="AL123" s="1265"/>
      <c r="AM123" s="1265"/>
      <c r="AN123" s="1265"/>
      <c r="AO123" s="1265"/>
      <c r="AP123" s="1275"/>
      <c r="AQ123" s="1275"/>
      <c r="AR123" s="1265"/>
      <c r="AS123" s="1265"/>
      <c r="AT123" s="1265"/>
      <c r="AU123" s="1265"/>
      <c r="AV123" s="1265"/>
      <c r="AW123" s="1265"/>
      <c r="AX123" s="1265"/>
      <c r="AY123" s="1265"/>
      <c r="AZ123" s="1265"/>
      <c r="BA123" s="1265"/>
      <c r="BB123" s="1265"/>
      <c r="BC123" s="1265"/>
      <c r="BD123" s="1265"/>
      <c r="BE123" s="1265"/>
      <c r="BF123" s="1265"/>
      <c r="BG123" s="1265"/>
    </row>
    <row r="124" spans="1:59">
      <c r="A124" s="1265"/>
      <c r="B124" s="1265"/>
      <c r="C124" s="1265"/>
      <c r="D124" s="1265"/>
      <c r="E124" s="1265"/>
      <c r="F124" s="1265"/>
      <c r="G124" s="1267"/>
      <c r="H124" s="1268"/>
      <c r="I124" s="1268"/>
      <c r="J124" s="1269"/>
      <c r="K124" s="1269"/>
      <c r="L124" s="1265"/>
      <c r="M124" s="1270"/>
      <c r="N124" s="1271"/>
      <c r="O124" s="1272"/>
      <c r="P124" s="1270"/>
      <c r="Q124" s="1271"/>
      <c r="R124" s="1272"/>
      <c r="S124" s="1270"/>
      <c r="T124" s="1273"/>
      <c r="U124" s="1272"/>
      <c r="V124" s="1274"/>
      <c r="W124" s="1273"/>
      <c r="X124" s="1272"/>
      <c r="Y124" s="1270"/>
      <c r="Z124" s="1273"/>
      <c r="AA124" s="1272"/>
      <c r="AB124" s="1269"/>
      <c r="AC124" s="1269"/>
      <c r="AD124" s="1265"/>
      <c r="AE124" s="1275"/>
      <c r="AF124" s="1276"/>
      <c r="AG124" s="1276"/>
      <c r="AH124" s="1276"/>
      <c r="AI124" s="1265"/>
      <c r="AJ124" s="1265"/>
      <c r="AK124" s="1265"/>
      <c r="AL124" s="1265"/>
      <c r="AM124" s="1265"/>
      <c r="AN124" s="1265"/>
      <c r="AO124" s="1265"/>
      <c r="AP124" s="1275"/>
      <c r="AQ124" s="1275"/>
      <c r="AR124" s="1265"/>
      <c r="AS124" s="1265"/>
      <c r="AT124" s="1265"/>
      <c r="AU124" s="1265"/>
      <c r="AV124" s="1265"/>
      <c r="AW124" s="1265"/>
      <c r="AX124" s="1265"/>
      <c r="AY124" s="1265"/>
      <c r="AZ124" s="1265"/>
      <c r="BA124" s="1265"/>
      <c r="BB124" s="1265"/>
      <c r="BC124" s="1265"/>
      <c r="BD124" s="1265"/>
      <c r="BE124" s="1265"/>
      <c r="BF124" s="1265"/>
      <c r="BG124" s="1265"/>
    </row>
    <row r="125" spans="1:59">
      <c r="A125" s="1265"/>
      <c r="B125" s="1265"/>
      <c r="C125" s="1265"/>
      <c r="D125" s="1265"/>
      <c r="E125" s="1265"/>
      <c r="F125" s="1265"/>
      <c r="G125" s="1267"/>
      <c r="H125" s="1268"/>
      <c r="I125" s="1268"/>
      <c r="J125" s="1269"/>
      <c r="K125" s="1269"/>
      <c r="L125" s="1265"/>
      <c r="M125" s="1270"/>
      <c r="N125" s="1271"/>
      <c r="O125" s="1272"/>
      <c r="P125" s="1270"/>
      <c r="Q125" s="1271"/>
      <c r="R125" s="1272"/>
      <c r="S125" s="1270"/>
      <c r="T125" s="1273"/>
      <c r="U125" s="1272"/>
      <c r="V125" s="1274"/>
      <c r="W125" s="1273"/>
      <c r="X125" s="1272"/>
      <c r="Y125" s="1270"/>
      <c r="Z125" s="1273"/>
      <c r="AA125" s="1272"/>
      <c r="AB125" s="1269"/>
      <c r="AC125" s="1269"/>
      <c r="AD125" s="1265"/>
      <c r="AE125" s="1275"/>
      <c r="AF125" s="1276"/>
      <c r="AG125" s="1276"/>
      <c r="AH125" s="1276"/>
      <c r="AI125" s="1265"/>
      <c r="AJ125" s="1265"/>
      <c r="AK125" s="1265"/>
      <c r="AL125" s="1265"/>
      <c r="AM125" s="1265"/>
      <c r="AN125" s="1265"/>
      <c r="AO125" s="1265"/>
      <c r="AP125" s="1275"/>
      <c r="AQ125" s="1275"/>
      <c r="AR125" s="1265"/>
      <c r="AS125" s="1265"/>
      <c r="AT125" s="1265"/>
      <c r="AU125" s="1265"/>
      <c r="AV125" s="1265"/>
      <c r="AW125" s="1265"/>
      <c r="AX125" s="1265"/>
      <c r="AY125" s="1265"/>
      <c r="AZ125" s="1265"/>
      <c r="BA125" s="1265"/>
      <c r="BB125" s="1265"/>
      <c r="BC125" s="1265"/>
      <c r="BD125" s="1265"/>
      <c r="BE125" s="1265"/>
      <c r="BF125" s="1265"/>
      <c r="BG125" s="1265"/>
    </row>
    <row r="126" spans="1:59">
      <c r="A126" s="1265"/>
      <c r="B126" s="1265"/>
      <c r="C126" s="1265"/>
      <c r="D126" s="1265"/>
      <c r="E126" s="1265"/>
      <c r="F126" s="1265"/>
      <c r="G126" s="1267"/>
      <c r="H126" s="1268"/>
      <c r="I126" s="1268"/>
      <c r="J126" s="1269"/>
      <c r="K126" s="1269"/>
      <c r="L126" s="1265"/>
      <c r="M126" s="1270"/>
      <c r="N126" s="1271"/>
      <c r="O126" s="1272"/>
      <c r="P126" s="1270"/>
      <c r="Q126" s="1271"/>
      <c r="R126" s="1272"/>
      <c r="S126" s="1270"/>
      <c r="T126" s="1273"/>
      <c r="U126" s="1272"/>
      <c r="V126" s="1274"/>
      <c r="W126" s="1273"/>
      <c r="X126" s="1272"/>
      <c r="Y126" s="1270"/>
      <c r="Z126" s="1273"/>
      <c r="AA126" s="1272"/>
      <c r="AB126" s="1269"/>
      <c r="AC126" s="1269"/>
      <c r="AD126" s="1265"/>
      <c r="AE126" s="1275"/>
      <c r="AF126" s="1276"/>
      <c r="AG126" s="1276"/>
      <c r="AH126" s="1276"/>
      <c r="AI126" s="1265"/>
      <c r="AJ126" s="1265"/>
      <c r="AK126" s="1265"/>
      <c r="AL126" s="1265"/>
      <c r="AM126" s="1265"/>
      <c r="AN126" s="1265"/>
      <c r="AO126" s="1265"/>
      <c r="AP126" s="1275"/>
      <c r="AQ126" s="1275"/>
      <c r="AR126" s="1265"/>
      <c r="AS126" s="1265"/>
      <c r="AT126" s="1265"/>
      <c r="AU126" s="1265"/>
      <c r="AV126" s="1265"/>
      <c r="AW126" s="1265"/>
      <c r="AX126" s="1265"/>
      <c r="AY126" s="1265"/>
      <c r="AZ126" s="1265"/>
      <c r="BA126" s="1265"/>
      <c r="BB126" s="1265"/>
      <c r="BC126" s="1265"/>
      <c r="BD126" s="1265"/>
      <c r="BE126" s="1265"/>
      <c r="BF126" s="1265"/>
      <c r="BG126" s="1265"/>
    </row>
    <row r="127" spans="1:59" s="783" customFormat="1">
      <c r="A127" s="1265"/>
      <c r="B127" s="1265"/>
      <c r="C127" s="1265"/>
      <c r="D127" s="1265"/>
      <c r="E127" s="1265"/>
      <c r="F127" s="1265"/>
      <c r="G127" s="1267"/>
      <c r="H127" s="1268"/>
      <c r="I127" s="1268"/>
      <c r="J127" s="1269"/>
      <c r="K127" s="1269"/>
      <c r="L127" s="1265"/>
      <c r="M127" s="1270"/>
      <c r="N127" s="1271"/>
      <c r="O127" s="1272"/>
      <c r="P127" s="1270"/>
      <c r="Q127" s="1271"/>
      <c r="R127" s="1272"/>
      <c r="S127" s="1270"/>
      <c r="T127" s="1273"/>
      <c r="U127" s="1272"/>
      <c r="V127" s="1274"/>
      <c r="W127" s="1273"/>
      <c r="X127" s="1272"/>
      <c r="Y127" s="1270"/>
      <c r="Z127" s="1273"/>
      <c r="AA127" s="1272"/>
      <c r="AB127" s="1269"/>
      <c r="AC127" s="1269"/>
      <c r="AD127" s="1265"/>
      <c r="AE127" s="1275"/>
      <c r="AF127" s="1276"/>
      <c r="AG127" s="1276"/>
      <c r="AH127" s="1276"/>
      <c r="AI127" s="1265"/>
      <c r="AJ127" s="1265"/>
      <c r="AK127" s="1265"/>
      <c r="AL127" s="1265"/>
      <c r="AM127" s="1265"/>
      <c r="AN127" s="1265"/>
      <c r="AO127" s="1265"/>
      <c r="AP127" s="1275"/>
      <c r="AQ127" s="1275"/>
      <c r="AR127" s="1265"/>
      <c r="AS127" s="1265"/>
      <c r="AT127" s="1265"/>
      <c r="AU127" s="1265"/>
      <c r="AV127" s="1265"/>
      <c r="AW127" s="1265"/>
      <c r="AX127" s="1265"/>
      <c r="AY127" s="1265"/>
      <c r="AZ127" s="1265"/>
      <c r="BA127" s="1265"/>
      <c r="BB127" s="1265"/>
      <c r="BC127" s="1265"/>
      <c r="BD127" s="1265"/>
      <c r="BE127" s="1265"/>
      <c r="BF127" s="1265"/>
      <c r="BG127" s="1265"/>
    </row>
    <row r="128" spans="1:59">
      <c r="AJ128" s="783"/>
      <c r="AK128" s="783"/>
      <c r="AV128" s="783"/>
    </row>
  </sheetData>
  <sheetProtection password="83D4" sheet="1" objects="1" scenarios="1"/>
  <mergeCells count="6">
    <mergeCell ref="G2:R2"/>
    <mergeCell ref="AP7:AQ7"/>
    <mergeCell ref="AP35:AQ35"/>
    <mergeCell ref="AP6:AQ6"/>
    <mergeCell ref="V2:W2"/>
    <mergeCell ref="AJ2:AM2"/>
  </mergeCells>
  <phoneticPr fontId="5"/>
  <conditionalFormatting sqref="H7:H116">
    <cfRule type="expression" dxfId="264" priority="1" stopIfTrue="1">
      <formula>J7=2</formula>
    </cfRule>
  </conditionalFormatting>
  <conditionalFormatting sqref="AB7:AB116">
    <cfRule type="expression" dxfId="263" priority="2" stopIfTrue="1">
      <formula>ISNA(AC7)</formula>
    </cfRule>
  </conditionalFormatting>
  <conditionalFormatting sqref="G7:G116">
    <cfRule type="expression" dxfId="262" priority="3" stopIfTrue="1">
      <formula>I7=2</formula>
    </cfRule>
  </conditionalFormatting>
  <conditionalFormatting sqref="I7:I116 N7:N116">
    <cfRule type="cellIs" dxfId="261" priority="8" stopIfTrue="1" operator="equal">
      <formula>2</formula>
    </cfRule>
  </conditionalFormatting>
  <conditionalFormatting sqref="Q7 V7">
    <cfRule type="expression" dxfId="260" priority="9" stopIfTrue="1">
      <formula>$I$7=""</formula>
    </cfRule>
  </conditionalFormatting>
  <conditionalFormatting sqref="Q8 V8">
    <cfRule type="expression" dxfId="259" priority="10" stopIfTrue="1">
      <formula>$I$8=""</formula>
    </cfRule>
  </conditionalFormatting>
  <conditionalFormatting sqref="Q9 V9">
    <cfRule type="expression" dxfId="258" priority="11" stopIfTrue="1">
      <formula>$I$9=""</formula>
    </cfRule>
  </conditionalFormatting>
  <conditionalFormatting sqref="Q10 V10">
    <cfRule type="expression" dxfId="257" priority="12" stopIfTrue="1">
      <formula>$I$10=""</formula>
    </cfRule>
  </conditionalFormatting>
  <conditionalFormatting sqref="Q11 V11">
    <cfRule type="expression" dxfId="256" priority="13" stopIfTrue="1">
      <formula>$I$11=""</formula>
    </cfRule>
  </conditionalFormatting>
  <conditionalFormatting sqref="Q12 V12">
    <cfRule type="expression" dxfId="255" priority="14" stopIfTrue="1">
      <formula>$I$12=""</formula>
    </cfRule>
  </conditionalFormatting>
  <conditionalFormatting sqref="Q13 V13">
    <cfRule type="expression" dxfId="254" priority="15" stopIfTrue="1">
      <formula>$I$13=""</formula>
    </cfRule>
  </conditionalFormatting>
  <conditionalFormatting sqref="Q14 V14">
    <cfRule type="expression" dxfId="253" priority="16" stopIfTrue="1">
      <formula>$I$14=""</formula>
    </cfRule>
  </conditionalFormatting>
  <conditionalFormatting sqref="Q15 V15">
    <cfRule type="expression" dxfId="252" priority="17" stopIfTrue="1">
      <formula>$I$15=""</formula>
    </cfRule>
  </conditionalFormatting>
  <conditionalFormatting sqref="Q16 V16">
    <cfRule type="expression" dxfId="251" priority="18" stopIfTrue="1">
      <formula>$I$16=""</formula>
    </cfRule>
  </conditionalFormatting>
  <conditionalFormatting sqref="Q17 V17">
    <cfRule type="expression" dxfId="250" priority="19" stopIfTrue="1">
      <formula>$I$17=""</formula>
    </cfRule>
  </conditionalFormatting>
  <conditionalFormatting sqref="Q18 V18">
    <cfRule type="expression" dxfId="249" priority="20" stopIfTrue="1">
      <formula>$I$18=""</formula>
    </cfRule>
  </conditionalFormatting>
  <conditionalFormatting sqref="Q19 V19">
    <cfRule type="expression" dxfId="248" priority="21" stopIfTrue="1">
      <formula>$I$19=""</formula>
    </cfRule>
  </conditionalFormatting>
  <conditionalFormatting sqref="Q20 V20">
    <cfRule type="expression" dxfId="247" priority="22" stopIfTrue="1">
      <formula>$I$20=""</formula>
    </cfRule>
  </conditionalFormatting>
  <conditionalFormatting sqref="Q21 V21">
    <cfRule type="expression" dxfId="246" priority="23" stopIfTrue="1">
      <formula>$I$21=""</formula>
    </cfRule>
  </conditionalFormatting>
  <conditionalFormatting sqref="Q22 V22">
    <cfRule type="expression" dxfId="245" priority="24" stopIfTrue="1">
      <formula>$I$22=""</formula>
    </cfRule>
  </conditionalFormatting>
  <conditionalFormatting sqref="Q23 V23">
    <cfRule type="expression" dxfId="244" priority="25" stopIfTrue="1">
      <formula>$I$23=""</formula>
    </cfRule>
  </conditionalFormatting>
  <conditionalFormatting sqref="Q24 V24">
    <cfRule type="expression" dxfId="243" priority="26" stopIfTrue="1">
      <formula>$I$24=""</formula>
    </cfRule>
  </conditionalFormatting>
  <conditionalFormatting sqref="Q25 V25">
    <cfRule type="expression" dxfId="242" priority="27" stopIfTrue="1">
      <formula>$I$25=""</formula>
    </cfRule>
  </conditionalFormatting>
  <conditionalFormatting sqref="Q26 V26">
    <cfRule type="expression" dxfId="241" priority="28" stopIfTrue="1">
      <formula>$I$26=""</formula>
    </cfRule>
  </conditionalFormatting>
  <conditionalFormatting sqref="Q27 V27">
    <cfRule type="expression" dxfId="240" priority="29" stopIfTrue="1">
      <formula>$I$27=""</formula>
    </cfRule>
  </conditionalFormatting>
  <conditionalFormatting sqref="Q28 V28">
    <cfRule type="expression" dxfId="239" priority="30" stopIfTrue="1">
      <formula>$I$28=""</formula>
    </cfRule>
  </conditionalFormatting>
  <conditionalFormatting sqref="Q29 V29">
    <cfRule type="expression" dxfId="238" priority="31" stopIfTrue="1">
      <formula>$I$29=""</formula>
    </cfRule>
  </conditionalFormatting>
  <conditionalFormatting sqref="Q30 V30">
    <cfRule type="expression" dxfId="237" priority="32" stopIfTrue="1">
      <formula>$I$30=""</formula>
    </cfRule>
  </conditionalFormatting>
  <conditionalFormatting sqref="Q31 V31">
    <cfRule type="expression" dxfId="236" priority="33" stopIfTrue="1">
      <formula>$I$31=""</formula>
    </cfRule>
  </conditionalFormatting>
  <conditionalFormatting sqref="Q32 V32">
    <cfRule type="expression" dxfId="235" priority="34" stopIfTrue="1">
      <formula>$I$32=""</formula>
    </cfRule>
  </conditionalFormatting>
  <conditionalFormatting sqref="Q33 V33">
    <cfRule type="expression" dxfId="234" priority="35" stopIfTrue="1">
      <formula>$I$33=""</formula>
    </cfRule>
  </conditionalFormatting>
  <conditionalFormatting sqref="Q34 V34">
    <cfRule type="expression" dxfId="233" priority="36" stopIfTrue="1">
      <formula>$I$34=""</formula>
    </cfRule>
  </conditionalFormatting>
  <conditionalFormatting sqref="Q35 V35">
    <cfRule type="expression" dxfId="232" priority="37" stopIfTrue="1">
      <formula>$I$35=""</formula>
    </cfRule>
  </conditionalFormatting>
  <conditionalFormatting sqref="Q36 V36">
    <cfRule type="expression" dxfId="231" priority="38" stopIfTrue="1">
      <formula>$I$36=""</formula>
    </cfRule>
  </conditionalFormatting>
  <conditionalFormatting sqref="Q47 V47">
    <cfRule type="expression" dxfId="230" priority="39" stopIfTrue="1">
      <formula>$I$47=""</formula>
    </cfRule>
  </conditionalFormatting>
  <conditionalFormatting sqref="Q48 V48">
    <cfRule type="expression" dxfId="229" priority="40" stopIfTrue="1">
      <formula>$I$48=""</formula>
    </cfRule>
  </conditionalFormatting>
  <conditionalFormatting sqref="Q49 V49">
    <cfRule type="expression" dxfId="228" priority="41" stopIfTrue="1">
      <formula>$I$49=""</formula>
    </cfRule>
  </conditionalFormatting>
  <conditionalFormatting sqref="Q50 V50">
    <cfRule type="expression" dxfId="227" priority="42" stopIfTrue="1">
      <formula>$I$50=""</formula>
    </cfRule>
  </conditionalFormatting>
  <conditionalFormatting sqref="Q51 V51">
    <cfRule type="expression" dxfId="226" priority="43" stopIfTrue="1">
      <formula>$I$51=""</formula>
    </cfRule>
  </conditionalFormatting>
  <conditionalFormatting sqref="Q52 V52">
    <cfRule type="expression" dxfId="225" priority="44" stopIfTrue="1">
      <formula>$I$52=""</formula>
    </cfRule>
  </conditionalFormatting>
  <conditionalFormatting sqref="Q53 V53">
    <cfRule type="expression" dxfId="224" priority="45" stopIfTrue="1">
      <formula>$I$53=""</formula>
    </cfRule>
  </conditionalFormatting>
  <conditionalFormatting sqref="Q54 V54">
    <cfRule type="expression" dxfId="223" priority="46" stopIfTrue="1">
      <formula>$I$54=""</formula>
    </cfRule>
  </conditionalFormatting>
  <conditionalFormatting sqref="Q55 V55">
    <cfRule type="expression" dxfId="222" priority="47" stopIfTrue="1">
      <formula>$I$55=""</formula>
    </cfRule>
  </conditionalFormatting>
  <conditionalFormatting sqref="Q56 V56">
    <cfRule type="expression" dxfId="221" priority="48" stopIfTrue="1">
      <formula>$I$56=""</formula>
    </cfRule>
  </conditionalFormatting>
  <conditionalFormatting sqref="Q57 V57">
    <cfRule type="expression" dxfId="220" priority="49" stopIfTrue="1">
      <formula>$I$57=""</formula>
    </cfRule>
  </conditionalFormatting>
  <conditionalFormatting sqref="Q58 V58">
    <cfRule type="expression" dxfId="219" priority="50" stopIfTrue="1">
      <formula>$I$58=""</formula>
    </cfRule>
  </conditionalFormatting>
  <conditionalFormatting sqref="Q59 V59">
    <cfRule type="expression" dxfId="218" priority="51" stopIfTrue="1">
      <formula>$I$59=""</formula>
    </cfRule>
  </conditionalFormatting>
  <conditionalFormatting sqref="Q60 V60">
    <cfRule type="expression" dxfId="217" priority="52" stopIfTrue="1">
      <formula>$I$60=""</formula>
    </cfRule>
  </conditionalFormatting>
  <conditionalFormatting sqref="Q61 V61">
    <cfRule type="expression" dxfId="216" priority="53" stopIfTrue="1">
      <formula>$I$61=""</formula>
    </cfRule>
  </conditionalFormatting>
  <conditionalFormatting sqref="Q62 V62">
    <cfRule type="expression" dxfId="215" priority="54" stopIfTrue="1">
      <formula>$I$62=""</formula>
    </cfRule>
  </conditionalFormatting>
  <conditionalFormatting sqref="Q63 V63">
    <cfRule type="expression" dxfId="214" priority="55" stopIfTrue="1">
      <formula>$I$63=""</formula>
    </cfRule>
  </conditionalFormatting>
  <conditionalFormatting sqref="Q64 V64">
    <cfRule type="expression" dxfId="213" priority="56" stopIfTrue="1">
      <formula>$I$64=""</formula>
    </cfRule>
  </conditionalFormatting>
  <conditionalFormatting sqref="Q65 V65">
    <cfRule type="expression" dxfId="212" priority="57" stopIfTrue="1">
      <formula>$I$65=""</formula>
    </cfRule>
  </conditionalFormatting>
  <conditionalFormatting sqref="Q66 V66">
    <cfRule type="expression" dxfId="211" priority="58" stopIfTrue="1">
      <formula>$I$66=""</formula>
    </cfRule>
  </conditionalFormatting>
  <conditionalFormatting sqref="Q67 V67">
    <cfRule type="expression" dxfId="210" priority="59" stopIfTrue="1">
      <formula>$I$67=""</formula>
    </cfRule>
  </conditionalFormatting>
  <conditionalFormatting sqref="Q68 V68">
    <cfRule type="expression" dxfId="209" priority="60" stopIfTrue="1">
      <formula>$I$68=""</formula>
    </cfRule>
  </conditionalFormatting>
  <conditionalFormatting sqref="Q69 V69">
    <cfRule type="expression" dxfId="208" priority="61" stopIfTrue="1">
      <formula>$I$69=""</formula>
    </cfRule>
  </conditionalFormatting>
  <conditionalFormatting sqref="Q71 V71">
    <cfRule type="expression" dxfId="207" priority="62" stopIfTrue="1">
      <formula>$I$71=""</formula>
    </cfRule>
  </conditionalFormatting>
  <conditionalFormatting sqref="Q72 V72">
    <cfRule type="expression" dxfId="206" priority="63" stopIfTrue="1">
      <formula>$I$72=""</formula>
    </cfRule>
  </conditionalFormatting>
  <conditionalFormatting sqref="Q73 V73">
    <cfRule type="expression" dxfId="205" priority="64" stopIfTrue="1">
      <formula>$I$73=""</formula>
    </cfRule>
  </conditionalFormatting>
  <conditionalFormatting sqref="Q74 V74">
    <cfRule type="expression" dxfId="204" priority="65" stopIfTrue="1">
      <formula>$I$74=""</formula>
    </cfRule>
  </conditionalFormatting>
  <conditionalFormatting sqref="Q75 V75">
    <cfRule type="expression" dxfId="203" priority="66" stopIfTrue="1">
      <formula>$I$75=""</formula>
    </cfRule>
  </conditionalFormatting>
  <conditionalFormatting sqref="Q76 V76">
    <cfRule type="expression" dxfId="202" priority="67" stopIfTrue="1">
      <formula>$I$76=""</formula>
    </cfRule>
  </conditionalFormatting>
  <conditionalFormatting sqref="Q77 V77">
    <cfRule type="expression" dxfId="201" priority="68" stopIfTrue="1">
      <formula>$I$77=""</formula>
    </cfRule>
  </conditionalFormatting>
  <conditionalFormatting sqref="Q78 V78">
    <cfRule type="expression" dxfId="200" priority="69" stopIfTrue="1">
      <formula>$I$78=""</formula>
    </cfRule>
  </conditionalFormatting>
  <conditionalFormatting sqref="Q79 V79">
    <cfRule type="expression" dxfId="199" priority="70" stopIfTrue="1">
      <formula>$I$79=""</formula>
    </cfRule>
  </conditionalFormatting>
  <conditionalFormatting sqref="Q80 V80">
    <cfRule type="expression" dxfId="198" priority="71" stopIfTrue="1">
      <formula>$I$80=""</formula>
    </cfRule>
  </conditionalFormatting>
  <conditionalFormatting sqref="Q81 V81">
    <cfRule type="expression" dxfId="197" priority="72" stopIfTrue="1">
      <formula>$I$81=""</formula>
    </cfRule>
  </conditionalFormatting>
  <conditionalFormatting sqref="Q82 V82">
    <cfRule type="expression" dxfId="196" priority="73" stopIfTrue="1">
      <formula>$I$82=""</formula>
    </cfRule>
  </conditionalFormatting>
  <conditionalFormatting sqref="Q83 V83">
    <cfRule type="expression" dxfId="195" priority="74" stopIfTrue="1">
      <formula>$I$83=""</formula>
    </cfRule>
  </conditionalFormatting>
  <conditionalFormatting sqref="Q84 V84">
    <cfRule type="expression" dxfId="194" priority="75" stopIfTrue="1">
      <formula>$I$84=""</formula>
    </cfRule>
  </conditionalFormatting>
  <conditionalFormatting sqref="Q85 V85">
    <cfRule type="expression" dxfId="193" priority="76" stopIfTrue="1">
      <formula>$I$85=""</formula>
    </cfRule>
  </conditionalFormatting>
  <conditionalFormatting sqref="Q86 V86">
    <cfRule type="expression" dxfId="192" priority="77" stopIfTrue="1">
      <formula>$I$86=""</formula>
    </cfRule>
  </conditionalFormatting>
  <conditionalFormatting sqref="Q87 V87">
    <cfRule type="expression" dxfId="191" priority="78" stopIfTrue="1">
      <formula>$I$87=""</formula>
    </cfRule>
  </conditionalFormatting>
  <conditionalFormatting sqref="Q88 V88">
    <cfRule type="expression" dxfId="190" priority="79" stopIfTrue="1">
      <formula>$I$88=""</formula>
    </cfRule>
  </conditionalFormatting>
  <conditionalFormatting sqref="Q89 V89">
    <cfRule type="expression" dxfId="189" priority="80" stopIfTrue="1">
      <formula>$I$89=""</formula>
    </cfRule>
  </conditionalFormatting>
  <conditionalFormatting sqref="Q90 V90">
    <cfRule type="expression" dxfId="188" priority="81" stopIfTrue="1">
      <formula>$I$90=""</formula>
    </cfRule>
  </conditionalFormatting>
  <conditionalFormatting sqref="Q91 V91">
    <cfRule type="expression" dxfId="187" priority="82" stopIfTrue="1">
      <formula>$I$91=""</formula>
    </cfRule>
  </conditionalFormatting>
  <conditionalFormatting sqref="Q92 V92">
    <cfRule type="expression" dxfId="186" priority="83" stopIfTrue="1">
      <formula>$I$92=""</formula>
    </cfRule>
  </conditionalFormatting>
  <conditionalFormatting sqref="Q93 V93">
    <cfRule type="expression" dxfId="185" priority="84" stopIfTrue="1">
      <formula>$I$93=""</formula>
    </cfRule>
  </conditionalFormatting>
  <conditionalFormatting sqref="Q94 V94">
    <cfRule type="expression" dxfId="184" priority="85" stopIfTrue="1">
      <formula>$I$94=""</formula>
    </cfRule>
  </conditionalFormatting>
  <conditionalFormatting sqref="Q95 V95">
    <cfRule type="expression" dxfId="183" priority="86" stopIfTrue="1">
      <formula>$I$95=""</formula>
    </cfRule>
  </conditionalFormatting>
  <conditionalFormatting sqref="Q96 V96">
    <cfRule type="expression" dxfId="182" priority="87" stopIfTrue="1">
      <formula>$I$96=""</formula>
    </cfRule>
  </conditionalFormatting>
  <conditionalFormatting sqref="Q97 V97">
    <cfRule type="expression" dxfId="181" priority="88" stopIfTrue="1">
      <formula>$I$97=""</formula>
    </cfRule>
  </conditionalFormatting>
  <conditionalFormatting sqref="Q98 V98">
    <cfRule type="expression" dxfId="180" priority="89" stopIfTrue="1">
      <formula>$I$98=""</formula>
    </cfRule>
  </conditionalFormatting>
  <conditionalFormatting sqref="Q99 V99">
    <cfRule type="expression" dxfId="179" priority="90" stopIfTrue="1">
      <formula>$I$99=""</formula>
    </cfRule>
  </conditionalFormatting>
  <conditionalFormatting sqref="Q100 V100">
    <cfRule type="expression" dxfId="178" priority="91" stopIfTrue="1">
      <formula>$I$100=""</formula>
    </cfRule>
  </conditionalFormatting>
  <conditionalFormatting sqref="Q101 V101">
    <cfRule type="expression" dxfId="177" priority="92" stopIfTrue="1">
      <formula>$I$101=""</formula>
    </cfRule>
  </conditionalFormatting>
  <conditionalFormatting sqref="Q102 V102">
    <cfRule type="expression" dxfId="176" priority="93" stopIfTrue="1">
      <formula>$I$102=""</formula>
    </cfRule>
  </conditionalFormatting>
  <conditionalFormatting sqref="Q103 V103">
    <cfRule type="expression" dxfId="175" priority="94" stopIfTrue="1">
      <formula>$I$103=""</formula>
    </cfRule>
  </conditionalFormatting>
  <conditionalFormatting sqref="Q104 V104">
    <cfRule type="expression" dxfId="174" priority="95" stopIfTrue="1">
      <formula>$I$104=""</formula>
    </cfRule>
  </conditionalFormatting>
  <conditionalFormatting sqref="Q105 V105">
    <cfRule type="expression" dxfId="173" priority="96" stopIfTrue="1">
      <formula>$I$105=""</formula>
    </cfRule>
  </conditionalFormatting>
  <conditionalFormatting sqref="Q106 V106">
    <cfRule type="expression" dxfId="172" priority="97" stopIfTrue="1">
      <formula>$I$106=""</formula>
    </cfRule>
  </conditionalFormatting>
  <conditionalFormatting sqref="Q107 V107">
    <cfRule type="expression" dxfId="171" priority="98" stopIfTrue="1">
      <formula>$I$107=""</formula>
    </cfRule>
  </conditionalFormatting>
  <conditionalFormatting sqref="Q108 V108">
    <cfRule type="expression" dxfId="170" priority="99" stopIfTrue="1">
      <formula>$I$108=""</formula>
    </cfRule>
  </conditionalFormatting>
  <conditionalFormatting sqref="Q109 V109">
    <cfRule type="expression" dxfId="169" priority="100" stopIfTrue="1">
      <formula>$I$109=""</formula>
    </cfRule>
  </conditionalFormatting>
  <conditionalFormatting sqref="Q110 V110">
    <cfRule type="expression" dxfId="168" priority="101" stopIfTrue="1">
      <formula>$I$110=""</formula>
    </cfRule>
  </conditionalFormatting>
  <conditionalFormatting sqref="Q111 V111">
    <cfRule type="expression" dxfId="167" priority="102" stopIfTrue="1">
      <formula>$I$111=""</formula>
    </cfRule>
  </conditionalFormatting>
  <conditionalFormatting sqref="Q112 V112">
    <cfRule type="expression" dxfId="166" priority="103" stopIfTrue="1">
      <formula>$I$112=""</formula>
    </cfRule>
  </conditionalFormatting>
  <conditionalFormatting sqref="Q113 V113">
    <cfRule type="expression" dxfId="165" priority="104" stopIfTrue="1">
      <formula>$I$113=""</formula>
    </cfRule>
  </conditionalFormatting>
  <conditionalFormatting sqref="Q114 V114">
    <cfRule type="expression" dxfId="164" priority="105" stopIfTrue="1">
      <formula>$I$114=""</formula>
    </cfRule>
  </conditionalFormatting>
  <conditionalFormatting sqref="Q115 V115">
    <cfRule type="expression" dxfId="163" priority="106" stopIfTrue="1">
      <formula>$I$115=""</formula>
    </cfRule>
  </conditionalFormatting>
  <conditionalFormatting sqref="Q116 V116">
    <cfRule type="expression" dxfId="162" priority="107" stopIfTrue="1">
      <formula>$I$116=""</formula>
    </cfRule>
  </conditionalFormatting>
  <conditionalFormatting sqref="Q37 V37">
    <cfRule type="expression" dxfId="161" priority="108" stopIfTrue="1">
      <formula>$I$37=""</formula>
    </cfRule>
  </conditionalFormatting>
  <conditionalFormatting sqref="Q38 V38">
    <cfRule type="expression" dxfId="160" priority="109" stopIfTrue="1">
      <formula>$I$38=""</formula>
    </cfRule>
  </conditionalFormatting>
  <conditionalFormatting sqref="Q39 V39">
    <cfRule type="expression" dxfId="159" priority="110" stopIfTrue="1">
      <formula>$I$39=""</formula>
    </cfRule>
  </conditionalFormatting>
  <conditionalFormatting sqref="Q40 V40">
    <cfRule type="expression" dxfId="158" priority="111" stopIfTrue="1">
      <formula>$I$40=""</formula>
    </cfRule>
  </conditionalFormatting>
  <conditionalFormatting sqref="Q41 V41">
    <cfRule type="expression" dxfId="157" priority="112" stopIfTrue="1">
      <formula>$I$41=""</formula>
    </cfRule>
  </conditionalFormatting>
  <conditionalFormatting sqref="Q42 V42">
    <cfRule type="expression" dxfId="156" priority="113" stopIfTrue="1">
      <formula>$I$42=""</formula>
    </cfRule>
  </conditionalFormatting>
  <conditionalFormatting sqref="Q43 V43">
    <cfRule type="expression" dxfId="155" priority="114" stopIfTrue="1">
      <formula>$I$43=""</formula>
    </cfRule>
  </conditionalFormatting>
  <conditionalFormatting sqref="Q44 V44">
    <cfRule type="expression" dxfId="154" priority="115" stopIfTrue="1">
      <formula>$I$44=""</formula>
    </cfRule>
  </conditionalFormatting>
  <conditionalFormatting sqref="Q45 V45">
    <cfRule type="expression" dxfId="153" priority="116" stopIfTrue="1">
      <formula>$I$45=""</formula>
    </cfRule>
  </conditionalFormatting>
  <conditionalFormatting sqref="Q46 V46">
    <cfRule type="expression" dxfId="152" priority="117" stopIfTrue="1">
      <formula>$I$46=""</formula>
    </cfRule>
  </conditionalFormatting>
  <conditionalFormatting sqref="Q70 V70">
    <cfRule type="expression" dxfId="151" priority="118" stopIfTrue="1">
      <formula>$I$70=""</formula>
    </cfRule>
  </conditionalFormatting>
  <conditionalFormatting sqref="F7:F116">
    <cfRule type="expression" dxfId="150" priority="119" stopIfTrue="1">
      <formula>I7=2</formula>
    </cfRule>
  </conditionalFormatting>
  <conditionalFormatting sqref="O7:O116">
    <cfRule type="expression" dxfId="149" priority="130" stopIfTrue="1">
      <formula>ISNA(P7)</formula>
    </cfRule>
    <cfRule type="expression" dxfId="148" priority="131" stopIfTrue="1">
      <formula>I7=""</formula>
    </cfRule>
  </conditionalFormatting>
  <conditionalFormatting sqref="T7:T116">
    <cfRule type="expression" dxfId="147" priority="466" stopIfTrue="1">
      <formula>ISNA(U7)</formula>
    </cfRule>
    <cfRule type="expression" dxfId="146" priority="467" stopIfTrue="1">
      <formula>I7=""</formula>
    </cfRule>
  </conditionalFormatting>
  <dataValidations xWindow="368" yWindow="242" count="6">
    <dataValidation imeMode="disabled" allowBlank="1" prompt="記録は半角英数字で_x000a_例_x000a_11秒11→11.11_x000a_1分50秒00→1.50.00_x000a_15m50→15m50_x000a__x000a_" sqref="Q6 O117:O65536 V6"/>
    <dataValidation allowBlank="1" showErrorMessage="1" prompt="#N/Aは種目選択ミスです" sqref="P7:P116 U7:U116"/>
    <dataValidation imeMode="disabled" allowBlank="1" showInputMessage="1" prompt="記録は半角英数字で_x000a_例_x000a_11秒11→11.11_x000a_1分50秒00→1.50.00_x000a_15m50→15m50_x000a__x000a_" sqref="Q7:Q116 V7:V116"/>
    <dataValidation imeMode="hiragana" allowBlank="1" prompt="記録は半角英数字で_x000a_例_x000a_11秒11→11.11_x000a_1分50秒00→1.50.00_x000a_15m50→15m50_x000a__x000a_" sqref="P3:P5"/>
    <dataValidation type="list" allowBlank="1" showErrorMessage="1" prompt="種目を選択して下さい_x000a_" sqref="O7:O116">
      <formula1>IF(I7=1,$AV$6:$AV$27,$AW$6:$AW$25)</formula1>
    </dataValidation>
    <dataValidation type="list" allowBlank="1" showErrorMessage="1" prompt="種目を選択して下さい" sqref="T7:T116">
      <formula1>IF(I7=1,$AV$6:$AV$27,$AW$6:$AW$25)</formula1>
    </dataValidation>
  </dataValidations>
  <printOptions horizontalCentered="1"/>
  <pageMargins left="0.52" right="0.2" top="0.98425196850393704" bottom="0.98425196850393704" header="0.51181102362204722" footer="0.51181102362204722"/>
  <pageSetup paperSize="9" scale="90" fitToHeight="2" orientation="portrait" verticalDpi="300" r:id="rId1"/>
  <headerFooter alignWithMargins="0">
    <oddHeader>&amp;L中学 申込&amp;R&amp;D　&amp;T</oddHeader>
    <oddFooter>&amp;L&amp;P&amp;R三重陸上競技協会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" enableFormatConditionsCalculation="0">
    <tabColor indexed="14"/>
    <pageSetUpPr fitToPage="1"/>
  </sheetPr>
  <dimension ref="A1:BT128"/>
  <sheetViews>
    <sheetView showGridLines="0" showZeros="0" topLeftCell="E1" zoomScaleNormal="89" workbookViewId="0">
      <selection activeCell="Q4" sqref="Q4"/>
    </sheetView>
  </sheetViews>
  <sheetFormatPr defaultColWidth="8.625" defaultRowHeight="13.5"/>
  <cols>
    <col min="1" max="1" width="9.75" style="652" hidden="1" customWidth="1"/>
    <col min="2" max="2" width="6.875" style="652" hidden="1" customWidth="1"/>
    <col min="3" max="3" width="9.375" style="652" hidden="1" customWidth="1"/>
    <col min="4" max="4" width="10.125" style="652" hidden="1" customWidth="1"/>
    <col min="5" max="5" width="10.375" style="652" bestFit="1" customWidth="1"/>
    <col min="6" max="6" width="14.375" style="652" customWidth="1"/>
    <col min="7" max="7" width="14.125" style="744" customWidth="1"/>
    <col min="8" max="8" width="11.625" style="652" hidden="1" customWidth="1"/>
    <col min="9" max="9" width="5" style="652" bestFit="1" customWidth="1"/>
    <col min="10" max="10" width="5" style="657" bestFit="1" customWidth="1"/>
    <col min="11" max="11" width="5.5" style="658" hidden="1" customWidth="1"/>
    <col min="12" max="12" width="5.5" style="652" hidden="1" customWidth="1"/>
    <col min="13" max="13" width="16.125" style="34" hidden="1" customWidth="1"/>
    <col min="14" max="14" width="10.5" style="91" bestFit="1" customWidth="1"/>
    <col min="15" max="15" width="11.375" style="33" customWidth="1"/>
    <col min="16" max="16" width="7" style="34" hidden="1" customWidth="1"/>
    <col min="17" max="17" width="8.5" style="745" customWidth="1"/>
    <col min="18" max="18" width="11.875" style="33" hidden="1" customWidth="1"/>
    <col min="19" max="19" width="5.875" style="34" hidden="1" customWidth="1"/>
    <col min="20" max="20" width="11.75" style="745" customWidth="1"/>
    <col min="21" max="21" width="6.25" style="33" hidden="1" customWidth="1"/>
    <col min="22" max="22" width="5.875" style="24" hidden="1" customWidth="1"/>
    <col min="23" max="23" width="6.75" style="652" hidden="1" customWidth="1"/>
    <col min="24" max="24" width="9.375" style="746" hidden="1" customWidth="1"/>
    <col min="25" max="25" width="10.375" style="24" hidden="1" customWidth="1"/>
    <col min="26" max="26" width="12.5" style="652" hidden="1" customWidth="1"/>
    <col min="27" max="27" width="10.125" style="746" hidden="1" customWidth="1"/>
    <col min="28" max="28" width="10.125" style="657" hidden="1" customWidth="1"/>
    <col min="29" max="29" width="9.125" style="657" hidden="1" customWidth="1"/>
    <col min="30" max="30" width="9.125" style="652" hidden="1" customWidth="1"/>
    <col min="31" max="31" width="8.625" style="730" hidden="1" customWidth="1"/>
    <col min="32" max="32" width="6.125" style="652" hidden="1" customWidth="1"/>
    <col min="33" max="33" width="7.25" style="652" hidden="1" customWidth="1"/>
    <col min="34" max="34" width="4.375" style="652" hidden="1" customWidth="1"/>
    <col min="35" max="35" width="5.125" style="652" hidden="1" customWidth="1"/>
    <col min="36" max="36" width="8.375" style="652" hidden="1" customWidth="1"/>
    <col min="37" max="37" width="10.125" style="652" hidden="1" customWidth="1"/>
    <col min="38" max="38" width="6.625" style="652" hidden="1" customWidth="1"/>
    <col min="39" max="39" width="10" style="652" customWidth="1"/>
    <col min="40" max="40" width="7.25" style="652" customWidth="1"/>
    <col min="41" max="41" width="7.75" style="652" customWidth="1"/>
    <col min="42" max="43" width="6.125" style="652" hidden="1" customWidth="1"/>
    <col min="44" max="44" width="7" style="652" hidden="1" customWidth="1"/>
    <col min="45" max="45" width="6" style="652" hidden="1" customWidth="1"/>
    <col min="46" max="46" width="7" style="652" hidden="1" customWidth="1"/>
    <col min="47" max="47" width="6.875" style="652" hidden="1" customWidth="1"/>
    <col min="48" max="48" width="6.75" style="652" hidden="1" customWidth="1"/>
    <col min="49" max="50" width="5" style="652" hidden="1" customWidth="1"/>
    <col min="51" max="51" width="5.75" style="652" customWidth="1"/>
    <col min="52" max="52" width="13.125" style="652" customWidth="1"/>
    <col min="53" max="53" width="5.375" style="652" customWidth="1"/>
    <col min="54" max="54" width="10.375" style="652" customWidth="1"/>
    <col min="55" max="58" width="7.5" style="652" hidden="1" customWidth="1"/>
    <col min="59" max="59" width="8.625" style="652" hidden="1" customWidth="1"/>
    <col min="60" max="16384" width="8.625" style="652"/>
  </cols>
  <sheetData>
    <row r="1" spans="1:64" ht="21.75" customHeight="1">
      <c r="B1" s="636"/>
      <c r="C1" s="637"/>
      <c r="D1" s="659"/>
      <c r="E1" s="217" t="s">
        <v>301</v>
      </c>
      <c r="F1" s="219">
        <f>IF(前年度登録!$O$4="","",前年度登録!$O$4)</f>
        <v>0</v>
      </c>
      <c r="G1" s="660"/>
      <c r="H1" s="661"/>
      <c r="I1" s="661"/>
      <c r="J1" s="650"/>
      <c r="K1" s="651"/>
      <c r="L1" s="661"/>
      <c r="M1" s="661"/>
      <c r="N1" s="661"/>
      <c r="O1" s="661"/>
      <c r="P1" s="223"/>
      <c r="Q1" s="662"/>
      <c r="R1" s="225"/>
      <c r="S1" s="226"/>
      <c r="T1" s="662"/>
      <c r="U1" s="225"/>
      <c r="V1" s="226"/>
      <c r="W1" s="662"/>
      <c r="X1" s="663"/>
      <c r="Y1" s="226"/>
      <c r="Z1" s="662"/>
      <c r="AA1" s="663"/>
      <c r="AB1" s="655"/>
      <c r="AC1" s="655"/>
      <c r="AD1" s="662"/>
      <c r="AE1" s="664"/>
      <c r="AF1" s="662"/>
      <c r="AG1" s="665"/>
      <c r="AH1" s="665"/>
      <c r="AI1" s="665"/>
      <c r="AJ1" s="665"/>
      <c r="AK1" s="662"/>
      <c r="AL1" s="662"/>
      <c r="AM1" s="662"/>
      <c r="AN1" s="662"/>
      <c r="AO1" s="662"/>
      <c r="AY1" s="662"/>
      <c r="AZ1" s="662"/>
      <c r="BA1" s="662"/>
      <c r="BB1" s="662"/>
      <c r="BC1" s="662"/>
      <c r="BD1" s="662"/>
      <c r="BE1" s="662"/>
      <c r="BF1" s="662"/>
      <c r="BG1" s="662"/>
      <c r="BH1" s="1037"/>
      <c r="BI1" s="1037"/>
      <c r="BJ1" s="1037"/>
      <c r="BK1" s="1037"/>
      <c r="BL1" s="1037"/>
    </row>
    <row r="2" spans="1:64" s="666" customFormat="1" ht="28.5" customHeight="1">
      <c r="B2" s="636"/>
      <c r="C2" s="639"/>
      <c r="D2" s="667"/>
      <c r="E2" s="217" t="s">
        <v>302</v>
      </c>
      <c r="F2" s="230" t="e">
        <f>前年度登録!$P$4</f>
        <v>#N/A</v>
      </c>
      <c r="G2" s="1027" t="s">
        <v>87</v>
      </c>
      <c r="H2" s="668"/>
      <c r="I2" s="669"/>
      <c r="J2" s="669"/>
      <c r="K2" s="670"/>
      <c r="L2" s="670"/>
      <c r="M2" s="670"/>
      <c r="N2" s="234"/>
      <c r="O2" s="233"/>
      <c r="P2" s="235"/>
      <c r="Q2" s="236"/>
      <c r="R2" s="237"/>
      <c r="S2" s="238"/>
      <c r="T2" s="671"/>
      <c r="U2" s="239"/>
      <c r="V2" s="238"/>
      <c r="W2" s="671"/>
      <c r="X2" s="672"/>
      <c r="Y2" s="238"/>
      <c r="Z2" s="671"/>
      <c r="AA2" s="672"/>
      <c r="AB2" s="673"/>
      <c r="AC2" s="673"/>
      <c r="AD2" s="671"/>
      <c r="AE2" s="674"/>
      <c r="AF2" s="671"/>
      <c r="AG2" s="675"/>
      <c r="AH2" s="675"/>
      <c r="AI2" s="675"/>
      <c r="AJ2" s="675"/>
      <c r="AK2" s="671"/>
      <c r="AL2" s="671"/>
      <c r="AM2" s="671"/>
      <c r="AN2" s="671"/>
      <c r="AO2" s="671"/>
      <c r="AP2" s="652"/>
      <c r="AQ2" s="652"/>
      <c r="AR2" s="652"/>
      <c r="AY2" s="671"/>
      <c r="AZ2" s="671"/>
      <c r="BA2" s="671"/>
      <c r="BB2" s="671"/>
      <c r="BC2" s="671"/>
      <c r="BD2" s="671"/>
      <c r="BE2" s="671"/>
      <c r="BF2" s="671"/>
      <c r="BG2" s="671"/>
      <c r="BH2" s="1038"/>
      <c r="BI2" s="1038"/>
      <c r="BJ2" s="1038"/>
      <c r="BK2" s="1038"/>
      <c r="BL2" s="1038"/>
    </row>
    <row r="3" spans="1:64" s="666" customFormat="1" ht="28.5" customHeight="1">
      <c r="B3" s="640"/>
      <c r="C3" s="641"/>
      <c r="D3" s="641"/>
      <c r="E3" s="218" t="s">
        <v>291</v>
      </c>
      <c r="F3" s="240" t="str">
        <f>IF(前年度登録!$D$1="","",前年度登録!$D$1)</f>
        <v/>
      </c>
      <c r="G3" s="232" t="s">
        <v>106</v>
      </c>
      <c r="H3" s="231"/>
      <c r="I3" s="232"/>
      <c r="J3" s="232"/>
      <c r="K3" s="676"/>
      <c r="L3" s="671"/>
      <c r="M3" s="241"/>
      <c r="N3" s="241"/>
      <c r="O3" s="241">
        <f>COUNTIF($I$7:$I$116,1)-COUNTIF($AW$7:$AW$116,0)</f>
        <v>0</v>
      </c>
      <c r="P3" s="235"/>
      <c r="Q3" s="236"/>
      <c r="R3" s="237"/>
      <c r="S3" s="238"/>
      <c r="T3" s="671"/>
      <c r="U3" s="239"/>
      <c r="V3" s="238"/>
      <c r="W3" s="671"/>
      <c r="X3" s="672"/>
      <c r="Y3" s="238"/>
      <c r="Z3" s="671"/>
      <c r="AA3" s="672"/>
      <c r="AB3" s="673"/>
      <c r="AC3" s="673"/>
      <c r="AD3" s="671"/>
      <c r="AE3" s="674"/>
      <c r="AF3" s="671"/>
      <c r="AG3" s="675"/>
      <c r="AH3" s="675"/>
      <c r="AI3" s="675"/>
      <c r="AJ3" s="675"/>
      <c r="AK3" s="671"/>
      <c r="AL3" s="671"/>
      <c r="AM3" s="671"/>
      <c r="AN3" s="671"/>
      <c r="AO3" s="671"/>
      <c r="AP3" s="654"/>
      <c r="AQ3" s="654"/>
      <c r="AR3" s="654"/>
      <c r="AY3" s="671"/>
      <c r="AZ3" s="671"/>
      <c r="BA3" s="671"/>
      <c r="BB3" s="671"/>
      <c r="BC3" s="671"/>
      <c r="BD3" s="671"/>
      <c r="BE3" s="671"/>
      <c r="BF3" s="671"/>
      <c r="BG3" s="671"/>
      <c r="BH3" s="1038"/>
      <c r="BI3" s="1038"/>
      <c r="BJ3" s="1038"/>
      <c r="BK3" s="1038"/>
      <c r="BL3" s="1038"/>
    </row>
    <row r="4" spans="1:64" s="666" customFormat="1" ht="28.5" customHeight="1" thickBot="1">
      <c r="B4" s="640"/>
      <c r="C4" s="641"/>
      <c r="D4" s="641"/>
      <c r="E4" s="218" t="s">
        <v>209</v>
      </c>
      <c r="F4" s="240" t="str">
        <f>IF(前年度登録!$I$1="","",前年度登録!$I$1)</f>
        <v/>
      </c>
      <c r="G4" s="232" t="s">
        <v>108</v>
      </c>
      <c r="H4" s="231"/>
      <c r="I4" s="232"/>
      <c r="J4" s="232"/>
      <c r="K4" s="676"/>
      <c r="L4" s="671"/>
      <c r="M4" s="241"/>
      <c r="N4" s="241"/>
      <c r="O4" s="241">
        <f>COUNTIF($I$7:$I$116,2)-COUNTIF($AX$7:$AX$116,0)</f>
        <v>0</v>
      </c>
      <c r="P4" s="234"/>
      <c r="Q4" s="613">
        <f>O3+O4</f>
        <v>0</v>
      </c>
      <c r="R4" s="237"/>
      <c r="S4" s="238"/>
      <c r="T4" s="671"/>
      <c r="U4" s="239"/>
      <c r="V4" s="238"/>
      <c r="W4" s="671"/>
      <c r="X4" s="672"/>
      <c r="Y4" s="238"/>
      <c r="Z4" s="671"/>
      <c r="AA4" s="672"/>
      <c r="AB4" s="673"/>
      <c r="AC4" s="673"/>
      <c r="AD4" s="671"/>
      <c r="AE4" s="674"/>
      <c r="AF4" s="671"/>
      <c r="AG4" s="675"/>
      <c r="AH4" s="675"/>
      <c r="AI4" s="675"/>
      <c r="AJ4" s="675"/>
      <c r="AK4" s="671"/>
      <c r="AL4" s="671"/>
      <c r="AM4" s="671"/>
      <c r="AN4" s="671"/>
      <c r="AO4" s="671"/>
      <c r="AP4" s="654"/>
      <c r="AQ4" s="654"/>
      <c r="AR4" s="654"/>
      <c r="AY4" s="671"/>
      <c r="AZ4" s="671"/>
      <c r="BA4" s="671"/>
      <c r="BB4" s="671"/>
      <c r="BC4" s="671"/>
      <c r="BD4" s="671"/>
      <c r="BE4" s="671"/>
      <c r="BF4" s="671"/>
      <c r="BG4" s="671"/>
      <c r="BH4" s="1038"/>
      <c r="BI4" s="1038"/>
      <c r="BJ4" s="1038"/>
      <c r="BK4" s="1038"/>
      <c r="BL4" s="1038"/>
    </row>
    <row r="5" spans="1:64" s="666" customFormat="1" ht="28.5" customHeight="1" thickBot="1">
      <c r="B5" s="642"/>
      <c r="C5" s="667"/>
      <c r="D5" s="667"/>
      <c r="E5" s="242"/>
      <c r="F5" s="671"/>
      <c r="G5" s="232" t="s">
        <v>231</v>
      </c>
      <c r="H5" s="243"/>
      <c r="I5" s="232"/>
      <c r="J5" s="232"/>
      <c r="K5" s="676"/>
      <c r="L5" s="671"/>
      <c r="M5" s="538"/>
      <c r="N5" s="538"/>
      <c r="O5" s="538">
        <f>($AF$117*1000)+($AP$17*2000)+AM5*800</f>
        <v>0</v>
      </c>
      <c r="P5" s="244"/>
      <c r="Q5" s="244"/>
      <c r="R5" s="237"/>
      <c r="S5" s="238"/>
      <c r="T5" s="1099" t="s">
        <v>508</v>
      </c>
      <c r="U5" s="239"/>
      <c r="V5" s="238"/>
      <c r="W5" s="671"/>
      <c r="X5" s="672"/>
      <c r="Y5" s="238"/>
      <c r="Z5" s="671"/>
      <c r="AA5" s="672"/>
      <c r="AB5" s="673"/>
      <c r="AC5" s="673"/>
      <c r="AD5" s="671"/>
      <c r="AE5" s="674"/>
      <c r="AF5" s="671"/>
      <c r="AG5" s="675"/>
      <c r="AH5" s="675"/>
      <c r="AI5" s="675"/>
      <c r="AJ5" s="675"/>
      <c r="AK5" s="671"/>
      <c r="AL5" s="671"/>
      <c r="AM5" s="1100"/>
      <c r="AN5" s="671" t="s">
        <v>509</v>
      </c>
      <c r="AO5" s="671"/>
      <c r="AP5" s="654"/>
      <c r="AQ5" s="654"/>
      <c r="AR5" s="654"/>
      <c r="AY5" s="671"/>
      <c r="AZ5" s="671"/>
      <c r="BA5" s="671"/>
      <c r="BB5" s="671"/>
      <c r="BC5" s="671"/>
      <c r="BD5" s="671"/>
      <c r="BE5" s="671"/>
      <c r="BF5" s="671"/>
      <c r="BG5" s="671"/>
      <c r="BH5" s="1038"/>
      <c r="BI5" s="1038"/>
      <c r="BJ5" s="1038"/>
      <c r="BK5" s="1038"/>
      <c r="BL5" s="1038"/>
    </row>
    <row r="6" spans="1:64" s="695" customFormat="1" ht="14.25" thickBot="1">
      <c r="A6" s="677" t="s">
        <v>9</v>
      </c>
      <c r="B6" s="678" t="s">
        <v>0</v>
      </c>
      <c r="C6" s="678" t="s">
        <v>446</v>
      </c>
      <c r="D6" s="679" t="s">
        <v>445</v>
      </c>
      <c r="E6" s="680" t="s">
        <v>5</v>
      </c>
      <c r="F6" s="678" t="s">
        <v>71</v>
      </c>
      <c r="G6" s="678" t="s">
        <v>2</v>
      </c>
      <c r="H6" s="678" t="s">
        <v>10</v>
      </c>
      <c r="I6" s="678" t="s">
        <v>3</v>
      </c>
      <c r="J6" s="678" t="s">
        <v>1</v>
      </c>
      <c r="K6" s="1284" t="s">
        <v>443</v>
      </c>
      <c r="L6" s="1284" t="s">
        <v>444</v>
      </c>
      <c r="M6" s="682" t="s">
        <v>4</v>
      </c>
      <c r="N6" s="1285" t="s">
        <v>558</v>
      </c>
      <c r="O6" s="1280" t="s">
        <v>14</v>
      </c>
      <c r="P6" s="678" t="s">
        <v>62</v>
      </c>
      <c r="Q6" s="683" t="s">
        <v>76</v>
      </c>
      <c r="R6" s="684"/>
      <c r="S6" s="684"/>
      <c r="T6" s="685" t="s">
        <v>207</v>
      </c>
      <c r="U6" s="686" t="s">
        <v>62</v>
      </c>
      <c r="V6" s="687" t="s">
        <v>70</v>
      </c>
      <c r="W6" s="684"/>
      <c r="X6" s="684"/>
      <c r="Y6" s="688" t="s">
        <v>47</v>
      </c>
      <c r="Z6" s="689" t="s">
        <v>62</v>
      </c>
      <c r="AA6" s="690" t="s">
        <v>63</v>
      </c>
      <c r="AB6" s="691" t="s">
        <v>48</v>
      </c>
      <c r="AC6" s="692" t="s">
        <v>62</v>
      </c>
      <c r="AD6" s="693" t="s">
        <v>64</v>
      </c>
      <c r="AE6" s="691" t="s">
        <v>49</v>
      </c>
      <c r="AF6" s="692" t="s">
        <v>62</v>
      </c>
      <c r="AG6" s="694" t="s">
        <v>65</v>
      </c>
      <c r="AH6" s="656"/>
      <c r="AI6" s="656"/>
      <c r="AK6" s="696">
        <v>100</v>
      </c>
      <c r="AM6" s="1182" t="s">
        <v>199</v>
      </c>
      <c r="AN6" s="1183"/>
      <c r="AO6" s="1184"/>
      <c r="AR6" s="697"/>
      <c r="AS6" s="697"/>
      <c r="AT6" s="697"/>
      <c r="AU6" s="697"/>
      <c r="AV6" s="91" t="s">
        <v>405</v>
      </c>
      <c r="AW6" s="91" t="s">
        <v>106</v>
      </c>
      <c r="AX6" s="91" t="s">
        <v>108</v>
      </c>
      <c r="AY6" s="1171" t="s">
        <v>436</v>
      </c>
      <c r="AZ6" s="1172"/>
      <c r="BA6" s="1173" t="s">
        <v>440</v>
      </c>
      <c r="BB6" s="1174"/>
      <c r="BC6" s="652"/>
      <c r="BD6" s="652"/>
      <c r="BE6" s="652"/>
      <c r="BF6" s="652"/>
      <c r="BG6" s="697"/>
      <c r="BH6" s="1039"/>
      <c r="BI6" s="1039"/>
      <c r="BJ6" s="1039"/>
      <c r="BK6" s="1039"/>
      <c r="BL6" s="1039"/>
    </row>
    <row r="7" spans="1:64">
      <c r="A7" s="698">
        <f>T7</f>
        <v>0</v>
      </c>
      <c r="B7" s="699" t="e">
        <f>前年度登録!P4</f>
        <v>#N/A</v>
      </c>
      <c r="C7" s="700"/>
      <c r="D7" s="700"/>
      <c r="E7" s="701">
        <f>前年度登録!E4</f>
        <v>0</v>
      </c>
      <c r="F7" s="556" t="str">
        <f>前年度登録!CM4</f>
        <v/>
      </c>
      <c r="G7" s="992" t="str">
        <f>前年度登録!Z4</f>
        <v/>
      </c>
      <c r="H7" s="252" t="str">
        <f>前年度登録!CM4</f>
        <v/>
      </c>
      <c r="I7" s="253" t="str">
        <f>前年度登録!Y4</f>
        <v/>
      </c>
      <c r="J7" s="253" t="str">
        <f>前年度登録!CN4</f>
        <v/>
      </c>
      <c r="K7" s="1286">
        <f>前年度登録!CP4</f>
        <v>0</v>
      </c>
      <c r="L7" s="895" t="str">
        <f>前年度登録!CU4</f>
        <v>00</v>
      </c>
      <c r="M7" s="699" t="e">
        <f>前年度登録!Q4</f>
        <v>#N/A</v>
      </c>
      <c r="N7" s="1287">
        <f>前年度登録!D4</f>
        <v>0</v>
      </c>
      <c r="O7" s="1281"/>
      <c r="P7" s="254" t="str">
        <f>IF(O7="","",IF(I7=1,VLOOKUP(O7,男子種目コード!$J$1:$K$16,2,FALSE),IF(I7=2,VLOOKUP(O7,女子種目コード!$J$1:$K$16,2,FALSE))))</f>
        <v/>
      </c>
      <c r="Q7" s="494" t="str">
        <f>IF(O7="","",HLOOKUP(O7,前年度登録!$AH$3:$CH$118,2,FALSE))</f>
        <v/>
      </c>
      <c r="R7" s="622" t="str">
        <f>IF(O7="","",0)</f>
        <v/>
      </c>
      <c r="S7" s="623" t="str">
        <f>IF(O7="","",2)</f>
        <v/>
      </c>
      <c r="T7" s="255"/>
      <c r="U7" s="702" t="str">
        <f>IF(T7="","",IF(I7=1,VLOOKUP(T7,男子種目コード!$J$17:$K$19,2,FALSE),IF(I7=2,VLOOKUP(T7,女子種目コード!$J$17:$K$19,2,FALSE))))</f>
        <v/>
      </c>
      <c r="V7" s="628"/>
      <c r="W7" s="622" t="str">
        <f>IF(T7="","",0)</f>
        <v/>
      </c>
      <c r="X7" s="623" t="str">
        <f>IF(T7="","",2)</f>
        <v/>
      </c>
      <c r="Y7" s="629"/>
      <c r="Z7" s="703" t="str">
        <f>IF(Y7="","",IF(I7=1,VLOOKUP(Y7,男子種目コード!$D$2:$E$16,2,FALSE),IF(I7=2,VLOOKUP(Y7,女子種目コード!$D$2:$E$16,2,FALSE))))</f>
        <v/>
      </c>
      <c r="AA7" s="630"/>
      <c r="AB7" s="631"/>
      <c r="AC7" s="704" t="str">
        <f>IF(AB7="","",IF(I7=1,VLOOKUP(AB7,男子種目コード!$D$2:$E$16,2,FALSE),IF(I7=2,VLOOKUP(AB7,女子種目コード!$D$2:$E$16,2,FALSE))))</f>
        <v/>
      </c>
      <c r="AD7" s="705"/>
      <c r="AE7" s="632"/>
      <c r="AF7" s="704"/>
      <c r="AG7" s="706"/>
      <c r="AH7" s="657"/>
      <c r="AI7" s="657"/>
      <c r="AK7" s="696">
        <v>1500</v>
      </c>
      <c r="AL7" s="652" t="str">
        <f>IF(O7="","",1)</f>
        <v/>
      </c>
      <c r="AM7" s="1187" t="s">
        <v>106</v>
      </c>
      <c r="AN7" s="1188"/>
      <c r="AO7" s="1189"/>
      <c r="AR7" s="662"/>
      <c r="AS7" s="662"/>
      <c r="AT7" s="707">
        <f t="shared" ref="AT7:AT38" si="0">IF(OR(AL7=1,T7=""),0,1)</f>
        <v>0</v>
      </c>
      <c r="AU7" s="662"/>
      <c r="AV7" s="652">
        <f t="shared" ref="AV7:AV38" si="1">COUNT(P7,U7)</f>
        <v>0</v>
      </c>
      <c r="AW7" s="652" t="str">
        <f t="shared" ref="AW7:AW38" si="2">IF(I7=1,AV7,"")</f>
        <v/>
      </c>
      <c r="AX7" s="652" t="str">
        <f t="shared" ref="AX7:AX38" si="3">IF(I7=2,AV7,"")</f>
        <v/>
      </c>
      <c r="AY7" s="1167" t="s">
        <v>437</v>
      </c>
      <c r="AZ7" s="1168"/>
      <c r="BA7" s="1168" t="s">
        <v>437</v>
      </c>
      <c r="BB7" s="1169"/>
      <c r="BG7" s="662"/>
      <c r="BH7" s="1037"/>
      <c r="BI7" s="1037"/>
      <c r="BJ7" s="1037"/>
      <c r="BK7" s="1037"/>
      <c r="BL7" s="1037"/>
    </row>
    <row r="8" spans="1:64">
      <c r="A8" s="698">
        <f t="shared" ref="A8:A71" si="4">T8</f>
        <v>0</v>
      </c>
      <c r="B8" s="704" t="str">
        <f>前年度登録!P5</f>
        <v/>
      </c>
      <c r="C8" s="708"/>
      <c r="D8" s="708"/>
      <c r="E8" s="709">
        <f>前年度登録!E5</f>
        <v>0</v>
      </c>
      <c r="F8" s="557" t="str">
        <f>前年度登録!CM5</f>
        <v/>
      </c>
      <c r="G8" s="993" t="str">
        <f>前年度登録!Z5</f>
        <v/>
      </c>
      <c r="H8" s="534" t="str">
        <f>前年度登録!CM5</f>
        <v/>
      </c>
      <c r="I8" s="257" t="str">
        <f>前年度登録!Y5</f>
        <v/>
      </c>
      <c r="J8" s="323" t="str">
        <f>前年度登録!CN5</f>
        <v/>
      </c>
      <c r="K8" s="1288">
        <f>前年度登録!CP5</f>
        <v>0</v>
      </c>
      <c r="L8" s="896" t="str">
        <f>前年度登録!CU5</f>
        <v>00</v>
      </c>
      <c r="M8" s="704" t="str">
        <f>前年度登録!Q5</f>
        <v/>
      </c>
      <c r="N8" s="1289">
        <f>前年度登録!D5</f>
        <v>0</v>
      </c>
      <c r="O8" s="1282"/>
      <c r="P8" s="1000" t="str">
        <f>IF(O8="","",IF(I8=1,VLOOKUP(O8,男子種目コード!$J$1:$K$16,2,FALSE),IF(I8=2,VLOOKUP(O8,女子種目コード!$J$1:$K$16,2,FALSE))))</f>
        <v/>
      </c>
      <c r="Q8" s="494" t="str">
        <f>IF(O8="","",HLOOKUP(O8,前年度登録!$AH$3:$CH$118,3,FALSE))</f>
        <v/>
      </c>
      <c r="R8" s="624" t="str">
        <f t="shared" ref="R8:R71" si="5">IF(O8="","",0)</f>
        <v/>
      </c>
      <c r="S8" s="625" t="str">
        <f t="shared" ref="S8:S71" si="6">IF(O8="","",2)</f>
        <v/>
      </c>
      <c r="T8" s="259"/>
      <c r="U8" s="710" t="str">
        <f>IF(T8="","",IF(I8=1,VLOOKUP(T8,男子種目コード!$J$17:$K$19,2,FALSE),IF(I8=2,VLOOKUP(T8,女子種目コード!$J$17:$K$19,2,FALSE))))</f>
        <v/>
      </c>
      <c r="V8" s="628"/>
      <c r="W8" s="624" t="str">
        <f t="shared" ref="W8:W71" si="7">IF(T8="","",0)</f>
        <v/>
      </c>
      <c r="X8" s="625" t="str">
        <f t="shared" ref="X8:X71" si="8">IF(T8="","",2)</f>
        <v/>
      </c>
      <c r="Y8" s="633"/>
      <c r="Z8" s="711" t="str">
        <f>IF(Y8="","",IF(I8=1,VLOOKUP(Y8,男子種目コード!$D$2:$E$16,2,FALSE),IF(I8=2,VLOOKUP(Y8,女子種目コード!$D$2:$E$16,2,FALSE))))</f>
        <v/>
      </c>
      <c r="AA8" s="630"/>
      <c r="AB8" s="634"/>
      <c r="AC8" s="712" t="str">
        <f>IF(AB8="","",IF(I8=1,VLOOKUP(AB8,男子種目コード!$D$2:$E$16,2,FALSE),IF(I8=2,VLOOKUP(AB8,女子種目コード!$D$2:$E$16,2,FALSE))))</f>
        <v/>
      </c>
      <c r="AD8" s="705"/>
      <c r="AE8" s="635"/>
      <c r="AF8" s="712"/>
      <c r="AG8" s="706"/>
      <c r="AH8" s="657"/>
      <c r="AI8" s="657"/>
      <c r="AK8" s="713" t="s">
        <v>507</v>
      </c>
      <c r="AL8" s="652" t="str">
        <f t="shared" ref="AL8:AL71" si="9">IF(O8="","",1)</f>
        <v/>
      </c>
      <c r="AM8" s="1185" t="s">
        <v>192</v>
      </c>
      <c r="AN8" s="1186"/>
      <c r="AO8" s="714" t="s">
        <v>200</v>
      </c>
      <c r="AR8" s="662"/>
      <c r="AS8" s="662"/>
      <c r="AT8" s="707">
        <f t="shared" si="0"/>
        <v>0</v>
      </c>
      <c r="AU8" s="662"/>
      <c r="AV8" s="652">
        <f t="shared" si="1"/>
        <v>0</v>
      </c>
      <c r="AW8" s="652" t="str">
        <f t="shared" si="2"/>
        <v/>
      </c>
      <c r="AX8" s="652" t="str">
        <f t="shared" si="3"/>
        <v/>
      </c>
      <c r="AY8" s="715" t="str">
        <f ca="1">IF(ISERROR(BC8),"",BC8)</f>
        <v/>
      </c>
      <c r="AZ8" s="716" t="str">
        <f ca="1">IF(ISERROR(BD8),"",BD8)</f>
        <v/>
      </c>
      <c r="BA8" s="717" t="str">
        <f ca="1">IF(ISERROR(BE8),"",BE8)</f>
        <v/>
      </c>
      <c r="BB8" s="718" t="str">
        <f ca="1">IF(ISERROR(BF8),"",BF8)</f>
        <v/>
      </c>
      <c r="BC8" s="333" t="e">
        <f ca="1">VLookUpX("男子A",$A$7:$F$116,1,5)</f>
        <v>#N/A</v>
      </c>
      <c r="BD8" s="333" t="e">
        <f ca="1">VLookUpX("男子A",$A$7:$F$116,1,6)</f>
        <v>#N/A</v>
      </c>
      <c r="BE8" s="333" t="e">
        <f ca="1">VLookUpX("女子A",$A$7:$F$116,1,5)</f>
        <v>#N/A</v>
      </c>
      <c r="BF8" s="333" t="e">
        <f ca="1">VLookUpX("女子A",$A$7:$F$116,1,6)</f>
        <v>#N/A</v>
      </c>
      <c r="BG8" s="662"/>
      <c r="BH8" s="1037"/>
      <c r="BI8" s="1037"/>
      <c r="BJ8" s="1037"/>
      <c r="BK8" s="1037"/>
      <c r="BL8" s="1037"/>
    </row>
    <row r="9" spans="1:64">
      <c r="A9" s="698">
        <f t="shared" si="4"/>
        <v>0</v>
      </c>
      <c r="B9" s="704" t="str">
        <f>前年度登録!P6</f>
        <v/>
      </c>
      <c r="C9" s="708"/>
      <c r="D9" s="708"/>
      <c r="E9" s="709">
        <f>前年度登録!E6</f>
        <v>0</v>
      </c>
      <c r="F9" s="557" t="str">
        <f>前年度登録!CM6</f>
        <v/>
      </c>
      <c r="G9" s="993" t="str">
        <f>前年度登録!Z6</f>
        <v/>
      </c>
      <c r="H9" s="534" t="str">
        <f>前年度登録!CM6</f>
        <v/>
      </c>
      <c r="I9" s="257" t="str">
        <f>前年度登録!Y6</f>
        <v/>
      </c>
      <c r="J9" s="323" t="str">
        <f>前年度登録!CN6</f>
        <v/>
      </c>
      <c r="K9" s="1288">
        <f>前年度登録!CP6</f>
        <v>0</v>
      </c>
      <c r="L9" s="896" t="str">
        <f>前年度登録!CU6</f>
        <v>00</v>
      </c>
      <c r="M9" s="704" t="str">
        <f>前年度登録!Q6</f>
        <v/>
      </c>
      <c r="N9" s="1289">
        <f>前年度登録!D6</f>
        <v>0</v>
      </c>
      <c r="O9" s="1282"/>
      <c r="P9" s="258" t="str">
        <f>IF(O9="","",IF(I9=1,VLOOKUP(O9,男子種目コード!$J$1:$K$16,2,FALSE),IF(I9=2,VLOOKUP(O9,女子種目コード!$J$1:$K$16,2,FALSE))))</f>
        <v/>
      </c>
      <c r="Q9" s="494" t="str">
        <f>IF(O9="","",HLOOKUP(O9,前年度登録!$AH$3:$CH$118,4,FALSE))</f>
        <v/>
      </c>
      <c r="R9" s="624" t="str">
        <f t="shared" si="5"/>
        <v/>
      </c>
      <c r="S9" s="625" t="str">
        <f t="shared" si="6"/>
        <v/>
      </c>
      <c r="T9" s="259"/>
      <c r="U9" s="710" t="str">
        <f>IF(T9="","",IF(I9=1,VLOOKUP(T9,男子種目コード!$J$17:$K$19,2,FALSE),IF(I9=2,VLOOKUP(T9,女子種目コード!$J$17:$K$19,2,FALSE))))</f>
        <v/>
      </c>
      <c r="V9" s="628"/>
      <c r="W9" s="624" t="str">
        <f t="shared" si="7"/>
        <v/>
      </c>
      <c r="X9" s="625" t="str">
        <f t="shared" si="8"/>
        <v/>
      </c>
      <c r="Y9" s="633"/>
      <c r="Z9" s="711" t="str">
        <f>IF(Y9="","",IF(I9=1,VLOOKUP(Y9,男子種目コード!$D$2:$E$16,2,FALSE),IF(I9=2,VLOOKUP(Y9,女子種目コード!$D$2:$E$16,2,FALSE))))</f>
        <v/>
      </c>
      <c r="AA9" s="630"/>
      <c r="AB9" s="634"/>
      <c r="AC9" s="712" t="str">
        <f>IF(AB9="","",IF(I9=1,VLOOKUP(AB9,男子種目コード!$D$2:$E$16,2,FALSE),IF(I9=2,VLOOKUP(AB9,女子種目コード!$D$2:$E$16,2,FALSE))))</f>
        <v/>
      </c>
      <c r="AD9" s="705"/>
      <c r="AE9" s="635"/>
      <c r="AF9" s="712"/>
      <c r="AG9" s="706"/>
      <c r="AH9" s="657"/>
      <c r="AI9" s="657"/>
      <c r="AK9" s="713" t="s">
        <v>19</v>
      </c>
      <c r="AL9" s="652" t="str">
        <f t="shared" si="9"/>
        <v/>
      </c>
      <c r="AM9" s="719" t="s">
        <v>66</v>
      </c>
      <c r="AN9" s="724"/>
      <c r="AO9" s="720">
        <f>COUNTIF($T$7:$T$116,"男子A")</f>
        <v>0</v>
      </c>
      <c r="AP9" s="721">
        <f>IF(AO9&gt;0,1,0)</f>
        <v>0</v>
      </c>
      <c r="AR9" s="662"/>
      <c r="AS9" s="662"/>
      <c r="AT9" s="707">
        <f t="shared" si="0"/>
        <v>0</v>
      </c>
      <c r="AU9" s="662"/>
      <c r="AV9" s="652">
        <f t="shared" si="1"/>
        <v>0</v>
      </c>
      <c r="AW9" s="652" t="str">
        <f t="shared" si="2"/>
        <v/>
      </c>
      <c r="AX9" s="652" t="str">
        <f t="shared" si="3"/>
        <v/>
      </c>
      <c r="AY9" s="715" t="str">
        <f t="shared" ref="AY9:AZ13" ca="1" si="10">IF(ISERROR(BC9),"",BC9)</f>
        <v/>
      </c>
      <c r="AZ9" s="716" t="str">
        <f t="shared" ca="1" si="10"/>
        <v/>
      </c>
      <c r="BA9" s="717" t="str">
        <f t="shared" ref="BA9:BB13" ca="1" si="11">IF(ISERROR(BE9),"",BE9)</f>
        <v/>
      </c>
      <c r="BB9" s="718" t="str">
        <f t="shared" ca="1" si="11"/>
        <v/>
      </c>
      <c r="BC9" s="333" t="e">
        <f ca="1">VLookUpX("男子A",$A$7:$F$116,2,5)</f>
        <v>#N/A</v>
      </c>
      <c r="BD9" s="333" t="e">
        <f ca="1">VLookUpX("男子A",$A$7:$F$116,2,6)</f>
        <v>#N/A</v>
      </c>
      <c r="BE9" s="333" t="e">
        <f ca="1">VLookUpX("女子A",$A$7:$F$116,2,5)</f>
        <v>#N/A</v>
      </c>
      <c r="BF9" s="333" t="e">
        <f ca="1">VLookUpX("女子A",$A$7:$F$116,2,6)</f>
        <v>#N/A</v>
      </c>
      <c r="BG9" s="662"/>
      <c r="BH9" s="1037"/>
      <c r="BI9" s="1037"/>
      <c r="BJ9" s="1037"/>
      <c r="BK9" s="1037"/>
      <c r="BL9" s="1037"/>
    </row>
    <row r="10" spans="1:64">
      <c r="A10" s="698">
        <f t="shared" si="4"/>
        <v>0</v>
      </c>
      <c r="B10" s="704" t="str">
        <f>前年度登録!P7</f>
        <v/>
      </c>
      <c r="C10" s="708"/>
      <c r="D10" s="708"/>
      <c r="E10" s="709">
        <f>前年度登録!E7</f>
        <v>0</v>
      </c>
      <c r="F10" s="557" t="str">
        <f>前年度登録!CM7</f>
        <v/>
      </c>
      <c r="G10" s="993" t="str">
        <f>前年度登録!Z7</f>
        <v/>
      </c>
      <c r="H10" s="534" t="str">
        <f>前年度登録!CM7</f>
        <v/>
      </c>
      <c r="I10" s="257" t="str">
        <f>前年度登録!Y7</f>
        <v/>
      </c>
      <c r="J10" s="323" t="str">
        <f>前年度登録!CN7</f>
        <v/>
      </c>
      <c r="K10" s="1288">
        <f>前年度登録!CP7</f>
        <v>0</v>
      </c>
      <c r="L10" s="896" t="str">
        <f>前年度登録!CU7</f>
        <v>00</v>
      </c>
      <c r="M10" s="704" t="str">
        <f>前年度登録!Q7</f>
        <v/>
      </c>
      <c r="N10" s="1289">
        <f>前年度登録!D7</f>
        <v>0</v>
      </c>
      <c r="O10" s="1282"/>
      <c r="P10" s="258" t="str">
        <f>IF(O10="","",IF(I10=1,VLOOKUP(O10,男子種目コード!$J$1:$K$16,2,FALSE),IF(I10=2,VLOOKUP(O10,女子種目コード!$J$1:$K$16,2,FALSE))))</f>
        <v/>
      </c>
      <c r="Q10" s="494" t="str">
        <f>IF(O10="","",HLOOKUP(O10,前年度登録!$AH$3:$CH$118,5,FALSE))</f>
        <v/>
      </c>
      <c r="R10" s="624" t="str">
        <f t="shared" si="5"/>
        <v/>
      </c>
      <c r="S10" s="625" t="str">
        <f t="shared" si="6"/>
        <v/>
      </c>
      <c r="T10" s="259"/>
      <c r="U10" s="710" t="str">
        <f>IF(T10="","",IF(I10=1,VLOOKUP(T10,男子種目コード!$J$17:$K$19,2,FALSE),IF(I10=2,VLOOKUP(T10,女子種目コード!$J$17:$K$19,2,FALSE))))</f>
        <v/>
      </c>
      <c r="V10" s="628"/>
      <c r="W10" s="624" t="str">
        <f t="shared" si="7"/>
        <v/>
      </c>
      <c r="X10" s="625" t="str">
        <f t="shared" si="8"/>
        <v/>
      </c>
      <c r="Y10" s="633"/>
      <c r="Z10" s="711" t="str">
        <f>IF(Y10="","",IF(I10=1,VLOOKUP(Y10,男子種目コード!$D$2:$E$16,2,FALSE),IF(I10=2,VLOOKUP(Y10,女子種目コード!$D$2:$E$16,2,FALSE))))</f>
        <v/>
      </c>
      <c r="AA10" s="630"/>
      <c r="AB10" s="634"/>
      <c r="AC10" s="712" t="str">
        <f>IF(AB10="","",IF(I10=1,VLOOKUP(AB10,男子種目コード!$D$2:$E$16,2,FALSE),IF(I10=2,VLOOKUP(AB10,女子種目コード!$D$2:$E$16,2,FALSE))))</f>
        <v/>
      </c>
      <c r="AD10" s="705"/>
      <c r="AE10" s="635"/>
      <c r="AF10" s="712"/>
      <c r="AG10" s="706"/>
      <c r="AH10" s="657"/>
      <c r="AI10" s="657"/>
      <c r="AK10" s="713" t="s">
        <v>24</v>
      </c>
      <c r="AL10" s="652" t="str">
        <f t="shared" si="9"/>
        <v/>
      </c>
      <c r="AM10" s="719" t="s">
        <v>67</v>
      </c>
      <c r="AN10" s="724"/>
      <c r="AO10" s="720">
        <f>COUNTIF($T$7:$T$116,"男子B")</f>
        <v>0</v>
      </c>
      <c r="AP10" s="721">
        <f t="shared" ref="AP10:AP16" si="12">IF(AO10&gt;0,1,0)</f>
        <v>0</v>
      </c>
      <c r="AR10" s="662"/>
      <c r="AS10" s="662"/>
      <c r="AT10" s="707">
        <f t="shared" si="0"/>
        <v>0</v>
      </c>
      <c r="AU10" s="662"/>
      <c r="AV10" s="652">
        <f t="shared" si="1"/>
        <v>0</v>
      </c>
      <c r="AW10" s="652" t="str">
        <f t="shared" si="2"/>
        <v/>
      </c>
      <c r="AX10" s="652" t="str">
        <f t="shared" si="3"/>
        <v/>
      </c>
      <c r="AY10" s="715" t="str">
        <f t="shared" ca="1" si="10"/>
        <v/>
      </c>
      <c r="AZ10" s="716" t="str">
        <f t="shared" ca="1" si="10"/>
        <v/>
      </c>
      <c r="BA10" s="717" t="str">
        <f t="shared" ca="1" si="11"/>
        <v/>
      </c>
      <c r="BB10" s="718" t="str">
        <f t="shared" ca="1" si="11"/>
        <v/>
      </c>
      <c r="BC10" s="333" t="e">
        <f ca="1">VLookUpX("男子A",$A$7:$F$116,3,5)</f>
        <v>#N/A</v>
      </c>
      <c r="BD10" s="333" t="e">
        <f ca="1">VLookUpX("男子A",$A$7:$F$116,3,6)</f>
        <v>#N/A</v>
      </c>
      <c r="BE10" s="333" t="e">
        <f ca="1">VLookUpX("女子A",$A$7:$F$116,3,5)</f>
        <v>#N/A</v>
      </c>
      <c r="BF10" s="333" t="e">
        <f ca="1">VLookUpX("女子A",$A$7:$F$116,3,6)</f>
        <v>#N/A</v>
      </c>
      <c r="BG10" s="662"/>
      <c r="BH10" s="1037"/>
      <c r="BI10" s="1037"/>
      <c r="BJ10" s="1037"/>
      <c r="BK10" s="1037"/>
      <c r="BL10" s="1037"/>
    </row>
    <row r="11" spans="1:64">
      <c r="A11" s="698">
        <f t="shared" si="4"/>
        <v>0</v>
      </c>
      <c r="B11" s="704" t="str">
        <f>前年度登録!P8</f>
        <v/>
      </c>
      <c r="C11" s="708"/>
      <c r="D11" s="708"/>
      <c r="E11" s="709">
        <f>前年度登録!E8</f>
        <v>0</v>
      </c>
      <c r="F11" s="557" t="str">
        <f>前年度登録!CM8</f>
        <v/>
      </c>
      <c r="G11" s="993" t="str">
        <f>前年度登録!Z8</f>
        <v/>
      </c>
      <c r="H11" s="534" t="str">
        <f>前年度登録!CM8</f>
        <v/>
      </c>
      <c r="I11" s="257" t="str">
        <f>前年度登録!Y8</f>
        <v/>
      </c>
      <c r="J11" s="323" t="str">
        <f>前年度登録!CN8</f>
        <v/>
      </c>
      <c r="K11" s="1288">
        <f>前年度登録!CP8</f>
        <v>0</v>
      </c>
      <c r="L11" s="896" t="str">
        <f>前年度登録!CU8</f>
        <v>00</v>
      </c>
      <c r="M11" s="704" t="str">
        <f>前年度登録!Q8</f>
        <v/>
      </c>
      <c r="N11" s="1289">
        <f>前年度登録!D8</f>
        <v>0</v>
      </c>
      <c r="O11" s="1282"/>
      <c r="P11" s="258" t="str">
        <f>IF(O11="","",IF(I11=1,VLOOKUP(O11,男子種目コード!$J$1:$K$16,2,FALSE),IF(I11=2,VLOOKUP(O11,女子種目コード!$J$1:$K$16,2,FALSE))))</f>
        <v/>
      </c>
      <c r="Q11" s="494" t="str">
        <f>IF(O11="","",HLOOKUP(O11,前年度登録!$AH$3:$CH$118,6,FALSE))</f>
        <v/>
      </c>
      <c r="R11" s="624" t="str">
        <f t="shared" si="5"/>
        <v/>
      </c>
      <c r="S11" s="625" t="str">
        <f t="shared" si="6"/>
        <v/>
      </c>
      <c r="T11" s="259"/>
      <c r="U11" s="710" t="str">
        <f>IF(T11="","",IF(I11=1,VLOOKUP(T11,男子種目コード!$J$17:$K$19,2,FALSE),IF(I11=2,VLOOKUP(T11,女子種目コード!$J$17:$K$19,2,FALSE))))</f>
        <v/>
      </c>
      <c r="V11" s="628"/>
      <c r="W11" s="624" t="str">
        <f t="shared" si="7"/>
        <v/>
      </c>
      <c r="X11" s="625" t="str">
        <f t="shared" si="8"/>
        <v/>
      </c>
      <c r="Y11" s="633"/>
      <c r="Z11" s="711" t="str">
        <f>IF(Y11="","",IF(I11=1,VLOOKUP(Y11,男子種目コード!$D$2:$E$16,2,FALSE),IF(I11=2,VLOOKUP(Y11,女子種目コード!$D$2:$E$16,2,FALSE))))</f>
        <v/>
      </c>
      <c r="AA11" s="630"/>
      <c r="AB11" s="634"/>
      <c r="AC11" s="712" t="str">
        <f>IF(AB11="","",IF(I11=1,VLOOKUP(AB11,男子種目コード!$D$2:$E$16,2,FALSE),IF(I11=2,VLOOKUP(AB11,女子種目コード!$D$2:$E$16,2,FALSE))))</f>
        <v/>
      </c>
      <c r="AD11" s="705"/>
      <c r="AE11" s="635"/>
      <c r="AF11" s="712"/>
      <c r="AG11" s="706"/>
      <c r="AH11" s="657"/>
      <c r="AI11" s="657"/>
      <c r="AK11" s="713" t="s">
        <v>95</v>
      </c>
      <c r="AL11" s="652" t="str">
        <f t="shared" si="9"/>
        <v/>
      </c>
      <c r="AM11" s="722" t="s">
        <v>68</v>
      </c>
      <c r="AN11" s="930"/>
      <c r="AO11" s="723">
        <f>COUNTIF($T$7:$T$116,"男子C")</f>
        <v>0</v>
      </c>
      <c r="AP11" s="721">
        <f t="shared" si="12"/>
        <v>0</v>
      </c>
      <c r="AQ11" s="652">
        <f>SUM(AP9:AP11)</f>
        <v>0</v>
      </c>
      <c r="AR11" s="662"/>
      <c r="AS11" s="662"/>
      <c r="AT11" s="707">
        <f t="shared" si="0"/>
        <v>0</v>
      </c>
      <c r="AU11" s="662"/>
      <c r="AV11" s="652">
        <f t="shared" si="1"/>
        <v>0</v>
      </c>
      <c r="AW11" s="652" t="str">
        <f t="shared" si="2"/>
        <v/>
      </c>
      <c r="AX11" s="652" t="str">
        <f t="shared" si="3"/>
        <v/>
      </c>
      <c r="AY11" s="715" t="str">
        <f t="shared" ca="1" si="10"/>
        <v/>
      </c>
      <c r="AZ11" s="716" t="str">
        <f t="shared" ca="1" si="10"/>
        <v/>
      </c>
      <c r="BA11" s="717" t="str">
        <f t="shared" ca="1" si="11"/>
        <v/>
      </c>
      <c r="BB11" s="718" t="str">
        <f t="shared" ca="1" si="11"/>
        <v/>
      </c>
      <c r="BC11" s="333" t="e">
        <f ca="1">VLookUpX("男子A",$A$7:$F$116,4,5)</f>
        <v>#N/A</v>
      </c>
      <c r="BD11" s="333" t="e">
        <f ca="1">VLookUpX("男子A",$A$7:$F$116,4,6)</f>
        <v>#N/A</v>
      </c>
      <c r="BE11" s="333" t="e">
        <f ca="1">VLookUpX("女子A",$A$7:$F$116,4,5)</f>
        <v>#N/A</v>
      </c>
      <c r="BF11" s="333" t="e">
        <f ca="1">VLookUpX("女子A",$A$7:$F$116,4,6)</f>
        <v>#N/A</v>
      </c>
      <c r="BG11" s="662"/>
      <c r="BH11" s="1037"/>
      <c r="BI11" s="1037"/>
      <c r="BJ11" s="1037"/>
      <c r="BK11" s="1037"/>
      <c r="BL11" s="1037"/>
    </row>
    <row r="12" spans="1:64">
      <c r="A12" s="698">
        <f t="shared" si="4"/>
        <v>0</v>
      </c>
      <c r="B12" s="704" t="str">
        <f>前年度登録!P9</f>
        <v/>
      </c>
      <c r="C12" s="708"/>
      <c r="D12" s="708"/>
      <c r="E12" s="709">
        <f>前年度登録!E9</f>
        <v>0</v>
      </c>
      <c r="F12" s="557" t="str">
        <f>前年度登録!CM9</f>
        <v/>
      </c>
      <c r="G12" s="993" t="str">
        <f>前年度登録!Z9</f>
        <v/>
      </c>
      <c r="H12" s="534" t="str">
        <f>前年度登録!CM9</f>
        <v/>
      </c>
      <c r="I12" s="257" t="str">
        <f>前年度登録!Y9</f>
        <v/>
      </c>
      <c r="J12" s="323" t="str">
        <f>前年度登録!CN9</f>
        <v/>
      </c>
      <c r="K12" s="1288">
        <f>前年度登録!CP9</f>
        <v>0</v>
      </c>
      <c r="L12" s="896" t="str">
        <f>前年度登録!CU9</f>
        <v>00</v>
      </c>
      <c r="M12" s="704" t="str">
        <f>前年度登録!Q9</f>
        <v/>
      </c>
      <c r="N12" s="1289">
        <f>前年度登録!D9</f>
        <v>0</v>
      </c>
      <c r="O12" s="1282"/>
      <c r="P12" s="258" t="str">
        <f>IF(O12="","",IF(I12=1,VLOOKUP(O12,男子種目コード!$J$1:$K$16,2,FALSE),IF(I12=2,VLOOKUP(O12,女子種目コード!$J$1:$K$16,2,FALSE))))</f>
        <v/>
      </c>
      <c r="Q12" s="494" t="str">
        <f>IF(O12="","",HLOOKUP(O12,前年度登録!$AH$3:$CH$118,7,FALSE))</f>
        <v/>
      </c>
      <c r="R12" s="624" t="str">
        <f t="shared" si="5"/>
        <v/>
      </c>
      <c r="S12" s="625" t="str">
        <f t="shared" si="6"/>
        <v/>
      </c>
      <c r="T12" s="259"/>
      <c r="U12" s="710" t="str">
        <f>IF(T12="","",IF(I12=1,VLOOKUP(T12,男子種目コード!$J$17:$K$19,2,FALSE),IF(I12=2,VLOOKUP(T12,女子種目コード!$J$17:$K$19,2,FALSE))))</f>
        <v/>
      </c>
      <c r="V12" s="628"/>
      <c r="W12" s="624" t="str">
        <f t="shared" si="7"/>
        <v/>
      </c>
      <c r="X12" s="625" t="str">
        <f t="shared" si="8"/>
        <v/>
      </c>
      <c r="Y12" s="633"/>
      <c r="Z12" s="711" t="str">
        <f>IF(Y12="","",IF(I12=1,VLOOKUP(Y12,男子種目コード!$D$2:$E$16,2,FALSE),IF(I12=2,VLOOKUP(Y12,女子種目コード!$D$2:$E$16,2,FALSE))))</f>
        <v/>
      </c>
      <c r="AA12" s="630"/>
      <c r="AB12" s="634"/>
      <c r="AC12" s="712" t="str">
        <f>IF(AB12="","",IF(I12=1,VLOOKUP(AB12,男子種目コード!$D$2:$E$16,2,FALSE),IF(I12=2,VLOOKUP(AB12,女子種目コード!$D$2:$E$16,2,FALSE))))</f>
        <v/>
      </c>
      <c r="AD12" s="705"/>
      <c r="AE12" s="635"/>
      <c r="AF12" s="712"/>
      <c r="AG12" s="706"/>
      <c r="AH12" s="657"/>
      <c r="AI12" s="657"/>
      <c r="AK12" s="696">
        <v>100</v>
      </c>
      <c r="AL12" s="652" t="str">
        <f t="shared" si="9"/>
        <v/>
      </c>
      <c r="AM12" s="1190" t="s">
        <v>108</v>
      </c>
      <c r="AN12" s="1191"/>
      <c r="AO12" s="1192"/>
      <c r="AP12" s="721"/>
      <c r="AR12" s="662"/>
      <c r="AS12" s="662"/>
      <c r="AT12" s="707">
        <f t="shared" si="0"/>
        <v>0</v>
      </c>
      <c r="AU12" s="662"/>
      <c r="AV12" s="652">
        <f t="shared" si="1"/>
        <v>0</v>
      </c>
      <c r="AW12" s="652" t="str">
        <f t="shared" si="2"/>
        <v/>
      </c>
      <c r="AX12" s="652" t="str">
        <f t="shared" si="3"/>
        <v/>
      </c>
      <c r="AY12" s="715" t="str">
        <f t="shared" ca="1" si="10"/>
        <v/>
      </c>
      <c r="AZ12" s="716" t="str">
        <f t="shared" ca="1" si="10"/>
        <v/>
      </c>
      <c r="BA12" s="717" t="str">
        <f t="shared" ca="1" si="11"/>
        <v/>
      </c>
      <c r="BB12" s="718" t="str">
        <f t="shared" ca="1" si="11"/>
        <v/>
      </c>
      <c r="BC12" s="333" t="e">
        <f ca="1">VLookUpX("男子A",$A$7:$F$116,5,5)</f>
        <v>#N/A</v>
      </c>
      <c r="BD12" s="333" t="e">
        <f ca="1">VLookUpX("男子A",$A$7:$F$116,5,6)</f>
        <v>#N/A</v>
      </c>
      <c r="BE12" s="333" t="e">
        <f ca="1">VLookUpX("女子A",$A$7:$F$116,5,5)</f>
        <v>#N/A</v>
      </c>
      <c r="BF12" s="333" t="e">
        <f ca="1">VLookUpX("女子A",$A$7:$F$116,5,6)</f>
        <v>#N/A</v>
      </c>
      <c r="BG12" s="662"/>
      <c r="BH12" s="1037"/>
      <c r="BI12" s="1037"/>
      <c r="BJ12" s="1037"/>
      <c r="BK12" s="1037"/>
      <c r="BL12" s="1037"/>
    </row>
    <row r="13" spans="1:64">
      <c r="A13" s="698">
        <f t="shared" si="4"/>
        <v>0</v>
      </c>
      <c r="B13" s="704" t="str">
        <f>前年度登録!P10</f>
        <v/>
      </c>
      <c r="C13" s="708"/>
      <c r="D13" s="708"/>
      <c r="E13" s="709">
        <f>前年度登録!E10</f>
        <v>0</v>
      </c>
      <c r="F13" s="557" t="str">
        <f>前年度登録!CM10</f>
        <v/>
      </c>
      <c r="G13" s="993" t="str">
        <f>前年度登録!Z10</f>
        <v/>
      </c>
      <c r="H13" s="534" t="str">
        <f>前年度登録!CM10</f>
        <v/>
      </c>
      <c r="I13" s="257" t="str">
        <f>前年度登録!Y10</f>
        <v/>
      </c>
      <c r="J13" s="323" t="str">
        <f>前年度登録!CN10</f>
        <v/>
      </c>
      <c r="K13" s="1288">
        <f>前年度登録!CP10</f>
        <v>0</v>
      </c>
      <c r="L13" s="896" t="str">
        <f>前年度登録!CU10</f>
        <v>00</v>
      </c>
      <c r="M13" s="704" t="str">
        <f>前年度登録!Q10</f>
        <v/>
      </c>
      <c r="N13" s="1289">
        <f>前年度登録!D10</f>
        <v>0</v>
      </c>
      <c r="O13" s="1282"/>
      <c r="P13" s="258" t="str">
        <f>IF(O13="","",IF(I13=1,VLOOKUP(O13,男子種目コード!$J$1:$K$16,2,FALSE),IF(I13=2,VLOOKUP(O13,女子種目コード!$J$1:$K$16,2,FALSE))))</f>
        <v/>
      </c>
      <c r="Q13" s="494" t="str">
        <f>IF(O13="","",HLOOKUP(O13,前年度登録!$AH$3:$CH$118,8,FALSE))</f>
        <v/>
      </c>
      <c r="R13" s="624" t="str">
        <f t="shared" si="5"/>
        <v/>
      </c>
      <c r="S13" s="625" t="str">
        <f t="shared" si="6"/>
        <v/>
      </c>
      <c r="T13" s="259"/>
      <c r="U13" s="710" t="str">
        <f>IF(T13="","",IF(I13=1,VLOOKUP(T13,男子種目コード!$J$17:$K$19,2,FALSE),IF(I13=2,VLOOKUP(T13,女子種目コード!$J$17:$K$19,2,FALSE))))</f>
        <v/>
      </c>
      <c r="V13" s="628"/>
      <c r="W13" s="624" t="str">
        <f t="shared" si="7"/>
        <v/>
      </c>
      <c r="X13" s="625" t="str">
        <f t="shared" si="8"/>
        <v/>
      </c>
      <c r="Y13" s="633"/>
      <c r="Z13" s="711" t="str">
        <f>IF(Y13="","",IF(I13=1,VLOOKUP(Y13,男子種目コード!$D$2:$E$16,2,FALSE),IF(I13=2,VLOOKUP(Y13,女子種目コード!$D$2:$E$16,2,FALSE))))</f>
        <v/>
      </c>
      <c r="AA13" s="630"/>
      <c r="AB13" s="634"/>
      <c r="AC13" s="712" t="str">
        <f>IF(AB13="","",IF(I13=1,VLOOKUP(AB13,男子種目コード!$D$2:$E$16,2,FALSE),IF(I13=2,VLOOKUP(AB13,女子種目コード!$D$2:$E$16,2,FALSE))))</f>
        <v/>
      </c>
      <c r="AD13" s="705"/>
      <c r="AE13" s="635"/>
      <c r="AF13" s="712"/>
      <c r="AG13" s="706"/>
      <c r="AH13" s="657"/>
      <c r="AI13" s="657"/>
      <c r="AK13" s="696">
        <v>800</v>
      </c>
      <c r="AL13" s="652" t="str">
        <f t="shared" si="9"/>
        <v/>
      </c>
      <c r="AM13" s="1185" t="s">
        <v>192</v>
      </c>
      <c r="AN13" s="1186"/>
      <c r="AO13" s="714" t="s">
        <v>200</v>
      </c>
      <c r="AP13" s="721"/>
      <c r="AR13" s="662"/>
      <c r="AS13" s="662"/>
      <c r="AT13" s="707">
        <f t="shared" si="0"/>
        <v>0</v>
      </c>
      <c r="AU13" s="662"/>
      <c r="AV13" s="652">
        <f t="shared" si="1"/>
        <v>0</v>
      </c>
      <c r="AW13" s="652" t="str">
        <f t="shared" si="2"/>
        <v/>
      </c>
      <c r="AX13" s="652" t="str">
        <f t="shared" si="3"/>
        <v/>
      </c>
      <c r="AY13" s="715" t="str">
        <f t="shared" ca="1" si="10"/>
        <v/>
      </c>
      <c r="AZ13" s="716" t="str">
        <f t="shared" ca="1" si="10"/>
        <v/>
      </c>
      <c r="BA13" s="717" t="str">
        <f t="shared" ca="1" si="11"/>
        <v/>
      </c>
      <c r="BB13" s="718" t="str">
        <f t="shared" ca="1" si="11"/>
        <v/>
      </c>
      <c r="BC13" s="333" t="e">
        <f ca="1">VLookUpX("男子A",$A$7:$F$116,6,5)</f>
        <v>#N/A</v>
      </c>
      <c r="BD13" s="333" t="e">
        <f ca="1">VLookUpX("男子A",$A$7:$F$116,6,6)</f>
        <v>#N/A</v>
      </c>
      <c r="BE13" s="333" t="e">
        <f ca="1">VLookUpX("女子A",$A$7:$F$116,6,5)</f>
        <v>#N/A</v>
      </c>
      <c r="BF13" s="333" t="e">
        <f ca="1">VLookUpX("女子A",$A$7:$F$116,6,6)</f>
        <v>#N/A</v>
      </c>
      <c r="BG13" s="662"/>
      <c r="BH13" s="1037"/>
      <c r="BI13" s="1037"/>
      <c r="BJ13" s="1037"/>
      <c r="BK13" s="1037"/>
      <c r="BL13" s="1037"/>
    </row>
    <row r="14" spans="1:64">
      <c r="A14" s="698">
        <f t="shared" si="4"/>
        <v>0</v>
      </c>
      <c r="B14" s="704" t="str">
        <f>前年度登録!P11</f>
        <v/>
      </c>
      <c r="C14" s="708"/>
      <c r="D14" s="708"/>
      <c r="E14" s="709">
        <f>前年度登録!E11</f>
        <v>0</v>
      </c>
      <c r="F14" s="557" t="str">
        <f>前年度登録!CM11</f>
        <v/>
      </c>
      <c r="G14" s="993" t="str">
        <f>前年度登録!Z11</f>
        <v/>
      </c>
      <c r="H14" s="534" t="str">
        <f>前年度登録!CM11</f>
        <v/>
      </c>
      <c r="I14" s="257" t="str">
        <f>前年度登録!Y11</f>
        <v/>
      </c>
      <c r="J14" s="323" t="str">
        <f>前年度登録!CN11</f>
        <v/>
      </c>
      <c r="K14" s="1288">
        <f>前年度登録!CP11</f>
        <v>0</v>
      </c>
      <c r="L14" s="896" t="str">
        <f>前年度登録!CU11</f>
        <v>00</v>
      </c>
      <c r="M14" s="704" t="str">
        <f>前年度登録!Q11</f>
        <v/>
      </c>
      <c r="N14" s="1289">
        <f>前年度登録!D11</f>
        <v>0</v>
      </c>
      <c r="O14" s="1282"/>
      <c r="P14" s="258" t="str">
        <f>IF(O14="","",IF(I14=1,VLOOKUP(O14,男子種目コード!$J$1:$K$16,2,FALSE),IF(I14=2,VLOOKUP(O14,女子種目コード!$J$1:$K$16,2,FALSE))))</f>
        <v/>
      </c>
      <c r="Q14" s="494" t="str">
        <f>IF(O14="","",HLOOKUP(O14,前年度登録!$AH$3:$CH$118,9,FALSE))</f>
        <v/>
      </c>
      <c r="R14" s="624" t="str">
        <f t="shared" si="5"/>
        <v/>
      </c>
      <c r="S14" s="625" t="str">
        <f t="shared" si="6"/>
        <v/>
      </c>
      <c r="T14" s="259"/>
      <c r="U14" s="710" t="str">
        <f>IF(T14="","",IF(I14=1,VLOOKUP(T14,男子種目コード!$J$17:$K$19,2,FALSE),IF(I14=2,VLOOKUP(T14,女子種目コード!$J$17:$K$19,2,FALSE))))</f>
        <v/>
      </c>
      <c r="V14" s="628"/>
      <c r="W14" s="624" t="str">
        <f t="shared" si="7"/>
        <v/>
      </c>
      <c r="X14" s="625" t="str">
        <f t="shared" si="8"/>
        <v/>
      </c>
      <c r="Y14" s="633"/>
      <c r="Z14" s="711" t="str">
        <f>IF(Y14="","",IF(I14=1,VLOOKUP(Y14,男子種目コード!$D$2:$E$16,2,FALSE),IF(I14=2,VLOOKUP(Y14,女子種目コード!$D$2:$E$16,2,FALSE))))</f>
        <v/>
      </c>
      <c r="AA14" s="630"/>
      <c r="AB14" s="634"/>
      <c r="AC14" s="712" t="str">
        <f>IF(AB14="","",IF(I14=1,VLOOKUP(AB14,男子種目コード!$D$2:$E$16,2,FALSE),IF(I14=2,VLOOKUP(AB14,女子種目コード!$D$2:$E$16,2,FALSE))))</f>
        <v/>
      </c>
      <c r="AD14" s="705"/>
      <c r="AE14" s="635"/>
      <c r="AF14" s="712"/>
      <c r="AG14" s="706"/>
      <c r="AH14" s="657"/>
      <c r="AI14" s="657"/>
      <c r="AK14" s="713" t="s">
        <v>507</v>
      </c>
      <c r="AL14" s="652" t="str">
        <f t="shared" si="9"/>
        <v/>
      </c>
      <c r="AM14" s="719" t="s">
        <v>66</v>
      </c>
      <c r="AN14" s="724"/>
      <c r="AO14" s="720">
        <f>COUNTIF($T$7:$T$116,"女子A")</f>
        <v>0</v>
      </c>
      <c r="AP14" s="721">
        <f t="shared" si="12"/>
        <v>0</v>
      </c>
      <c r="AR14" s="662"/>
      <c r="AS14" s="662"/>
      <c r="AT14" s="707">
        <f t="shared" si="0"/>
        <v>0</v>
      </c>
      <c r="AU14" s="662"/>
      <c r="AV14" s="652">
        <f t="shared" si="1"/>
        <v>0</v>
      </c>
      <c r="AW14" s="652" t="str">
        <f t="shared" si="2"/>
        <v/>
      </c>
      <c r="AX14" s="652" t="str">
        <f t="shared" si="3"/>
        <v/>
      </c>
      <c r="AY14" s="1163" t="s">
        <v>436</v>
      </c>
      <c r="AZ14" s="1164"/>
      <c r="BA14" s="1165" t="s">
        <v>440</v>
      </c>
      <c r="BB14" s="1166"/>
      <c r="BG14" s="662"/>
      <c r="BH14" s="1037"/>
      <c r="BI14" s="1037"/>
      <c r="BJ14" s="1037"/>
      <c r="BK14" s="1037"/>
      <c r="BL14" s="1037"/>
    </row>
    <row r="15" spans="1:64">
      <c r="A15" s="698">
        <f t="shared" si="4"/>
        <v>0</v>
      </c>
      <c r="B15" s="704" t="str">
        <f>前年度登録!P12</f>
        <v/>
      </c>
      <c r="C15" s="708"/>
      <c r="D15" s="708"/>
      <c r="E15" s="709">
        <f>前年度登録!E12</f>
        <v>0</v>
      </c>
      <c r="F15" s="557" t="str">
        <f>前年度登録!CM12</f>
        <v/>
      </c>
      <c r="G15" s="993" t="str">
        <f>前年度登録!Z12</f>
        <v/>
      </c>
      <c r="H15" s="534" t="str">
        <f>前年度登録!CM12</f>
        <v/>
      </c>
      <c r="I15" s="257" t="str">
        <f>前年度登録!Y12</f>
        <v/>
      </c>
      <c r="J15" s="323" t="str">
        <f>前年度登録!CN12</f>
        <v/>
      </c>
      <c r="K15" s="1288">
        <f>前年度登録!CP12</f>
        <v>0</v>
      </c>
      <c r="L15" s="896" t="str">
        <f>前年度登録!CU12</f>
        <v>00</v>
      </c>
      <c r="M15" s="704" t="str">
        <f>前年度登録!Q12</f>
        <v/>
      </c>
      <c r="N15" s="1289">
        <f>前年度登録!D12</f>
        <v>0</v>
      </c>
      <c r="O15" s="1282"/>
      <c r="P15" s="258" t="str">
        <f>IF(O15="","",IF(I15=1,VLOOKUP(O15,男子種目コード!$J$1:$K$16,2,FALSE),IF(I15=2,VLOOKUP(O15,女子種目コード!$J$1:$K$16,2,FALSE))))</f>
        <v/>
      </c>
      <c r="Q15" s="494" t="str">
        <f>IF(O15="","",HLOOKUP(O15,前年度登録!$AH$3:$CH$118,10,FALSE))</f>
        <v/>
      </c>
      <c r="R15" s="624" t="str">
        <f t="shared" si="5"/>
        <v/>
      </c>
      <c r="S15" s="625" t="str">
        <f t="shared" si="6"/>
        <v/>
      </c>
      <c r="T15" s="259"/>
      <c r="U15" s="710" t="str">
        <f>IF(T15="","",IF(I15=1,VLOOKUP(T15,男子種目コード!$J$17:$K$19,2,FALSE),IF(I15=2,VLOOKUP(T15,女子種目コード!$J$17:$K$19,2,FALSE))))</f>
        <v/>
      </c>
      <c r="V15" s="628"/>
      <c r="W15" s="624" t="str">
        <f t="shared" si="7"/>
        <v/>
      </c>
      <c r="X15" s="625" t="str">
        <f t="shared" si="8"/>
        <v/>
      </c>
      <c r="Y15" s="633"/>
      <c r="Z15" s="711" t="str">
        <f>IF(Y15="","",IF(I15=1,VLOOKUP(Y15,男子種目コード!$D$2:$E$16,2,FALSE),IF(I15=2,VLOOKUP(Y15,女子種目コード!$D$2:$E$16,2,FALSE))))</f>
        <v/>
      </c>
      <c r="AA15" s="630"/>
      <c r="AB15" s="634"/>
      <c r="AC15" s="712" t="str">
        <f>IF(AB15="","",IF(I15=1,VLOOKUP(AB15,男子種目コード!$D$2:$E$16,2,FALSE),IF(I15=2,VLOOKUP(AB15,女子種目コード!$D$2:$E$16,2,FALSE))))</f>
        <v/>
      </c>
      <c r="AD15" s="705"/>
      <c r="AE15" s="635"/>
      <c r="AF15" s="712"/>
      <c r="AG15" s="706"/>
      <c r="AH15" s="657"/>
      <c r="AI15" s="657"/>
      <c r="AK15" s="713" t="s">
        <v>19</v>
      </c>
      <c r="AL15" s="652" t="str">
        <f t="shared" si="9"/>
        <v/>
      </c>
      <c r="AM15" s="719" t="s">
        <v>67</v>
      </c>
      <c r="AN15" s="724"/>
      <c r="AO15" s="720">
        <f>COUNTIF($T$7:$T$116,"女子B")</f>
        <v>0</v>
      </c>
      <c r="AP15" s="721">
        <f t="shared" si="12"/>
        <v>0</v>
      </c>
      <c r="AR15" s="662"/>
      <c r="AS15" s="662"/>
      <c r="AT15" s="707">
        <f t="shared" si="0"/>
        <v>0</v>
      </c>
      <c r="AU15" s="662"/>
      <c r="AV15" s="652">
        <f t="shared" si="1"/>
        <v>0</v>
      </c>
      <c r="AW15" s="652" t="str">
        <f t="shared" si="2"/>
        <v/>
      </c>
      <c r="AX15" s="652" t="str">
        <f t="shared" si="3"/>
        <v/>
      </c>
      <c r="AY15" s="1167" t="s">
        <v>438</v>
      </c>
      <c r="AZ15" s="1168"/>
      <c r="BA15" s="1168" t="s">
        <v>438</v>
      </c>
      <c r="BB15" s="1169"/>
      <c r="BG15" s="662"/>
      <c r="BH15" s="1037"/>
      <c r="BI15" s="1037"/>
      <c r="BJ15" s="1037"/>
      <c r="BK15" s="1037"/>
      <c r="BL15" s="1037"/>
    </row>
    <row r="16" spans="1:64" ht="14.25" thickBot="1">
      <c r="A16" s="698">
        <f t="shared" si="4"/>
        <v>0</v>
      </c>
      <c r="B16" s="704" t="str">
        <f>前年度登録!P13</f>
        <v/>
      </c>
      <c r="C16" s="708"/>
      <c r="D16" s="708"/>
      <c r="E16" s="709">
        <f>前年度登録!E13</f>
        <v>0</v>
      </c>
      <c r="F16" s="557" t="str">
        <f>前年度登録!CM13</f>
        <v/>
      </c>
      <c r="G16" s="993" t="str">
        <f>前年度登録!Z13</f>
        <v/>
      </c>
      <c r="H16" s="534" t="str">
        <f>前年度登録!CM13</f>
        <v/>
      </c>
      <c r="I16" s="257" t="str">
        <f>前年度登録!Y13</f>
        <v/>
      </c>
      <c r="J16" s="323" t="str">
        <f>前年度登録!CN13</f>
        <v/>
      </c>
      <c r="K16" s="1288">
        <f>前年度登録!CP13</f>
        <v>0</v>
      </c>
      <c r="L16" s="896" t="str">
        <f>前年度登録!CU13</f>
        <v>00</v>
      </c>
      <c r="M16" s="704" t="str">
        <f>前年度登録!Q13</f>
        <v/>
      </c>
      <c r="N16" s="1289">
        <f>前年度登録!D13</f>
        <v>0</v>
      </c>
      <c r="O16" s="1282"/>
      <c r="P16" s="258" t="str">
        <f>IF(O16="","",IF(I16=1,VLOOKUP(O16,男子種目コード!$J$1:$K$16,2,FALSE),IF(I16=2,VLOOKUP(O16,女子種目コード!$J$1:$K$16,2,FALSE))))</f>
        <v/>
      </c>
      <c r="Q16" s="494" t="str">
        <f>IF(O16="","",HLOOKUP(O16,前年度登録!$AH$3:$CH$118,11,FALSE))</f>
        <v/>
      </c>
      <c r="R16" s="624" t="str">
        <f t="shared" si="5"/>
        <v/>
      </c>
      <c r="S16" s="625" t="str">
        <f t="shared" si="6"/>
        <v/>
      </c>
      <c r="T16" s="259"/>
      <c r="U16" s="710" t="str">
        <f>IF(T16="","",IF(I16=1,VLOOKUP(T16,男子種目コード!$J$17:$K$19,2,FALSE),IF(I16=2,VLOOKUP(T16,女子種目コード!$J$17:$K$19,2,FALSE))))</f>
        <v/>
      </c>
      <c r="V16" s="628"/>
      <c r="W16" s="624" t="str">
        <f t="shared" si="7"/>
        <v/>
      </c>
      <c r="X16" s="625" t="str">
        <f t="shared" si="8"/>
        <v/>
      </c>
      <c r="Y16" s="633"/>
      <c r="Z16" s="711" t="str">
        <f>IF(Y16="","",IF(I16=1,VLOOKUP(Y16,男子種目コード!$D$2:$E$16,2,FALSE),IF(I16=2,VLOOKUP(Y16,女子種目コード!$D$2:$E$16,2,FALSE))))</f>
        <v/>
      </c>
      <c r="AA16" s="630"/>
      <c r="AB16" s="634"/>
      <c r="AC16" s="712" t="str">
        <f>IF(AB16="","",IF(I16=1,VLOOKUP(AB16,男子種目コード!$D$2:$E$16,2,FALSE),IF(I16=2,VLOOKUP(AB16,女子種目コード!$D$2:$E$16,2,FALSE))))</f>
        <v/>
      </c>
      <c r="AD16" s="705"/>
      <c r="AE16" s="635"/>
      <c r="AF16" s="712"/>
      <c r="AG16" s="706"/>
      <c r="AH16" s="657"/>
      <c r="AI16" s="657"/>
      <c r="AK16" s="713" t="s">
        <v>24</v>
      </c>
      <c r="AL16" s="652" t="str">
        <f t="shared" si="9"/>
        <v/>
      </c>
      <c r="AM16" s="725" t="s">
        <v>68</v>
      </c>
      <c r="AN16" s="726"/>
      <c r="AO16" s="727">
        <f>COUNTIF($T$7:$T$116,"女子C")</f>
        <v>0</v>
      </c>
      <c r="AP16" s="721">
        <f t="shared" si="12"/>
        <v>0</v>
      </c>
      <c r="AQ16" s="652">
        <f>SUM(AP14:AP16)</f>
        <v>0</v>
      </c>
      <c r="AR16" s="662"/>
      <c r="AS16" s="662"/>
      <c r="AT16" s="707">
        <f t="shared" si="0"/>
        <v>0</v>
      </c>
      <c r="AU16" s="662"/>
      <c r="AV16" s="652">
        <f t="shared" si="1"/>
        <v>0</v>
      </c>
      <c r="AW16" s="652" t="str">
        <f t="shared" si="2"/>
        <v/>
      </c>
      <c r="AX16" s="652" t="str">
        <f t="shared" si="3"/>
        <v/>
      </c>
      <c r="AY16" s="715" t="str">
        <f ca="1">IF(ISERROR(BC16),"",BC16)</f>
        <v/>
      </c>
      <c r="AZ16" s="716" t="str">
        <f ca="1">IF(ISERROR(BD16),"",BD16)</f>
        <v/>
      </c>
      <c r="BA16" s="717" t="str">
        <f ca="1">IF(ISERROR(BE16),"",BE16)</f>
        <v/>
      </c>
      <c r="BB16" s="718" t="str">
        <f ca="1">IF(ISERROR(BF16),"",BF16)</f>
        <v/>
      </c>
      <c r="BC16" s="333" t="e">
        <f ca="1">VLookUpX("男子B",$A$7:$F$116,1,5)</f>
        <v>#N/A</v>
      </c>
      <c r="BD16" s="333" t="e">
        <f ca="1">VLookUpX("男子B",$A$7:$F$116,1,6)</f>
        <v>#N/A</v>
      </c>
      <c r="BE16" s="333" t="e">
        <f ca="1">VLookUpX("女子B",$A$7:$F$116,1,5)</f>
        <v>#N/A</v>
      </c>
      <c r="BF16" s="333" t="e">
        <f ca="1">VLookUpX("女子B",$A$7:$F$116,1,6)</f>
        <v>#N/A</v>
      </c>
      <c r="BG16" s="662"/>
      <c r="BH16" s="1037"/>
      <c r="BI16" s="1037"/>
      <c r="BJ16" s="1037"/>
      <c r="BK16" s="1037"/>
      <c r="BL16" s="1037"/>
    </row>
    <row r="17" spans="1:72">
      <c r="A17" s="698">
        <f t="shared" si="4"/>
        <v>0</v>
      </c>
      <c r="B17" s="704" t="str">
        <f>前年度登録!P14</f>
        <v/>
      </c>
      <c r="C17" s="708"/>
      <c r="D17" s="708"/>
      <c r="E17" s="709">
        <f>前年度登録!E14</f>
        <v>0</v>
      </c>
      <c r="F17" s="557" t="str">
        <f>前年度登録!CM14</f>
        <v/>
      </c>
      <c r="G17" s="993" t="str">
        <f>前年度登録!Z14</f>
        <v/>
      </c>
      <c r="H17" s="534" t="str">
        <f>前年度登録!CM14</f>
        <v/>
      </c>
      <c r="I17" s="257" t="str">
        <f>前年度登録!Y14</f>
        <v/>
      </c>
      <c r="J17" s="323" t="str">
        <f>前年度登録!CN14</f>
        <v/>
      </c>
      <c r="K17" s="1288">
        <f>前年度登録!CP14</f>
        <v>0</v>
      </c>
      <c r="L17" s="896" t="str">
        <f>前年度登録!CU14</f>
        <v>00</v>
      </c>
      <c r="M17" s="704" t="str">
        <f>前年度登録!Q14</f>
        <v/>
      </c>
      <c r="N17" s="1289">
        <f>前年度登録!D14</f>
        <v>0</v>
      </c>
      <c r="O17" s="1282"/>
      <c r="P17" s="258" t="str">
        <f>IF(O17="","",IF(I17=1,VLOOKUP(O17,男子種目コード!$J$1:$K$16,2,FALSE),IF(I17=2,VLOOKUP(O17,女子種目コード!$J$1:$K$16,2,FALSE))))</f>
        <v/>
      </c>
      <c r="Q17" s="494" t="str">
        <f>IF(O17="","",HLOOKUP(O17,前年度登録!$AH$3:$CH$118,12,FALSE))</f>
        <v/>
      </c>
      <c r="R17" s="624" t="str">
        <f t="shared" si="5"/>
        <v/>
      </c>
      <c r="S17" s="625" t="str">
        <f t="shared" si="6"/>
        <v/>
      </c>
      <c r="T17" s="259"/>
      <c r="U17" s="710" t="str">
        <f>IF(T17="","",IF(I17=1,VLOOKUP(T17,男子種目コード!$J$17:$K$19,2,FALSE),IF(I17=2,VLOOKUP(T17,女子種目コード!$J$17:$K$19,2,FALSE))))</f>
        <v/>
      </c>
      <c r="V17" s="628"/>
      <c r="W17" s="624" t="str">
        <f t="shared" si="7"/>
        <v/>
      </c>
      <c r="X17" s="625" t="str">
        <f t="shared" si="8"/>
        <v/>
      </c>
      <c r="Y17" s="633"/>
      <c r="Z17" s="711" t="str">
        <f>IF(Y17="","",IF(I17=1,VLOOKUP(Y17,男子種目コード!$D$2:$E$16,2,FALSE),IF(I17=2,VLOOKUP(Y17,女子種目コード!$D$2:$E$16,2,FALSE))))</f>
        <v/>
      </c>
      <c r="AA17" s="630"/>
      <c r="AB17" s="634"/>
      <c r="AC17" s="712" t="str">
        <f>IF(AB17="","",IF(I17=1,VLOOKUP(AB17,男子種目コード!$D$2:$E$16,2,FALSE),IF(I17=2,VLOOKUP(AB17,女子種目コード!$D$2:$E$16,2,FALSE))))</f>
        <v/>
      </c>
      <c r="AD17" s="705"/>
      <c r="AE17" s="635"/>
      <c r="AF17" s="712"/>
      <c r="AG17" s="706"/>
      <c r="AH17" s="657"/>
      <c r="AI17" s="657"/>
      <c r="AK17" s="713" t="s">
        <v>95</v>
      </c>
      <c r="AL17" s="652" t="str">
        <f t="shared" si="9"/>
        <v/>
      </c>
      <c r="AM17" s="1178" t="s">
        <v>211</v>
      </c>
      <c r="AN17" s="1179"/>
      <c r="AO17" s="662"/>
      <c r="AP17" s="662">
        <f>SUM(AP9:AP16)</f>
        <v>0</v>
      </c>
      <c r="AQ17" s="662"/>
      <c r="AR17" s="662"/>
      <c r="AS17" s="662"/>
      <c r="AT17" s="707">
        <f t="shared" si="0"/>
        <v>0</v>
      </c>
      <c r="AU17" s="662"/>
      <c r="AV17" s="652">
        <f t="shared" si="1"/>
        <v>0</v>
      </c>
      <c r="AW17" s="652" t="str">
        <f t="shared" si="2"/>
        <v/>
      </c>
      <c r="AX17" s="652" t="str">
        <f t="shared" si="3"/>
        <v/>
      </c>
      <c r="AY17" s="715" t="str">
        <f t="shared" ref="AY17:AZ21" ca="1" si="13">IF(ISERROR(BC17),"",BC17)</f>
        <v/>
      </c>
      <c r="AZ17" s="716" t="str">
        <f t="shared" ca="1" si="13"/>
        <v/>
      </c>
      <c r="BA17" s="717" t="str">
        <f t="shared" ref="BA17:BB21" ca="1" si="14">IF(ISERROR(BE17),"",BE17)</f>
        <v/>
      </c>
      <c r="BB17" s="718" t="str">
        <f t="shared" ca="1" si="14"/>
        <v/>
      </c>
      <c r="BC17" s="333" t="e">
        <f ca="1">VLookUpX("男子B",$A$7:$F$116,2,5)</f>
        <v>#N/A</v>
      </c>
      <c r="BD17" s="333" t="e">
        <f ca="1">VLookUpX("男子B",$A$7:$F$116,2,6)</f>
        <v>#N/A</v>
      </c>
      <c r="BE17" s="333" t="e">
        <f ca="1">VLookUpX("女子B",$A$7:$F$116,2,5)</f>
        <v>#N/A</v>
      </c>
      <c r="BF17" s="333" t="e">
        <f ca="1">VLookUpX("女子B",$A$7:$F$116,2,6)</f>
        <v>#N/A</v>
      </c>
      <c r="BG17" s="662"/>
      <c r="BH17" s="1037"/>
      <c r="BI17" s="1037"/>
      <c r="BJ17" s="1037"/>
      <c r="BK17" s="1037"/>
      <c r="BL17" s="1037"/>
    </row>
    <row r="18" spans="1:72">
      <c r="A18" s="698">
        <f t="shared" si="4"/>
        <v>0</v>
      </c>
      <c r="B18" s="704" t="str">
        <f>前年度登録!P15</f>
        <v/>
      </c>
      <c r="C18" s="708"/>
      <c r="D18" s="708"/>
      <c r="E18" s="709">
        <f>前年度登録!E15</f>
        <v>0</v>
      </c>
      <c r="F18" s="557" t="str">
        <f>前年度登録!CM15</f>
        <v/>
      </c>
      <c r="G18" s="993" t="str">
        <f>前年度登録!Z15</f>
        <v/>
      </c>
      <c r="H18" s="534" t="str">
        <f>前年度登録!CM15</f>
        <v/>
      </c>
      <c r="I18" s="257" t="str">
        <f>前年度登録!Y15</f>
        <v/>
      </c>
      <c r="J18" s="323" t="str">
        <f>前年度登録!CN15</f>
        <v/>
      </c>
      <c r="K18" s="1288">
        <f>前年度登録!CP15</f>
        <v>0</v>
      </c>
      <c r="L18" s="896" t="str">
        <f>前年度登録!CU15</f>
        <v>00</v>
      </c>
      <c r="M18" s="704" t="str">
        <f>前年度登録!Q15</f>
        <v/>
      </c>
      <c r="N18" s="1289">
        <f>前年度登録!D15</f>
        <v>0</v>
      </c>
      <c r="O18" s="1282"/>
      <c r="P18" s="258" t="str">
        <f>IF(O18="","",IF(I18=1,VLOOKUP(O18,男子種目コード!$J$1:$K$16,2,FALSE),IF(I18=2,VLOOKUP(O18,女子種目コード!$J$1:$K$16,2,FALSE))))</f>
        <v/>
      </c>
      <c r="Q18" s="494" t="str">
        <f>IF(O18="","",HLOOKUP(O18,前年度登録!$AH$3:$CH$118,13,FALSE))</f>
        <v/>
      </c>
      <c r="R18" s="624" t="str">
        <f t="shared" si="5"/>
        <v/>
      </c>
      <c r="S18" s="625" t="str">
        <f t="shared" si="6"/>
        <v/>
      </c>
      <c r="T18" s="259"/>
      <c r="U18" s="710" t="str">
        <f>IF(T18="","",IF(I18=1,VLOOKUP(T18,男子種目コード!$J$17:$K$19,2,FALSE),IF(I18=2,VLOOKUP(T18,女子種目コード!$J$17:$K$19,2,FALSE))))</f>
        <v/>
      </c>
      <c r="V18" s="628"/>
      <c r="W18" s="624" t="str">
        <f t="shared" si="7"/>
        <v/>
      </c>
      <c r="X18" s="625" t="str">
        <f t="shared" si="8"/>
        <v/>
      </c>
      <c r="Y18" s="633"/>
      <c r="Z18" s="711" t="str">
        <f>IF(Y18="","",IF(I18=1,VLOOKUP(Y18,男子種目コード!$D$2:$E$16,2,FALSE),IF(I18=2,VLOOKUP(Y18,女子種目コード!$D$2:$E$16,2,FALSE))))</f>
        <v/>
      </c>
      <c r="AA18" s="630"/>
      <c r="AB18" s="634"/>
      <c r="AC18" s="712" t="str">
        <f>IF(AB18="","",IF(I18=1,VLOOKUP(AB18,男子種目コード!$D$2:$E$16,2,FALSE),IF(I18=2,VLOOKUP(AB18,女子種目コード!$D$2:$E$16,2,FALSE))))</f>
        <v/>
      </c>
      <c r="AD18" s="705"/>
      <c r="AE18" s="635"/>
      <c r="AF18" s="712"/>
      <c r="AG18" s="706"/>
      <c r="AH18" s="657"/>
      <c r="AI18" s="657"/>
      <c r="AK18" s="728" t="s">
        <v>201</v>
      </c>
      <c r="AL18" s="652" t="str">
        <f t="shared" si="9"/>
        <v/>
      </c>
      <c r="AM18" s="1180" t="s">
        <v>106</v>
      </c>
      <c r="AN18" s="1181"/>
      <c r="AO18" s="662"/>
      <c r="AP18" s="662"/>
      <c r="AQ18" s="662"/>
      <c r="AR18" s="662"/>
      <c r="AS18" s="662"/>
      <c r="AT18" s="707">
        <f t="shared" si="0"/>
        <v>0</v>
      </c>
      <c r="AU18" s="662"/>
      <c r="AV18" s="652">
        <f t="shared" si="1"/>
        <v>0</v>
      </c>
      <c r="AW18" s="652" t="str">
        <f t="shared" si="2"/>
        <v/>
      </c>
      <c r="AX18" s="652" t="str">
        <f t="shared" si="3"/>
        <v/>
      </c>
      <c r="AY18" s="715" t="str">
        <f t="shared" ca="1" si="13"/>
        <v/>
      </c>
      <c r="AZ18" s="716" t="str">
        <f t="shared" ca="1" si="13"/>
        <v/>
      </c>
      <c r="BA18" s="717" t="str">
        <f t="shared" ca="1" si="14"/>
        <v/>
      </c>
      <c r="BB18" s="718" t="str">
        <f t="shared" ca="1" si="14"/>
        <v/>
      </c>
      <c r="BC18" s="333" t="e">
        <f ca="1">VLookUpX("男子B",$A$7:$F$116,3,5)</f>
        <v>#N/A</v>
      </c>
      <c r="BD18" s="333" t="e">
        <f ca="1">VLookUpX("男子B",$A$7:$F$116,3,6)</f>
        <v>#N/A</v>
      </c>
      <c r="BE18" s="333" t="e">
        <f ca="1">VLookUpX("女子B",$A$7:$F$116,3,5)</f>
        <v>#N/A</v>
      </c>
      <c r="BF18" s="333" t="e">
        <f ca="1">VLookUpX("女子B",$A$7:$F$116,3,6)</f>
        <v>#N/A</v>
      </c>
      <c r="BG18" s="662"/>
      <c r="BH18" s="1037"/>
      <c r="BI18" s="1037"/>
      <c r="BJ18" s="1037"/>
      <c r="BK18" s="1037"/>
      <c r="BL18" s="1037"/>
    </row>
    <row r="19" spans="1:72">
      <c r="A19" s="698">
        <f t="shared" si="4"/>
        <v>0</v>
      </c>
      <c r="B19" s="704" t="str">
        <f>前年度登録!P16</f>
        <v/>
      </c>
      <c r="C19" s="708"/>
      <c r="D19" s="708"/>
      <c r="E19" s="709">
        <f>前年度登録!E16</f>
        <v>0</v>
      </c>
      <c r="F19" s="557" t="str">
        <f>前年度登録!CM16</f>
        <v/>
      </c>
      <c r="G19" s="993" t="str">
        <f>前年度登録!Z16</f>
        <v/>
      </c>
      <c r="H19" s="534" t="str">
        <f>前年度登録!CM16</f>
        <v/>
      </c>
      <c r="I19" s="257" t="str">
        <f>前年度登録!Y16</f>
        <v/>
      </c>
      <c r="J19" s="323" t="str">
        <f>前年度登録!CN16</f>
        <v/>
      </c>
      <c r="K19" s="1288">
        <f>前年度登録!CP16</f>
        <v>0</v>
      </c>
      <c r="L19" s="896" t="str">
        <f>前年度登録!CU16</f>
        <v>00</v>
      </c>
      <c r="M19" s="704" t="str">
        <f>前年度登録!Q16</f>
        <v/>
      </c>
      <c r="N19" s="1289">
        <f>前年度登録!D16</f>
        <v>0</v>
      </c>
      <c r="O19" s="1282"/>
      <c r="P19" s="258" t="str">
        <f>IF(O19="","",IF(I19=1,VLOOKUP(O19,男子種目コード!$J$1:$K$16,2,FALSE),IF(I19=2,VLOOKUP(O19,女子種目コード!$J$1:$K$16,2,FALSE))))</f>
        <v/>
      </c>
      <c r="Q19" s="494" t="str">
        <f>IF(O19="","",HLOOKUP(O19,前年度登録!$AH$3:$CH$118,14,FALSE))</f>
        <v/>
      </c>
      <c r="R19" s="624" t="str">
        <f t="shared" si="5"/>
        <v/>
      </c>
      <c r="S19" s="625" t="str">
        <f t="shared" si="6"/>
        <v/>
      </c>
      <c r="T19" s="259"/>
      <c r="U19" s="710" t="str">
        <f>IF(T19="","",IF(I19=1,VLOOKUP(T19,男子種目コード!$J$17:$K$19,2,FALSE),IF(I19=2,VLOOKUP(T19,女子種目コード!$J$17:$K$19,2,FALSE))))</f>
        <v/>
      </c>
      <c r="V19" s="628"/>
      <c r="W19" s="624" t="str">
        <f t="shared" si="7"/>
        <v/>
      </c>
      <c r="X19" s="625" t="str">
        <f t="shared" si="8"/>
        <v/>
      </c>
      <c r="Y19" s="633"/>
      <c r="Z19" s="711" t="str">
        <f>IF(Y19="","",IF(I19=1,VLOOKUP(Y19,男子種目コード!$D$2:$E$16,2,FALSE),IF(I19=2,VLOOKUP(Y19,女子種目コード!$D$2:$E$16,2,FALSE))))</f>
        <v/>
      </c>
      <c r="AA19" s="630"/>
      <c r="AB19" s="634"/>
      <c r="AC19" s="712" t="str">
        <f>IF(AB19="","",IF(I19=1,VLOOKUP(AB19,男子種目コード!$D$2:$E$16,2,FALSE),IF(I19=2,VLOOKUP(AB19,女子種目コード!$D$2:$E$16,2,FALSE))))</f>
        <v/>
      </c>
      <c r="AD19" s="705"/>
      <c r="AE19" s="635"/>
      <c r="AF19" s="712"/>
      <c r="AG19" s="706"/>
      <c r="AH19" s="657"/>
      <c r="AI19" s="657"/>
      <c r="AK19" s="728" t="s">
        <v>202</v>
      </c>
      <c r="AL19" s="652" t="str">
        <f t="shared" si="9"/>
        <v/>
      </c>
      <c r="AM19" s="645">
        <v>100</v>
      </c>
      <c r="AN19" s="646">
        <f>COUNTIF($P$7:$P$116,101)</f>
        <v>0</v>
      </c>
      <c r="AO19" s="1176"/>
      <c r="AP19" s="1176"/>
      <c r="AQ19" s="1176"/>
      <c r="AR19" s="1176"/>
      <c r="AS19" s="662"/>
      <c r="AT19" s="707">
        <f t="shared" si="0"/>
        <v>0</v>
      </c>
      <c r="AU19" s="662"/>
      <c r="AV19" s="652">
        <f t="shared" si="1"/>
        <v>0</v>
      </c>
      <c r="AW19" s="652" t="str">
        <f t="shared" si="2"/>
        <v/>
      </c>
      <c r="AX19" s="652" t="str">
        <f t="shared" si="3"/>
        <v/>
      </c>
      <c r="AY19" s="715" t="str">
        <f t="shared" ca="1" si="13"/>
        <v/>
      </c>
      <c r="AZ19" s="716" t="str">
        <f t="shared" ca="1" si="13"/>
        <v/>
      </c>
      <c r="BA19" s="717" t="str">
        <f t="shared" ca="1" si="14"/>
        <v/>
      </c>
      <c r="BB19" s="718" t="str">
        <f t="shared" ca="1" si="14"/>
        <v/>
      </c>
      <c r="BC19" s="333" t="e">
        <f ca="1">VLookUpX("男子B",$A$7:$F$116,4,5)</f>
        <v>#N/A</v>
      </c>
      <c r="BD19" s="333" t="e">
        <f ca="1">VLookUpX("男子B",$A$7:$F$116,4,6)</f>
        <v>#N/A</v>
      </c>
      <c r="BE19" s="333" t="e">
        <f ca="1">VLookUpX("女子B",$A$7:$F$116,4,5)</f>
        <v>#N/A</v>
      </c>
      <c r="BF19" s="333" t="e">
        <f ca="1">VLookUpX("女子B",$A$7:$F$116,4,6)</f>
        <v>#N/A</v>
      </c>
      <c r="BG19" s="662"/>
      <c r="BH19" s="1037"/>
      <c r="BI19" s="1037"/>
      <c r="BJ19" s="1037"/>
      <c r="BK19" s="1037"/>
      <c r="BL19" s="1037"/>
    </row>
    <row r="20" spans="1:72">
      <c r="A20" s="698">
        <f t="shared" si="4"/>
        <v>0</v>
      </c>
      <c r="B20" s="704" t="str">
        <f>前年度登録!P17</f>
        <v/>
      </c>
      <c r="C20" s="708"/>
      <c r="D20" s="708"/>
      <c r="E20" s="709">
        <f>前年度登録!E17</f>
        <v>0</v>
      </c>
      <c r="F20" s="557" t="str">
        <f>前年度登録!CM17</f>
        <v/>
      </c>
      <c r="G20" s="993" t="str">
        <f>前年度登録!Z17</f>
        <v/>
      </c>
      <c r="H20" s="534" t="str">
        <f>前年度登録!CM17</f>
        <v/>
      </c>
      <c r="I20" s="257" t="str">
        <f>前年度登録!Y17</f>
        <v/>
      </c>
      <c r="J20" s="323" t="str">
        <f>前年度登録!CN17</f>
        <v/>
      </c>
      <c r="K20" s="1288">
        <f>前年度登録!CP17</f>
        <v>0</v>
      </c>
      <c r="L20" s="896" t="str">
        <f>前年度登録!CU17</f>
        <v>00</v>
      </c>
      <c r="M20" s="704" t="str">
        <f>前年度登録!Q17</f>
        <v/>
      </c>
      <c r="N20" s="1289">
        <f>前年度登録!D17</f>
        <v>0</v>
      </c>
      <c r="O20" s="1282"/>
      <c r="P20" s="258" t="str">
        <f>IF(O20="","",IF(I20=1,VLOOKUP(O20,男子種目コード!$J$1:$K$16,2,FALSE),IF(I20=2,VLOOKUP(O20,女子種目コード!$J$1:$K$16,2,FALSE))))</f>
        <v/>
      </c>
      <c r="Q20" s="494" t="str">
        <f>IF(O20="","",HLOOKUP(O20,前年度登録!$AH$3:$CH$118,15,FALSE))</f>
        <v/>
      </c>
      <c r="R20" s="624" t="str">
        <f t="shared" si="5"/>
        <v/>
      </c>
      <c r="S20" s="625" t="str">
        <f t="shared" si="6"/>
        <v/>
      </c>
      <c r="T20" s="259"/>
      <c r="U20" s="710" t="str">
        <f>IF(T20="","",IF(I20=1,VLOOKUP(T20,男子種目コード!$J$17:$K$19,2,FALSE),IF(I20=2,VLOOKUP(T20,女子種目コード!$J$17:$K$19,2,FALSE))))</f>
        <v/>
      </c>
      <c r="V20" s="628"/>
      <c r="W20" s="624" t="str">
        <f t="shared" si="7"/>
        <v/>
      </c>
      <c r="X20" s="625" t="str">
        <f t="shared" si="8"/>
        <v/>
      </c>
      <c r="Y20" s="633"/>
      <c r="Z20" s="711" t="str">
        <f>IF(Y20="","",IF(I20=1,VLOOKUP(Y20,男子種目コード!$D$2:$E$16,2,FALSE),IF(I20=2,VLOOKUP(Y20,女子種目コード!$D$2:$E$16,2,FALSE))))</f>
        <v/>
      </c>
      <c r="AA20" s="630"/>
      <c r="AB20" s="634"/>
      <c r="AC20" s="712" t="str">
        <f>IF(AB20="","",IF(I20=1,VLOOKUP(AB20,男子種目コード!$D$2:$E$16,2,FALSE),IF(I20=2,VLOOKUP(AB20,女子種目コード!$D$2:$E$16,2,FALSE))))</f>
        <v/>
      </c>
      <c r="AD20" s="705"/>
      <c r="AE20" s="635"/>
      <c r="AF20" s="712"/>
      <c r="AG20" s="706"/>
      <c r="AH20" s="657"/>
      <c r="AI20" s="657"/>
      <c r="AK20" s="729" t="s">
        <v>203</v>
      </c>
      <c r="AL20" s="652" t="str">
        <f t="shared" si="9"/>
        <v/>
      </c>
      <c r="AM20" s="645">
        <v>1500</v>
      </c>
      <c r="AN20" s="646">
        <f>COUNTIF($P$7:$P$116,102)</f>
        <v>0</v>
      </c>
      <c r="AO20" s="1175"/>
      <c r="AP20" s="1175"/>
      <c r="AQ20" s="1175"/>
      <c r="AR20" s="1175"/>
      <c r="AS20" s="662"/>
      <c r="AT20" s="707">
        <f t="shared" si="0"/>
        <v>0</v>
      </c>
      <c r="AU20" s="662"/>
      <c r="AV20" s="652">
        <f t="shared" si="1"/>
        <v>0</v>
      </c>
      <c r="AW20" s="652" t="str">
        <f t="shared" si="2"/>
        <v/>
      </c>
      <c r="AX20" s="652" t="str">
        <f t="shared" si="3"/>
        <v/>
      </c>
      <c r="AY20" s="715" t="str">
        <f t="shared" ca="1" si="13"/>
        <v/>
      </c>
      <c r="AZ20" s="716" t="str">
        <f t="shared" ca="1" si="13"/>
        <v/>
      </c>
      <c r="BA20" s="717" t="str">
        <f t="shared" ca="1" si="14"/>
        <v/>
      </c>
      <c r="BB20" s="718" t="str">
        <f t="shared" ca="1" si="14"/>
        <v/>
      </c>
      <c r="BC20" s="333" t="e">
        <f ca="1">VLookUpX("男子B",$A$7:$F$116,5,5)</f>
        <v>#N/A</v>
      </c>
      <c r="BD20" s="333" t="e">
        <f ca="1">VLookUpX("男子B",$A$7:$F$116,5,6)</f>
        <v>#N/A</v>
      </c>
      <c r="BE20" s="333" t="e">
        <f ca="1">VLookUpX("女子B",$A$7:$F$116,5,5)</f>
        <v>#N/A</v>
      </c>
      <c r="BF20" s="333" t="e">
        <f ca="1">VLookUpX("女子B",$A$7:$F$116,5,6)</f>
        <v>#N/A</v>
      </c>
      <c r="BG20" s="662"/>
      <c r="BH20" s="1037"/>
      <c r="BI20" s="1037"/>
      <c r="BJ20" s="1037"/>
      <c r="BK20" s="1037"/>
      <c r="BL20" s="1037"/>
    </row>
    <row r="21" spans="1:72">
      <c r="A21" s="698">
        <f t="shared" si="4"/>
        <v>0</v>
      </c>
      <c r="B21" s="704" t="str">
        <f>前年度登録!P18</f>
        <v/>
      </c>
      <c r="C21" s="708"/>
      <c r="D21" s="708"/>
      <c r="E21" s="709">
        <f>前年度登録!E18</f>
        <v>0</v>
      </c>
      <c r="F21" s="557" t="str">
        <f>前年度登録!CM18</f>
        <v/>
      </c>
      <c r="G21" s="993" t="str">
        <f>前年度登録!Z18</f>
        <v/>
      </c>
      <c r="H21" s="534" t="str">
        <f>前年度登録!CM18</f>
        <v/>
      </c>
      <c r="I21" s="257" t="str">
        <f>前年度登録!Y18</f>
        <v/>
      </c>
      <c r="J21" s="323" t="str">
        <f>前年度登録!CN18</f>
        <v/>
      </c>
      <c r="K21" s="1288">
        <f>前年度登録!CP18</f>
        <v>0</v>
      </c>
      <c r="L21" s="896" t="str">
        <f>前年度登録!CU18</f>
        <v>00</v>
      </c>
      <c r="M21" s="704" t="str">
        <f>前年度登録!Q18</f>
        <v/>
      </c>
      <c r="N21" s="1289">
        <f>前年度登録!D18</f>
        <v>0</v>
      </c>
      <c r="O21" s="1282"/>
      <c r="P21" s="258" t="str">
        <f>IF(O21="","",IF(I21=1,VLOOKUP(O21,男子種目コード!$J$1:$K$16,2,FALSE),IF(I21=2,VLOOKUP(O21,女子種目コード!$J$1:$K$16,2,FALSE))))</f>
        <v/>
      </c>
      <c r="Q21" s="494" t="str">
        <f>IF(O21="","",HLOOKUP(O21,前年度登録!$AH$3:$CH$118,16,FALSE))</f>
        <v/>
      </c>
      <c r="R21" s="624" t="str">
        <f t="shared" si="5"/>
        <v/>
      </c>
      <c r="S21" s="625" t="str">
        <f t="shared" si="6"/>
        <v/>
      </c>
      <c r="T21" s="259"/>
      <c r="U21" s="710" t="str">
        <f>IF(T21="","",IF(I21=1,VLOOKUP(T21,男子種目コード!$J$17:$K$19,2,FALSE),IF(I21=2,VLOOKUP(T21,女子種目コード!$J$17:$K$19,2,FALSE))))</f>
        <v/>
      </c>
      <c r="V21" s="628"/>
      <c r="W21" s="624" t="str">
        <f t="shared" si="7"/>
        <v/>
      </c>
      <c r="X21" s="625" t="str">
        <f t="shared" si="8"/>
        <v/>
      </c>
      <c r="Y21" s="633"/>
      <c r="Z21" s="711" t="str">
        <f>IF(Y21="","",IF(I21=1,VLOOKUP(Y21,男子種目コード!$D$2:$E$16,2,FALSE),IF(I21=2,VLOOKUP(Y21,女子種目コード!$D$2:$E$16,2,FALSE))))</f>
        <v/>
      </c>
      <c r="AA21" s="630"/>
      <c r="AB21" s="634"/>
      <c r="AC21" s="712" t="str">
        <f>IF(AB21="","",IF(I21=1,VLOOKUP(AB21,男子種目コード!$D$2:$E$16,2,FALSE),IF(I21=2,VLOOKUP(AB21,女子種目コード!$D$2:$E$16,2,FALSE))))</f>
        <v/>
      </c>
      <c r="AD21" s="705"/>
      <c r="AE21" s="635"/>
      <c r="AF21" s="712"/>
      <c r="AG21" s="706"/>
      <c r="AH21" s="657"/>
      <c r="AI21" s="657"/>
      <c r="AK21" s="728" t="s">
        <v>204</v>
      </c>
      <c r="AL21" s="652" t="str">
        <f t="shared" si="9"/>
        <v/>
      </c>
      <c r="AM21" s="645" t="s">
        <v>507</v>
      </c>
      <c r="AN21" s="646">
        <f>COUNTIF($P$7:$P$116,104)</f>
        <v>0</v>
      </c>
      <c r="AO21" s="1175"/>
      <c r="AP21" s="1175"/>
      <c r="AQ21" s="1175"/>
      <c r="AR21" s="1175"/>
      <c r="AS21" s="662"/>
      <c r="AT21" s="707">
        <f t="shared" si="0"/>
        <v>0</v>
      </c>
      <c r="AU21" s="662"/>
      <c r="AV21" s="652">
        <f t="shared" si="1"/>
        <v>0</v>
      </c>
      <c r="AW21" s="652" t="str">
        <f t="shared" si="2"/>
        <v/>
      </c>
      <c r="AX21" s="652" t="str">
        <f t="shared" si="3"/>
        <v/>
      </c>
      <c r="AY21" s="715" t="str">
        <f t="shared" ca="1" si="13"/>
        <v/>
      </c>
      <c r="AZ21" s="716" t="str">
        <f t="shared" ca="1" si="13"/>
        <v/>
      </c>
      <c r="BA21" s="717" t="str">
        <f t="shared" ca="1" si="14"/>
        <v/>
      </c>
      <c r="BB21" s="718" t="str">
        <f t="shared" ca="1" si="14"/>
        <v/>
      </c>
      <c r="BC21" s="333" t="e">
        <f ca="1">VLookUpX("男子B",$A$7:$F$116,6,5)</f>
        <v>#N/A</v>
      </c>
      <c r="BD21" s="333" t="e">
        <f ca="1">VLookUpX("男子B",$A$7:$F$116,6,6)</f>
        <v>#N/A</v>
      </c>
      <c r="BE21" s="333" t="e">
        <f ca="1">VLookUpX("女子B",$A$7:$F$116,6,5)</f>
        <v>#N/A</v>
      </c>
      <c r="BF21" s="333" t="e">
        <f ca="1">VLookUpX("女子B",$A$7:$F$116,6,6)</f>
        <v>#N/A</v>
      </c>
      <c r="BG21" s="662"/>
      <c r="BH21" s="1037"/>
      <c r="BI21" s="1037"/>
      <c r="BJ21" s="1037"/>
      <c r="BK21" s="1037"/>
      <c r="BL21" s="1037"/>
    </row>
    <row r="22" spans="1:72">
      <c r="A22" s="698">
        <f t="shared" si="4"/>
        <v>0</v>
      </c>
      <c r="B22" s="704" t="str">
        <f>前年度登録!P19</f>
        <v/>
      </c>
      <c r="C22" s="708"/>
      <c r="D22" s="708"/>
      <c r="E22" s="709">
        <f>前年度登録!E19</f>
        <v>0</v>
      </c>
      <c r="F22" s="557" t="str">
        <f>前年度登録!CM19</f>
        <v/>
      </c>
      <c r="G22" s="993" t="str">
        <f>前年度登録!Z19</f>
        <v/>
      </c>
      <c r="H22" s="534" t="str">
        <f>前年度登録!CM19</f>
        <v/>
      </c>
      <c r="I22" s="257" t="str">
        <f>前年度登録!Y19</f>
        <v/>
      </c>
      <c r="J22" s="323" t="str">
        <f>前年度登録!CN19</f>
        <v/>
      </c>
      <c r="K22" s="1288">
        <f>前年度登録!CP19</f>
        <v>0</v>
      </c>
      <c r="L22" s="896" t="str">
        <f>前年度登録!CU19</f>
        <v>00</v>
      </c>
      <c r="M22" s="704" t="str">
        <f>前年度登録!Q19</f>
        <v/>
      </c>
      <c r="N22" s="1289">
        <f>前年度登録!D19</f>
        <v>0</v>
      </c>
      <c r="O22" s="1282"/>
      <c r="P22" s="258" t="str">
        <f>IF(O22="","",IF(I22=1,VLOOKUP(O22,男子種目コード!$J$1:$K$16,2,FALSE),IF(I22=2,VLOOKUP(O22,女子種目コード!$J$1:$K$16,2,FALSE))))</f>
        <v/>
      </c>
      <c r="Q22" s="494" t="str">
        <f>IF(O22="","",HLOOKUP(O22,前年度登録!$AH$3:$CH$118,17,FALSE))</f>
        <v/>
      </c>
      <c r="R22" s="624" t="str">
        <f t="shared" si="5"/>
        <v/>
      </c>
      <c r="S22" s="625" t="str">
        <f t="shared" si="6"/>
        <v/>
      </c>
      <c r="T22" s="259"/>
      <c r="U22" s="710" t="str">
        <f>IF(T22="","",IF(I22=1,VLOOKUP(T22,男子種目コード!$J$17:$K$19,2,FALSE),IF(I22=2,VLOOKUP(T22,女子種目コード!$J$17:$K$19,2,FALSE))))</f>
        <v/>
      </c>
      <c r="V22" s="628"/>
      <c r="W22" s="624" t="str">
        <f t="shared" si="7"/>
        <v/>
      </c>
      <c r="X22" s="625" t="str">
        <f t="shared" si="8"/>
        <v/>
      </c>
      <c r="Y22" s="633"/>
      <c r="Z22" s="711" t="str">
        <f>IF(Y22="","",IF(I22=1,VLOOKUP(Y22,男子種目コード!$D$2:$E$16,2,FALSE),IF(I22=2,VLOOKUP(Y22,女子種目コード!$D$2:$E$16,2,FALSE))))</f>
        <v/>
      </c>
      <c r="AA22" s="630"/>
      <c r="AB22" s="634"/>
      <c r="AC22" s="712" t="str">
        <f>IF(AB22="","",IF(I22=1,VLOOKUP(AB22,男子種目コード!$D$2:$E$16,2,FALSE),IF(I22=2,VLOOKUP(AB22,女子種目コード!$D$2:$E$16,2,FALSE))))</f>
        <v/>
      </c>
      <c r="AD22" s="705"/>
      <c r="AE22" s="635"/>
      <c r="AF22" s="712"/>
      <c r="AG22" s="706"/>
      <c r="AH22" s="657"/>
      <c r="AI22" s="657"/>
      <c r="AK22" s="728" t="s">
        <v>205</v>
      </c>
      <c r="AL22" s="652" t="str">
        <f t="shared" si="9"/>
        <v/>
      </c>
      <c r="AM22" s="645" t="s">
        <v>213</v>
      </c>
      <c r="AN22" s="646">
        <f>COUNTIF($P$7:$P$116,105)</f>
        <v>0</v>
      </c>
      <c r="AO22" s="1177"/>
      <c r="AP22" s="1177"/>
      <c r="AQ22" s="1177"/>
      <c r="AR22" s="1177"/>
      <c r="AS22" s="662"/>
      <c r="AT22" s="707">
        <f t="shared" si="0"/>
        <v>0</v>
      </c>
      <c r="AU22" s="662"/>
      <c r="AV22" s="652">
        <f t="shared" si="1"/>
        <v>0</v>
      </c>
      <c r="AW22" s="652" t="str">
        <f t="shared" si="2"/>
        <v/>
      </c>
      <c r="AX22" s="652" t="str">
        <f t="shared" si="3"/>
        <v/>
      </c>
      <c r="AY22" s="1163" t="s">
        <v>436</v>
      </c>
      <c r="AZ22" s="1164"/>
      <c r="BA22" s="1165" t="s">
        <v>440</v>
      </c>
      <c r="BB22" s="1166"/>
      <c r="BG22" s="662"/>
      <c r="BH22" s="1037"/>
      <c r="BI22" s="1037"/>
      <c r="BJ22" s="1037"/>
      <c r="BK22" s="1037"/>
      <c r="BL22" s="1037"/>
    </row>
    <row r="23" spans="1:72">
      <c r="A23" s="698">
        <f t="shared" si="4"/>
        <v>0</v>
      </c>
      <c r="B23" s="704" t="str">
        <f>前年度登録!P20</f>
        <v/>
      </c>
      <c r="C23" s="708"/>
      <c r="D23" s="708"/>
      <c r="E23" s="709">
        <f>前年度登録!E20</f>
        <v>0</v>
      </c>
      <c r="F23" s="557" t="str">
        <f>前年度登録!CM20</f>
        <v/>
      </c>
      <c r="G23" s="993" t="str">
        <f>前年度登録!Z20</f>
        <v/>
      </c>
      <c r="H23" s="534" t="str">
        <f>前年度登録!CM20</f>
        <v/>
      </c>
      <c r="I23" s="257" t="str">
        <f>前年度登録!Y20</f>
        <v/>
      </c>
      <c r="J23" s="323" t="str">
        <f>前年度登録!CN20</f>
        <v/>
      </c>
      <c r="K23" s="1288">
        <f>前年度登録!CP20</f>
        <v>0</v>
      </c>
      <c r="L23" s="896" t="str">
        <f>前年度登録!CU20</f>
        <v>00</v>
      </c>
      <c r="M23" s="704" t="str">
        <f>前年度登録!Q20</f>
        <v/>
      </c>
      <c r="N23" s="1289">
        <f>前年度登録!D20</f>
        <v>0</v>
      </c>
      <c r="O23" s="1282"/>
      <c r="P23" s="258" t="str">
        <f>IF(O23="","",IF(I23=1,VLOOKUP(O23,男子種目コード!$J$1:$K$16,2,FALSE),IF(I23=2,VLOOKUP(O23,女子種目コード!$J$1:$K$16,2,FALSE))))</f>
        <v/>
      </c>
      <c r="Q23" s="494" t="str">
        <f>IF(O23="","",HLOOKUP(O23,前年度登録!$AH$3:$CH$118,18,FALSE))</f>
        <v/>
      </c>
      <c r="R23" s="624" t="str">
        <f t="shared" si="5"/>
        <v/>
      </c>
      <c r="S23" s="625" t="str">
        <f t="shared" si="6"/>
        <v/>
      </c>
      <c r="T23" s="259"/>
      <c r="U23" s="710" t="str">
        <f>IF(T23="","",IF(I23=1,VLOOKUP(T23,男子種目コード!$J$17:$K$19,2,FALSE),IF(I23=2,VLOOKUP(T23,女子種目コード!$J$17:$K$19,2,FALSE))))</f>
        <v/>
      </c>
      <c r="V23" s="628"/>
      <c r="W23" s="624" t="str">
        <f t="shared" si="7"/>
        <v/>
      </c>
      <c r="X23" s="625" t="str">
        <f t="shared" si="8"/>
        <v/>
      </c>
      <c r="Y23" s="633"/>
      <c r="Z23" s="711" t="str">
        <f>IF(Y23="","",IF(I23=1,VLOOKUP(Y23,男子種目コード!$D$2:$E$16,2,FALSE),IF(I23=2,VLOOKUP(Y23,女子種目コード!$D$2:$E$16,2,FALSE))))</f>
        <v/>
      </c>
      <c r="AA23" s="630"/>
      <c r="AB23" s="634"/>
      <c r="AC23" s="712" t="str">
        <f>IF(AB23="","",IF(I23=1,VLOOKUP(AB23,男子種目コード!$D$2:$E$16,2,FALSE),IF(I23=2,VLOOKUP(AB23,女子種目コード!$D$2:$E$16,2,FALSE))))</f>
        <v/>
      </c>
      <c r="AD23" s="705"/>
      <c r="AE23" s="635"/>
      <c r="AF23" s="712"/>
      <c r="AG23" s="706"/>
      <c r="AH23" s="657"/>
      <c r="AI23" s="657"/>
      <c r="AK23" s="728" t="s">
        <v>206</v>
      </c>
      <c r="AL23" s="652" t="str">
        <f t="shared" si="9"/>
        <v/>
      </c>
      <c r="AM23" s="645" t="s">
        <v>24</v>
      </c>
      <c r="AN23" s="646">
        <f>COUNTIF($P$7:$P$116,106)</f>
        <v>0</v>
      </c>
      <c r="AO23" s="1162"/>
      <c r="AP23" s="1162"/>
      <c r="AQ23" s="1162"/>
      <c r="AR23" s="1162"/>
      <c r="AS23" s="662"/>
      <c r="AT23" s="707">
        <f t="shared" si="0"/>
        <v>0</v>
      </c>
      <c r="AU23" s="662"/>
      <c r="AV23" s="652">
        <f t="shared" si="1"/>
        <v>0</v>
      </c>
      <c r="AW23" s="652" t="str">
        <f t="shared" si="2"/>
        <v/>
      </c>
      <c r="AX23" s="652" t="str">
        <f t="shared" si="3"/>
        <v/>
      </c>
      <c r="AY23" s="1167" t="s">
        <v>439</v>
      </c>
      <c r="AZ23" s="1168"/>
      <c r="BA23" s="1168" t="s">
        <v>439</v>
      </c>
      <c r="BB23" s="1169"/>
      <c r="BG23" s="662"/>
      <c r="BH23" s="1037"/>
      <c r="BI23" s="1037"/>
      <c r="BJ23" s="1037"/>
      <c r="BK23" s="1037"/>
      <c r="BL23" s="1037"/>
    </row>
    <row r="24" spans="1:72">
      <c r="A24" s="698">
        <f t="shared" si="4"/>
        <v>0</v>
      </c>
      <c r="B24" s="704" t="str">
        <f>前年度登録!P21</f>
        <v/>
      </c>
      <c r="C24" s="708"/>
      <c r="D24" s="708"/>
      <c r="E24" s="709">
        <f>前年度登録!E21</f>
        <v>0</v>
      </c>
      <c r="F24" s="557" t="str">
        <f>前年度登録!CM21</f>
        <v/>
      </c>
      <c r="G24" s="993" t="str">
        <f>前年度登録!Z21</f>
        <v/>
      </c>
      <c r="H24" s="534" t="str">
        <f>前年度登録!CM21</f>
        <v/>
      </c>
      <c r="I24" s="257" t="str">
        <f>前年度登録!Y21</f>
        <v/>
      </c>
      <c r="J24" s="323" t="str">
        <f>前年度登録!CN21</f>
        <v/>
      </c>
      <c r="K24" s="1288">
        <f>前年度登録!CP21</f>
        <v>0</v>
      </c>
      <c r="L24" s="896" t="str">
        <f>前年度登録!CU21</f>
        <v>00</v>
      </c>
      <c r="M24" s="704" t="str">
        <f>前年度登録!Q21</f>
        <v/>
      </c>
      <c r="N24" s="1289">
        <f>前年度登録!D21</f>
        <v>0</v>
      </c>
      <c r="O24" s="1282"/>
      <c r="P24" s="258" t="str">
        <f>IF(O24="","",IF(I24=1,VLOOKUP(O24,男子種目コード!$J$1:$K$16,2,FALSE),IF(I24=2,VLOOKUP(O24,女子種目コード!$J$1:$K$16,2,FALSE))))</f>
        <v/>
      </c>
      <c r="Q24" s="494" t="str">
        <f>IF(O24="","",HLOOKUP(O24,前年度登録!$AH$3:$CH$118,19,FALSE))</f>
        <v/>
      </c>
      <c r="R24" s="624" t="str">
        <f t="shared" si="5"/>
        <v/>
      </c>
      <c r="S24" s="625" t="str">
        <f t="shared" si="6"/>
        <v/>
      </c>
      <c r="T24" s="259"/>
      <c r="U24" s="710" t="str">
        <f>IF(T24="","",IF(I24=1,VLOOKUP(T24,男子種目コード!$J$17:$K$19,2,FALSE),IF(I24=2,VLOOKUP(T24,女子種目コード!$J$17:$K$19,2,FALSE))))</f>
        <v/>
      </c>
      <c r="V24" s="628"/>
      <c r="W24" s="624" t="str">
        <f t="shared" si="7"/>
        <v/>
      </c>
      <c r="X24" s="625" t="str">
        <f t="shared" si="8"/>
        <v/>
      </c>
      <c r="Y24" s="633"/>
      <c r="Z24" s="711" t="str">
        <f>IF(Y24="","",IF(I24=1,VLOOKUP(Y24,男子種目コード!$D$2:$E$16,2,FALSE),IF(I24=2,VLOOKUP(Y24,女子種目コード!$D$2:$E$16,2,FALSE))))</f>
        <v/>
      </c>
      <c r="AA24" s="630"/>
      <c r="AB24" s="634"/>
      <c r="AC24" s="712" t="str">
        <f>IF(AB24="","",IF(I24=1,VLOOKUP(AB24,男子種目コード!$D$2:$E$16,2,FALSE),IF(I24=2,VLOOKUP(AB24,女子種目コード!$D$2:$E$16,2,FALSE))))</f>
        <v/>
      </c>
      <c r="AD24" s="705"/>
      <c r="AE24" s="635"/>
      <c r="AF24" s="712"/>
      <c r="AG24" s="706"/>
      <c r="AH24" s="657"/>
      <c r="AI24" s="657"/>
      <c r="AK24" s="728"/>
      <c r="AL24" s="652" t="str">
        <f t="shared" si="9"/>
        <v/>
      </c>
      <c r="AM24" s="645" t="s">
        <v>99</v>
      </c>
      <c r="AN24" s="646">
        <f>COUNTIF($P$7:$P$116,107)</f>
        <v>0</v>
      </c>
      <c r="AO24" s="1162"/>
      <c r="AP24" s="1162"/>
      <c r="AQ24" s="1162"/>
      <c r="AR24" s="1162"/>
      <c r="AS24" s="662"/>
      <c r="AT24" s="707">
        <f t="shared" si="0"/>
        <v>0</v>
      </c>
      <c r="AU24" s="662"/>
      <c r="AV24" s="652">
        <f t="shared" si="1"/>
        <v>0</v>
      </c>
      <c r="AW24" s="652" t="str">
        <f t="shared" si="2"/>
        <v/>
      </c>
      <c r="AX24" s="652" t="str">
        <f t="shared" si="3"/>
        <v/>
      </c>
      <c r="AY24" s="715" t="str">
        <f ca="1">IF(ISERROR(BC24),"",BC24)</f>
        <v/>
      </c>
      <c r="AZ24" s="716" t="str">
        <f ca="1">IF(ISERROR(BD24),"",BD24)</f>
        <v/>
      </c>
      <c r="BA24" s="717" t="str">
        <f ca="1">IF(ISERROR(BE24),"",BE24)</f>
        <v/>
      </c>
      <c r="BB24" s="718" t="str">
        <f ca="1">IF(ISERROR(BF24),"",BF24)</f>
        <v/>
      </c>
      <c r="BC24" s="333" t="e">
        <f ca="1">VLookUpX("男子C",$A$7:$F$116,1,5)</f>
        <v>#N/A</v>
      </c>
      <c r="BD24" s="333" t="e">
        <f ca="1">VLookUpX("男子C",$A$7:$F$116,1,6)</f>
        <v>#N/A</v>
      </c>
      <c r="BE24" s="333" t="e">
        <f ca="1">VLookUpX("女子C",$A$7:$F$116,1,5)</f>
        <v>#N/A</v>
      </c>
      <c r="BF24" s="333" t="e">
        <f ca="1">VLookUpX("女子C",$A$7:$F$116,1,6)</f>
        <v>#N/A</v>
      </c>
      <c r="BG24" s="662"/>
      <c r="BH24" s="1037"/>
      <c r="BI24" s="1037"/>
      <c r="BJ24" s="1037"/>
      <c r="BK24" s="1037"/>
      <c r="BL24" s="1037"/>
    </row>
    <row r="25" spans="1:72" ht="14.25" thickBot="1">
      <c r="A25" s="698">
        <f t="shared" si="4"/>
        <v>0</v>
      </c>
      <c r="B25" s="704" t="str">
        <f>前年度登録!P22</f>
        <v/>
      </c>
      <c r="C25" s="708"/>
      <c r="D25" s="708"/>
      <c r="E25" s="709">
        <f>前年度登録!E22</f>
        <v>0</v>
      </c>
      <c r="F25" s="557" t="str">
        <f>前年度登録!CM22</f>
        <v/>
      </c>
      <c r="G25" s="993" t="str">
        <f>前年度登録!Z22</f>
        <v/>
      </c>
      <c r="H25" s="534" t="str">
        <f>前年度登録!CM22</f>
        <v/>
      </c>
      <c r="I25" s="257" t="str">
        <f>前年度登録!Y22</f>
        <v/>
      </c>
      <c r="J25" s="323" t="str">
        <f>前年度登録!CN22</f>
        <v/>
      </c>
      <c r="K25" s="1288">
        <f>前年度登録!CP22</f>
        <v>0</v>
      </c>
      <c r="L25" s="896" t="str">
        <f>前年度登録!CU22</f>
        <v>00</v>
      </c>
      <c r="M25" s="704" t="str">
        <f>前年度登録!Q22</f>
        <v/>
      </c>
      <c r="N25" s="1289">
        <f>前年度登録!D22</f>
        <v>0</v>
      </c>
      <c r="O25" s="1282"/>
      <c r="P25" s="258" t="str">
        <f>IF(O25="","",IF(I25=1,VLOOKUP(O25,男子種目コード!$J$1:$K$16,2,FALSE),IF(I25=2,VLOOKUP(O25,女子種目コード!$J$1:$K$16,2,FALSE))))</f>
        <v/>
      </c>
      <c r="Q25" s="494" t="str">
        <f>IF(O25="","",HLOOKUP(O25,前年度登録!$AH$3:$CH$118,20,FALSE))</f>
        <v/>
      </c>
      <c r="R25" s="624" t="str">
        <f t="shared" si="5"/>
        <v/>
      </c>
      <c r="S25" s="625" t="str">
        <f t="shared" si="6"/>
        <v/>
      </c>
      <c r="T25" s="259"/>
      <c r="U25" s="710" t="str">
        <f>IF(T25="","",IF(I25=1,VLOOKUP(T25,男子種目コード!$J$17:$K$19,2,FALSE),IF(I25=2,VLOOKUP(T25,女子種目コード!$J$17:$K$19,2,FALSE))))</f>
        <v/>
      </c>
      <c r="V25" s="628"/>
      <c r="W25" s="624" t="str">
        <f t="shared" si="7"/>
        <v/>
      </c>
      <c r="X25" s="625" t="str">
        <f t="shared" si="8"/>
        <v/>
      </c>
      <c r="Y25" s="633"/>
      <c r="Z25" s="711" t="str">
        <f>IF(Y25="","",IF(I25=1,VLOOKUP(Y25,男子種目コード!$D$2:$E$16,2,FALSE),IF(I25=2,VLOOKUP(Y25,女子種目コード!$D$2:$E$16,2,FALSE))))</f>
        <v/>
      </c>
      <c r="AA25" s="630"/>
      <c r="AB25" s="634"/>
      <c r="AC25" s="712" t="str">
        <f>IF(AB25="","",IF(I25=1,VLOOKUP(AB25,男子種目コード!$D$2:$E$16,2,FALSE),IF(I25=2,VLOOKUP(AB25,女子種目コード!$D$2:$E$16,2,FALSE))))</f>
        <v/>
      </c>
      <c r="AD25" s="705"/>
      <c r="AE25" s="635"/>
      <c r="AF25" s="712"/>
      <c r="AG25" s="706"/>
      <c r="AH25" s="657"/>
      <c r="AI25" s="657"/>
      <c r="AK25" s="728"/>
      <c r="AL25" s="652" t="str">
        <f t="shared" si="9"/>
        <v/>
      </c>
      <c r="AM25" s="647" t="s">
        <v>262</v>
      </c>
      <c r="AN25" s="648">
        <f>SUM(AN19:AN24)</f>
        <v>0</v>
      </c>
      <c r="AO25" s="1162"/>
      <c r="AP25" s="1162"/>
      <c r="AQ25" s="1162"/>
      <c r="AR25" s="1162"/>
      <c r="AS25" s="662"/>
      <c r="AT25" s="707">
        <f t="shared" si="0"/>
        <v>0</v>
      </c>
      <c r="AU25" s="662"/>
      <c r="AV25" s="652">
        <f t="shared" si="1"/>
        <v>0</v>
      </c>
      <c r="AW25" s="652" t="str">
        <f t="shared" si="2"/>
        <v/>
      </c>
      <c r="AX25" s="652" t="str">
        <f t="shared" si="3"/>
        <v/>
      </c>
      <c r="AY25" s="715" t="str">
        <f t="shared" ref="AY25:AZ29" ca="1" si="15">IF(ISERROR(BC25),"",BC25)</f>
        <v/>
      </c>
      <c r="AZ25" s="716" t="str">
        <f t="shared" ca="1" si="15"/>
        <v/>
      </c>
      <c r="BA25" s="717" t="str">
        <f t="shared" ref="BA25:BB29" ca="1" si="16">IF(ISERROR(BE25),"",BE25)</f>
        <v/>
      </c>
      <c r="BB25" s="718" t="str">
        <f t="shared" ca="1" si="16"/>
        <v/>
      </c>
      <c r="BC25" s="333" t="e">
        <f ca="1">VLookUpX("男子C",$A$7:$F$116,2,5)</f>
        <v>#N/A</v>
      </c>
      <c r="BD25" s="333" t="e">
        <f ca="1">VLookUpX("男子C",$A$7:$F$116,2,6)</f>
        <v>#N/A</v>
      </c>
      <c r="BE25" s="333" t="e">
        <f ca="1">VLookUpX("女子C",$A$7:$F$116,2,5)</f>
        <v>#N/A</v>
      </c>
      <c r="BF25" s="333" t="e">
        <f ca="1">VLookUpX("女子C",$A$7:$F$116,2,6)</f>
        <v>#N/A</v>
      </c>
      <c r="BG25" s="662"/>
      <c r="BH25" s="1037"/>
      <c r="BI25" s="1037"/>
      <c r="BJ25" s="1037"/>
      <c r="BK25" s="1037"/>
      <c r="BL25" s="1037"/>
    </row>
    <row r="26" spans="1:72">
      <c r="A26" s="698">
        <f t="shared" si="4"/>
        <v>0</v>
      </c>
      <c r="B26" s="704" t="str">
        <f>前年度登録!P23</f>
        <v/>
      </c>
      <c r="C26" s="708"/>
      <c r="D26" s="708"/>
      <c r="E26" s="709">
        <f>前年度登録!E23</f>
        <v>0</v>
      </c>
      <c r="F26" s="557" t="str">
        <f>前年度登録!CM23</f>
        <v/>
      </c>
      <c r="G26" s="993" t="str">
        <f>前年度登録!Z23</f>
        <v/>
      </c>
      <c r="H26" s="534" t="str">
        <f>前年度登録!CM23</f>
        <v/>
      </c>
      <c r="I26" s="257" t="str">
        <f>前年度登録!Y23</f>
        <v/>
      </c>
      <c r="J26" s="323" t="str">
        <f>前年度登録!CN23</f>
        <v/>
      </c>
      <c r="K26" s="1288">
        <f>前年度登録!CP23</f>
        <v>0</v>
      </c>
      <c r="L26" s="896" t="str">
        <f>前年度登録!CU23</f>
        <v>00</v>
      </c>
      <c r="M26" s="704" t="str">
        <f>前年度登録!Q23</f>
        <v/>
      </c>
      <c r="N26" s="1289">
        <f>前年度登録!D23</f>
        <v>0</v>
      </c>
      <c r="O26" s="1282"/>
      <c r="P26" s="258" t="str">
        <f>IF(O26="","",IF(I26=1,VLOOKUP(O26,男子種目コード!$J$1:$K$16,2,FALSE),IF(I26=2,VLOOKUP(O26,女子種目コード!$J$1:$K$16,2,FALSE))))</f>
        <v/>
      </c>
      <c r="Q26" s="494" t="str">
        <f>IF(O26="","",HLOOKUP(O26,前年度登録!$AH$3:$CH$118,21,FALSE))</f>
        <v/>
      </c>
      <c r="R26" s="624" t="str">
        <f t="shared" si="5"/>
        <v/>
      </c>
      <c r="S26" s="625" t="str">
        <f t="shared" si="6"/>
        <v/>
      </c>
      <c r="T26" s="259"/>
      <c r="U26" s="710" t="str">
        <f>IF(T26="","",IF(I26=1,VLOOKUP(T26,男子種目コード!$J$17:$K$19,2,FALSE),IF(I26=2,VLOOKUP(T26,女子種目コード!$J$17:$K$19,2,FALSE))))</f>
        <v/>
      </c>
      <c r="V26" s="628"/>
      <c r="W26" s="624" t="str">
        <f t="shared" si="7"/>
        <v/>
      </c>
      <c r="X26" s="625" t="str">
        <f t="shared" si="8"/>
        <v/>
      </c>
      <c r="Y26" s="633"/>
      <c r="Z26" s="711" t="str">
        <f>IF(Y26="","",IF(I26=1,VLOOKUP(Y26,男子種目コード!$D$2:$E$16,2,FALSE),IF(I26=2,VLOOKUP(Y26,女子種目コード!$D$2:$E$16,2,FALSE))))</f>
        <v/>
      </c>
      <c r="AA26" s="630"/>
      <c r="AB26" s="634"/>
      <c r="AC26" s="712" t="str">
        <f>IF(AB26="","",IF(I26=1,VLOOKUP(AB26,男子種目コード!$D$2:$E$16,2,FALSE),IF(I26=2,VLOOKUP(AB26,女子種目コード!$D$2:$E$16,2,FALSE))))</f>
        <v/>
      </c>
      <c r="AD26" s="705"/>
      <c r="AE26" s="635"/>
      <c r="AF26" s="712"/>
      <c r="AG26" s="706"/>
      <c r="AH26" s="657"/>
      <c r="AI26" s="657"/>
      <c r="AK26" s="730"/>
      <c r="AL26" s="652" t="str">
        <f t="shared" si="9"/>
        <v/>
      </c>
      <c r="AM26" s="1193" t="s">
        <v>108</v>
      </c>
      <c r="AN26" s="1194"/>
      <c r="AO26" s="1162"/>
      <c r="AP26" s="1162"/>
      <c r="AQ26" s="1162"/>
      <c r="AR26" s="1162"/>
      <c r="AS26" s="662"/>
      <c r="AT26" s="707">
        <f t="shared" si="0"/>
        <v>0</v>
      </c>
      <c r="AU26" s="662"/>
      <c r="AV26" s="652">
        <f t="shared" si="1"/>
        <v>0</v>
      </c>
      <c r="AW26" s="652" t="str">
        <f t="shared" si="2"/>
        <v/>
      </c>
      <c r="AX26" s="652" t="str">
        <f t="shared" si="3"/>
        <v/>
      </c>
      <c r="AY26" s="715" t="str">
        <f t="shared" ca="1" si="15"/>
        <v/>
      </c>
      <c r="AZ26" s="716" t="str">
        <f t="shared" ca="1" si="15"/>
        <v/>
      </c>
      <c r="BA26" s="717" t="str">
        <f t="shared" ca="1" si="16"/>
        <v/>
      </c>
      <c r="BB26" s="718" t="str">
        <f t="shared" ca="1" si="16"/>
        <v/>
      </c>
      <c r="BC26" s="333" t="e">
        <f ca="1">VLookUpX("男子C",$A$7:$F$116,3,5)</f>
        <v>#N/A</v>
      </c>
      <c r="BD26" s="333" t="e">
        <f ca="1">VLookUpX("男子C",$A$7:$F$116,3,6)</f>
        <v>#N/A</v>
      </c>
      <c r="BE26" s="333" t="e">
        <f ca="1">VLookUpX("女子C",$A$7:$F$116,3,5)</f>
        <v>#N/A</v>
      </c>
      <c r="BF26" s="333" t="e">
        <f ca="1">VLookUpX("女子C",$A$7:$F$116,3,6)</f>
        <v>#N/A</v>
      </c>
      <c r="BG26" s="662"/>
      <c r="BH26" s="1037"/>
      <c r="BI26" s="1037"/>
      <c r="BJ26" s="1037"/>
      <c r="BK26" s="1037"/>
      <c r="BL26" s="1037"/>
    </row>
    <row r="27" spans="1:72">
      <c r="A27" s="698">
        <f t="shared" si="4"/>
        <v>0</v>
      </c>
      <c r="B27" s="704" t="str">
        <f>前年度登録!P24</f>
        <v/>
      </c>
      <c r="C27" s="708"/>
      <c r="D27" s="708"/>
      <c r="E27" s="709">
        <f>前年度登録!E24</f>
        <v>0</v>
      </c>
      <c r="F27" s="557" t="str">
        <f>前年度登録!CM24</f>
        <v/>
      </c>
      <c r="G27" s="993" t="str">
        <f>前年度登録!Z24</f>
        <v/>
      </c>
      <c r="H27" s="534" t="str">
        <f>前年度登録!CM24</f>
        <v/>
      </c>
      <c r="I27" s="257" t="str">
        <f>前年度登録!Y24</f>
        <v/>
      </c>
      <c r="J27" s="323" t="str">
        <f>前年度登録!CN24</f>
        <v/>
      </c>
      <c r="K27" s="1288">
        <f>前年度登録!CP24</f>
        <v>0</v>
      </c>
      <c r="L27" s="896" t="str">
        <f>前年度登録!CU24</f>
        <v>00</v>
      </c>
      <c r="M27" s="704" t="str">
        <f>前年度登録!Q24</f>
        <v/>
      </c>
      <c r="N27" s="1289">
        <f>前年度登録!D24</f>
        <v>0</v>
      </c>
      <c r="O27" s="1282"/>
      <c r="P27" s="258" t="str">
        <f>IF(O27="","",IF(I27=1,VLOOKUP(O27,男子種目コード!$J$1:$K$16,2,FALSE),IF(I27=2,VLOOKUP(O27,女子種目コード!$J$1:$K$16,2,FALSE))))</f>
        <v/>
      </c>
      <c r="Q27" s="494" t="str">
        <f>IF(O27="","",HLOOKUP(O27,前年度登録!$AH$3:$CH$118,22,FALSE))</f>
        <v/>
      </c>
      <c r="R27" s="624" t="str">
        <f t="shared" si="5"/>
        <v/>
      </c>
      <c r="S27" s="625" t="str">
        <f t="shared" si="6"/>
        <v/>
      </c>
      <c r="T27" s="259"/>
      <c r="U27" s="710" t="str">
        <f>IF(T27="","",IF(I27=1,VLOOKUP(T27,男子種目コード!$J$17:$K$19,2,FALSE),IF(I27=2,VLOOKUP(T27,女子種目コード!$J$17:$K$19,2,FALSE))))</f>
        <v/>
      </c>
      <c r="V27" s="628"/>
      <c r="W27" s="624" t="str">
        <f t="shared" si="7"/>
        <v/>
      </c>
      <c r="X27" s="625" t="str">
        <f t="shared" si="8"/>
        <v/>
      </c>
      <c r="Y27" s="633"/>
      <c r="Z27" s="711" t="str">
        <f>IF(Y27="","",IF(I27=1,VLOOKUP(Y27,男子種目コード!$D$2:$E$16,2,FALSE),IF(I27=2,VLOOKUP(Y27,女子種目コード!$D$2:$E$16,2,FALSE))))</f>
        <v/>
      </c>
      <c r="AA27" s="630"/>
      <c r="AB27" s="634"/>
      <c r="AC27" s="712" t="str">
        <f>IF(AB27="","",IF(I27=1,VLOOKUP(AB27,男子種目コード!$D$2:$E$16,2,FALSE),IF(I27=2,VLOOKUP(AB27,女子種目コード!$D$2:$E$16,2,FALSE))))</f>
        <v/>
      </c>
      <c r="AD27" s="705"/>
      <c r="AE27" s="635"/>
      <c r="AF27" s="712"/>
      <c r="AG27" s="706"/>
      <c r="AH27" s="657"/>
      <c r="AI27" s="657"/>
      <c r="AK27" s="730"/>
      <c r="AL27" s="652" t="str">
        <f t="shared" si="9"/>
        <v/>
      </c>
      <c r="AM27" s="645">
        <v>100</v>
      </c>
      <c r="AN27" s="646">
        <f>COUNTIF($P$7:$P$116,110)</f>
        <v>0</v>
      </c>
      <c r="AO27" s="661"/>
      <c r="AP27" s="661"/>
      <c r="AQ27" s="661"/>
      <c r="AR27" s="661"/>
      <c r="AS27" s="662"/>
      <c r="AT27" s="707">
        <f t="shared" si="0"/>
        <v>0</v>
      </c>
      <c r="AU27" s="662"/>
      <c r="AV27" s="652">
        <f t="shared" si="1"/>
        <v>0</v>
      </c>
      <c r="AW27" s="652" t="str">
        <f t="shared" si="2"/>
        <v/>
      </c>
      <c r="AX27" s="652" t="str">
        <f t="shared" si="3"/>
        <v/>
      </c>
      <c r="AY27" s="715" t="str">
        <f t="shared" ca="1" si="15"/>
        <v/>
      </c>
      <c r="AZ27" s="716" t="str">
        <f t="shared" ca="1" si="15"/>
        <v/>
      </c>
      <c r="BA27" s="717" t="str">
        <f t="shared" ca="1" si="16"/>
        <v/>
      </c>
      <c r="BB27" s="718" t="str">
        <f t="shared" ca="1" si="16"/>
        <v/>
      </c>
      <c r="BC27" s="333" t="e">
        <f ca="1">VLookUpX("男子C",$A$7:$F$116,4,5)</f>
        <v>#N/A</v>
      </c>
      <c r="BD27" s="333" t="e">
        <f ca="1">VLookUpX("男子C",$A$7:$F$116,4,6)</f>
        <v>#N/A</v>
      </c>
      <c r="BE27" s="333" t="e">
        <f ca="1">VLookUpX("女子C",$A$7:$F$116,4,5)</f>
        <v>#N/A</v>
      </c>
      <c r="BF27" s="333" t="e">
        <f ca="1">VLookUpX("女子C",$A$7:$F$116,4,6)</f>
        <v>#N/A</v>
      </c>
      <c r="BG27" s="662"/>
      <c r="BH27" s="1037"/>
      <c r="BI27" s="1037"/>
      <c r="BJ27" s="1037"/>
      <c r="BK27" s="1037"/>
      <c r="BL27" s="1037"/>
    </row>
    <row r="28" spans="1:72">
      <c r="A28" s="698">
        <f t="shared" si="4"/>
        <v>0</v>
      </c>
      <c r="B28" s="704" t="str">
        <f>前年度登録!P25</f>
        <v/>
      </c>
      <c r="C28" s="708"/>
      <c r="D28" s="708"/>
      <c r="E28" s="709">
        <f>前年度登録!E25</f>
        <v>0</v>
      </c>
      <c r="F28" s="557" t="str">
        <f>前年度登録!CM25</f>
        <v/>
      </c>
      <c r="G28" s="993" t="str">
        <f>前年度登録!Z25</f>
        <v/>
      </c>
      <c r="H28" s="534" t="str">
        <f>前年度登録!CM25</f>
        <v/>
      </c>
      <c r="I28" s="257" t="str">
        <f>前年度登録!Y25</f>
        <v/>
      </c>
      <c r="J28" s="323" t="str">
        <f>前年度登録!CN25</f>
        <v/>
      </c>
      <c r="K28" s="1288">
        <f>前年度登録!CP25</f>
        <v>0</v>
      </c>
      <c r="L28" s="896" t="str">
        <f>前年度登録!CU25</f>
        <v>00</v>
      </c>
      <c r="M28" s="704" t="str">
        <f>前年度登録!Q25</f>
        <v/>
      </c>
      <c r="N28" s="1289">
        <f>前年度登録!D25</f>
        <v>0</v>
      </c>
      <c r="O28" s="1282"/>
      <c r="P28" s="258" t="str">
        <f>IF(O28="","",IF(I28=1,VLOOKUP(O28,男子種目コード!$J$1:$K$16,2,FALSE),IF(I28=2,VLOOKUP(O28,女子種目コード!$J$1:$K$16,2,FALSE))))</f>
        <v/>
      </c>
      <c r="Q28" s="494" t="str">
        <f>IF(O28="","",HLOOKUP(O28,前年度登録!$AH$3:$CH$118,23,FALSE))</f>
        <v/>
      </c>
      <c r="R28" s="624" t="str">
        <f t="shared" si="5"/>
        <v/>
      </c>
      <c r="S28" s="625" t="str">
        <f t="shared" si="6"/>
        <v/>
      </c>
      <c r="T28" s="259"/>
      <c r="U28" s="710" t="str">
        <f>IF(T28="","",IF(I28=1,VLOOKUP(T28,男子種目コード!$J$17:$K$19,2,FALSE),IF(I28=2,VLOOKUP(T28,女子種目コード!$J$17:$K$19,2,FALSE))))</f>
        <v/>
      </c>
      <c r="V28" s="628"/>
      <c r="W28" s="624" t="str">
        <f t="shared" si="7"/>
        <v/>
      </c>
      <c r="X28" s="625" t="str">
        <f t="shared" si="8"/>
        <v/>
      </c>
      <c r="Y28" s="633"/>
      <c r="Z28" s="711" t="str">
        <f>IF(Y28="","",IF(I28=1,VLOOKUP(Y28,男子種目コード!$D$2:$E$16,2,FALSE),IF(I28=2,VLOOKUP(Y28,女子種目コード!$D$2:$E$16,2,FALSE))))</f>
        <v/>
      </c>
      <c r="AA28" s="630"/>
      <c r="AB28" s="634"/>
      <c r="AC28" s="712" t="str">
        <f>IF(AB28="","",IF(I28=1,VLOOKUP(AB28,男子種目コード!$D$2:$E$16,2,FALSE),IF(I28=2,VLOOKUP(AB28,女子種目コード!$D$2:$E$16,2,FALSE))))</f>
        <v/>
      </c>
      <c r="AD28" s="705"/>
      <c r="AE28" s="635"/>
      <c r="AF28" s="712"/>
      <c r="AG28" s="706"/>
      <c r="AH28" s="657"/>
      <c r="AI28" s="657"/>
      <c r="AK28" s="730"/>
      <c r="AL28" s="652" t="str">
        <f t="shared" si="9"/>
        <v/>
      </c>
      <c r="AM28" s="645">
        <v>800</v>
      </c>
      <c r="AN28" s="646">
        <f>COUNTIF($P$7:$P$116,111)</f>
        <v>0</v>
      </c>
      <c r="AO28" s="661"/>
      <c r="AP28" s="661"/>
      <c r="AQ28" s="661"/>
      <c r="AR28" s="661"/>
      <c r="AS28" s="662"/>
      <c r="AT28" s="707">
        <f t="shared" si="0"/>
        <v>0</v>
      </c>
      <c r="AU28" s="662"/>
      <c r="AV28" s="652">
        <f t="shared" si="1"/>
        <v>0</v>
      </c>
      <c r="AW28" s="652" t="str">
        <f t="shared" si="2"/>
        <v/>
      </c>
      <c r="AX28" s="652" t="str">
        <f t="shared" si="3"/>
        <v/>
      </c>
      <c r="AY28" s="715" t="str">
        <f t="shared" ca="1" si="15"/>
        <v/>
      </c>
      <c r="AZ28" s="716" t="str">
        <f t="shared" ca="1" si="15"/>
        <v/>
      </c>
      <c r="BA28" s="717" t="str">
        <f t="shared" ca="1" si="16"/>
        <v/>
      </c>
      <c r="BB28" s="718" t="str">
        <f t="shared" ca="1" si="16"/>
        <v/>
      </c>
      <c r="BC28" s="333" t="e">
        <f ca="1">VLookUpX("男子C",$A$7:$F$116,5,5)</f>
        <v>#N/A</v>
      </c>
      <c r="BD28" s="333" t="e">
        <f ca="1">VLookUpX("男子C",$A$7:$F$116,5,6)</f>
        <v>#N/A</v>
      </c>
      <c r="BE28" s="333" t="e">
        <f ca="1">VLookUpX("女子C",$A$7:$F$116,5,5)</f>
        <v>#N/A</v>
      </c>
      <c r="BF28" s="333" t="e">
        <f ca="1">VLookUpX("女子C",$A$7:$F$116,5,6)</f>
        <v>#N/A</v>
      </c>
      <c r="BG28" s="662"/>
      <c r="BH28" s="1037"/>
      <c r="BI28" s="1037"/>
      <c r="BJ28" s="1037"/>
      <c r="BK28" s="1037"/>
      <c r="BL28" s="1037"/>
    </row>
    <row r="29" spans="1:72" ht="14.25" thickBot="1">
      <c r="A29" s="698">
        <f t="shared" si="4"/>
        <v>0</v>
      </c>
      <c r="B29" s="704" t="str">
        <f>前年度登録!P26</f>
        <v/>
      </c>
      <c r="C29" s="708"/>
      <c r="D29" s="708"/>
      <c r="E29" s="709">
        <f>前年度登録!E26</f>
        <v>0</v>
      </c>
      <c r="F29" s="557" t="str">
        <f>前年度登録!CM26</f>
        <v/>
      </c>
      <c r="G29" s="993" t="str">
        <f>前年度登録!Z26</f>
        <v/>
      </c>
      <c r="H29" s="534" t="str">
        <f>前年度登録!CM26</f>
        <v/>
      </c>
      <c r="I29" s="257" t="str">
        <f>前年度登録!Y26</f>
        <v/>
      </c>
      <c r="J29" s="323" t="str">
        <f>前年度登録!CN26</f>
        <v/>
      </c>
      <c r="K29" s="1288">
        <f>前年度登録!CP26</f>
        <v>0</v>
      </c>
      <c r="L29" s="896" t="str">
        <f>前年度登録!CU26</f>
        <v>00</v>
      </c>
      <c r="M29" s="704" t="str">
        <f>前年度登録!Q26</f>
        <v/>
      </c>
      <c r="N29" s="1289">
        <f>前年度登録!D26</f>
        <v>0</v>
      </c>
      <c r="O29" s="1282"/>
      <c r="P29" s="258" t="str">
        <f>IF(O29="","",IF(I29=1,VLOOKUP(O29,男子種目コード!$J$1:$K$16,2,FALSE),IF(I29=2,VLOOKUP(O29,女子種目コード!$J$1:$K$16,2,FALSE))))</f>
        <v/>
      </c>
      <c r="Q29" s="494" t="str">
        <f>IF(O29="","",HLOOKUP(O29,前年度登録!$AH$3:$CH$118,24,FALSE))</f>
        <v/>
      </c>
      <c r="R29" s="624" t="str">
        <f t="shared" si="5"/>
        <v/>
      </c>
      <c r="S29" s="625" t="str">
        <f t="shared" si="6"/>
        <v/>
      </c>
      <c r="T29" s="259"/>
      <c r="U29" s="710" t="str">
        <f>IF(T29="","",IF(I29=1,VLOOKUP(T29,男子種目コード!$J$17:$K$19,2,FALSE),IF(I29=2,VLOOKUP(T29,女子種目コード!$J$17:$K$19,2,FALSE))))</f>
        <v/>
      </c>
      <c r="V29" s="628"/>
      <c r="W29" s="624" t="str">
        <f t="shared" si="7"/>
        <v/>
      </c>
      <c r="X29" s="625" t="str">
        <f t="shared" si="8"/>
        <v/>
      </c>
      <c r="Y29" s="633"/>
      <c r="Z29" s="711" t="str">
        <f>IF(Y29="","",IF(I29=1,VLOOKUP(Y29,男子種目コード!$D$2:$E$16,2,FALSE),IF(I29=2,VLOOKUP(Y29,女子種目コード!$D$2:$E$16,2,FALSE))))</f>
        <v/>
      </c>
      <c r="AA29" s="630"/>
      <c r="AB29" s="634"/>
      <c r="AC29" s="712" t="str">
        <f>IF(AB29="","",IF(I29=1,VLOOKUP(AB29,男子種目コード!$D$2:$E$16,2,FALSE),IF(I29=2,VLOOKUP(AB29,女子種目コード!$D$2:$E$16,2,FALSE))))</f>
        <v/>
      </c>
      <c r="AD29" s="705"/>
      <c r="AE29" s="635"/>
      <c r="AF29" s="712"/>
      <c r="AG29" s="706"/>
      <c r="AH29" s="657"/>
      <c r="AI29" s="657"/>
      <c r="AK29" s="730"/>
      <c r="AL29" s="652" t="str">
        <f t="shared" si="9"/>
        <v/>
      </c>
      <c r="AM29" s="645" t="s">
        <v>507</v>
      </c>
      <c r="AN29" s="646">
        <f>COUNTIF($P$7:$P$116,113)</f>
        <v>0</v>
      </c>
      <c r="AO29" s="661"/>
      <c r="AP29" s="661"/>
      <c r="AQ29" s="661"/>
      <c r="AR29" s="661"/>
      <c r="AS29" s="662"/>
      <c r="AT29" s="707">
        <f t="shared" si="0"/>
        <v>0</v>
      </c>
      <c r="AU29" s="662"/>
      <c r="AV29" s="652">
        <f t="shared" si="1"/>
        <v>0</v>
      </c>
      <c r="AW29" s="652" t="str">
        <f t="shared" si="2"/>
        <v/>
      </c>
      <c r="AX29" s="652" t="str">
        <f t="shared" si="3"/>
        <v/>
      </c>
      <c r="AY29" s="731" t="str">
        <f t="shared" ca="1" si="15"/>
        <v/>
      </c>
      <c r="AZ29" s="732" t="str">
        <f t="shared" ca="1" si="15"/>
        <v/>
      </c>
      <c r="BA29" s="733" t="str">
        <f t="shared" ca="1" si="16"/>
        <v/>
      </c>
      <c r="BB29" s="734" t="str">
        <f t="shared" ca="1" si="16"/>
        <v/>
      </c>
      <c r="BC29" s="333" t="e">
        <f ca="1">VLookUpX("男子C",$A$7:$F$116,6,5)</f>
        <v>#N/A</v>
      </c>
      <c r="BD29" s="333" t="e">
        <f ca="1">VLookUpX("男子C",$A$7:$F$116,6,6)</f>
        <v>#N/A</v>
      </c>
      <c r="BE29" s="333" t="e">
        <f ca="1">VLookUpX("女子C",$A$7:$F$116,6,5)</f>
        <v>#N/A</v>
      </c>
      <c r="BF29" s="333" t="e">
        <f ca="1">VLookUpX("女子C",$A$7:$F$116,6,6)</f>
        <v>#N/A</v>
      </c>
      <c r="BG29" s="662"/>
      <c r="BH29" s="1037"/>
      <c r="BI29" s="1037"/>
      <c r="BJ29" s="1037"/>
      <c r="BK29" s="1037"/>
      <c r="BL29" s="1037"/>
    </row>
    <row r="30" spans="1:72">
      <c r="A30" s="698">
        <f t="shared" si="4"/>
        <v>0</v>
      </c>
      <c r="B30" s="704" t="str">
        <f>前年度登録!P27</f>
        <v/>
      </c>
      <c r="C30" s="708"/>
      <c r="D30" s="708"/>
      <c r="E30" s="709">
        <f>前年度登録!E27</f>
        <v>0</v>
      </c>
      <c r="F30" s="557" t="str">
        <f>前年度登録!CM27</f>
        <v/>
      </c>
      <c r="G30" s="993" t="str">
        <f>前年度登録!Z27</f>
        <v/>
      </c>
      <c r="H30" s="534" t="str">
        <f>前年度登録!CM27</f>
        <v/>
      </c>
      <c r="I30" s="257" t="str">
        <f>前年度登録!Y27</f>
        <v/>
      </c>
      <c r="J30" s="323" t="str">
        <f>前年度登録!CN27</f>
        <v/>
      </c>
      <c r="K30" s="1288">
        <f>前年度登録!CP27</f>
        <v>0</v>
      </c>
      <c r="L30" s="896" t="str">
        <f>前年度登録!CU27</f>
        <v>00</v>
      </c>
      <c r="M30" s="704" t="str">
        <f>前年度登録!Q27</f>
        <v/>
      </c>
      <c r="N30" s="1289">
        <f>前年度登録!D27</f>
        <v>0</v>
      </c>
      <c r="O30" s="1282"/>
      <c r="P30" s="258" t="str">
        <f>IF(O30="","",IF(I30=1,VLOOKUP(O30,男子種目コード!$J$1:$K$16,2,FALSE),IF(I30=2,VLOOKUP(O30,女子種目コード!$J$1:$K$16,2,FALSE))))</f>
        <v/>
      </c>
      <c r="Q30" s="494" t="str">
        <f>IF(O30="","",HLOOKUP(O30,前年度登録!$AH$3:$CH$118,25,FALSE))</f>
        <v/>
      </c>
      <c r="R30" s="624" t="str">
        <f t="shared" si="5"/>
        <v/>
      </c>
      <c r="S30" s="625" t="str">
        <f t="shared" si="6"/>
        <v/>
      </c>
      <c r="T30" s="259"/>
      <c r="U30" s="710" t="str">
        <f>IF(T30="","",IF(I30=1,VLOOKUP(T30,男子種目コード!$J$17:$K$19,2,FALSE),IF(I30=2,VLOOKUP(T30,女子種目コード!$J$17:$K$19,2,FALSE))))</f>
        <v/>
      </c>
      <c r="V30" s="628"/>
      <c r="W30" s="624" t="str">
        <f t="shared" si="7"/>
        <v/>
      </c>
      <c r="X30" s="625" t="str">
        <f t="shared" si="8"/>
        <v/>
      </c>
      <c r="Y30" s="633"/>
      <c r="Z30" s="711" t="str">
        <f>IF(Y30="","",IF(I30=1,VLOOKUP(Y30,男子種目コード!$D$2:$E$16,2,FALSE),IF(I30=2,VLOOKUP(Y30,女子種目コード!$D$2:$E$16,2,FALSE))))</f>
        <v/>
      </c>
      <c r="AA30" s="630"/>
      <c r="AB30" s="634"/>
      <c r="AC30" s="712" t="str">
        <f>IF(AB30="","",IF(I30=1,VLOOKUP(AB30,男子種目コード!$D$2:$E$16,2,FALSE),IF(I30=2,VLOOKUP(AB30,女子種目コード!$D$2:$E$16,2,FALSE))))</f>
        <v/>
      </c>
      <c r="AD30" s="705"/>
      <c r="AE30" s="635"/>
      <c r="AF30" s="712"/>
      <c r="AG30" s="706"/>
      <c r="AH30" s="657"/>
      <c r="AI30" s="657"/>
      <c r="AK30" s="730"/>
      <c r="AL30" s="652" t="str">
        <f t="shared" si="9"/>
        <v/>
      </c>
      <c r="AM30" s="645" t="s">
        <v>213</v>
      </c>
      <c r="AN30" s="646">
        <f>COUNTIF($P$7:$P$116,114)</f>
        <v>0</v>
      </c>
      <c r="AO30" s="661"/>
      <c r="AP30" s="661"/>
      <c r="AQ30" s="661"/>
      <c r="AR30" s="661"/>
      <c r="AS30" s="662"/>
      <c r="AT30" s="707">
        <f t="shared" si="0"/>
        <v>0</v>
      </c>
      <c r="AU30" s="662"/>
      <c r="AV30" s="652">
        <f t="shared" si="1"/>
        <v>0</v>
      </c>
      <c r="AW30" s="652" t="str">
        <f t="shared" si="2"/>
        <v/>
      </c>
      <c r="AX30" s="652" t="str">
        <f t="shared" si="3"/>
        <v/>
      </c>
      <c r="AY30" s="1170"/>
      <c r="AZ30" s="1170"/>
      <c r="BA30" s="1170"/>
      <c r="BB30" s="1170"/>
      <c r="BC30" s="654"/>
      <c r="BD30" s="654"/>
      <c r="BE30" s="654"/>
      <c r="BF30" s="654"/>
      <c r="BG30" s="662"/>
      <c r="BH30" s="1037"/>
      <c r="BI30" s="1037"/>
      <c r="BJ30" s="1037"/>
      <c r="BK30" s="1037"/>
      <c r="BL30" s="1037"/>
    </row>
    <row r="31" spans="1:72">
      <c r="A31" s="698">
        <f t="shared" si="4"/>
        <v>0</v>
      </c>
      <c r="B31" s="704" t="str">
        <f>前年度登録!P28</f>
        <v/>
      </c>
      <c r="C31" s="708"/>
      <c r="D31" s="708"/>
      <c r="E31" s="709">
        <f>前年度登録!E28</f>
        <v>0</v>
      </c>
      <c r="F31" s="557" t="str">
        <f>前年度登録!CM28</f>
        <v/>
      </c>
      <c r="G31" s="993" t="str">
        <f>前年度登録!Z28</f>
        <v/>
      </c>
      <c r="H31" s="534" t="str">
        <f>前年度登録!CM28</f>
        <v/>
      </c>
      <c r="I31" s="257" t="str">
        <f>前年度登録!Y28</f>
        <v/>
      </c>
      <c r="J31" s="323" t="str">
        <f>前年度登録!CN28</f>
        <v/>
      </c>
      <c r="K31" s="1288">
        <f>前年度登録!CP28</f>
        <v>0</v>
      </c>
      <c r="L31" s="896" t="str">
        <f>前年度登録!CU28</f>
        <v>00</v>
      </c>
      <c r="M31" s="704" t="str">
        <f>前年度登録!Q28</f>
        <v/>
      </c>
      <c r="N31" s="1289">
        <f>前年度登録!D28</f>
        <v>0</v>
      </c>
      <c r="O31" s="1282"/>
      <c r="P31" s="258" t="str">
        <f>IF(O31="","",IF(I31=1,VLOOKUP(O31,男子種目コード!$J$1:$K$16,2,FALSE),IF(I31=2,VLOOKUP(O31,女子種目コード!$J$1:$K$16,2,FALSE))))</f>
        <v/>
      </c>
      <c r="Q31" s="494" t="str">
        <f>IF(O31="","",HLOOKUP(O31,前年度登録!$AH$3:$CH$118,26,FALSE))</f>
        <v/>
      </c>
      <c r="R31" s="624" t="str">
        <f t="shared" si="5"/>
        <v/>
      </c>
      <c r="S31" s="625" t="str">
        <f t="shared" si="6"/>
        <v/>
      </c>
      <c r="T31" s="259"/>
      <c r="U31" s="710" t="str">
        <f>IF(T31="","",IF(I31=1,VLOOKUP(T31,男子種目コード!$J$17:$K$19,2,FALSE),IF(I31=2,VLOOKUP(T31,女子種目コード!$J$17:$K$19,2,FALSE))))</f>
        <v/>
      </c>
      <c r="V31" s="628"/>
      <c r="W31" s="624" t="str">
        <f t="shared" si="7"/>
        <v/>
      </c>
      <c r="X31" s="625" t="str">
        <f t="shared" si="8"/>
        <v/>
      </c>
      <c r="Y31" s="633"/>
      <c r="Z31" s="711" t="str">
        <f>IF(Y31="","",IF(I31=1,VLOOKUP(Y31,男子種目コード!$D$2:$E$16,2,FALSE),IF(I31=2,VLOOKUP(Y31,女子種目コード!$D$2:$E$16,2,FALSE))))</f>
        <v/>
      </c>
      <c r="AA31" s="630"/>
      <c r="AB31" s="634"/>
      <c r="AC31" s="712" t="str">
        <f>IF(AB31="","",IF(I31=1,VLOOKUP(AB31,男子種目コード!$D$2:$E$16,2,FALSE),IF(I31=2,VLOOKUP(AB31,女子種目コード!$D$2:$E$16,2,FALSE))))</f>
        <v/>
      </c>
      <c r="AD31" s="705"/>
      <c r="AE31" s="635"/>
      <c r="AF31" s="712"/>
      <c r="AG31" s="706"/>
      <c r="AH31" s="657"/>
      <c r="AI31" s="657"/>
      <c r="AK31" s="730"/>
      <c r="AL31" s="652" t="str">
        <f t="shared" si="9"/>
        <v/>
      </c>
      <c r="AM31" s="645" t="s">
        <v>24</v>
      </c>
      <c r="AN31" s="646">
        <f>COUNTIF($P$7:$P$116,115)</f>
        <v>0</v>
      </c>
      <c r="AO31" s="661"/>
      <c r="AP31" s="661"/>
      <c r="AQ31" s="661"/>
      <c r="AR31" s="661"/>
      <c r="AS31" s="662"/>
      <c r="AT31" s="707">
        <f t="shared" si="0"/>
        <v>0</v>
      </c>
      <c r="AU31" s="662"/>
      <c r="AV31" s="652">
        <f t="shared" si="1"/>
        <v>0</v>
      </c>
      <c r="AW31" s="652" t="str">
        <f t="shared" si="2"/>
        <v/>
      </c>
      <c r="AX31" s="652" t="str">
        <f t="shared" si="3"/>
        <v/>
      </c>
      <c r="AY31" s="1162"/>
      <c r="AZ31" s="1162"/>
      <c r="BA31" s="1162"/>
      <c r="BB31" s="1162"/>
      <c r="BC31" s="654"/>
      <c r="BD31" s="654"/>
      <c r="BE31" s="654"/>
      <c r="BF31" s="654"/>
      <c r="BG31" s="661"/>
      <c r="BH31" s="1040"/>
      <c r="BI31" s="1040"/>
      <c r="BJ31" s="1040"/>
      <c r="BK31" s="1040"/>
      <c r="BL31" s="1040"/>
      <c r="BM31" s="654"/>
      <c r="BN31" s="654"/>
      <c r="BO31" s="654"/>
      <c r="BP31" s="654"/>
      <c r="BQ31" s="654"/>
      <c r="BR31" s="654"/>
      <c r="BS31" s="654"/>
      <c r="BT31" s="654"/>
    </row>
    <row r="32" spans="1:72">
      <c r="A32" s="698">
        <f t="shared" si="4"/>
        <v>0</v>
      </c>
      <c r="B32" s="704" t="str">
        <f>前年度登録!P29</f>
        <v/>
      </c>
      <c r="C32" s="708"/>
      <c r="D32" s="708"/>
      <c r="E32" s="709">
        <f>前年度登録!E29</f>
        <v>0</v>
      </c>
      <c r="F32" s="557" t="str">
        <f>前年度登録!CM29</f>
        <v/>
      </c>
      <c r="G32" s="993" t="str">
        <f>前年度登録!Z29</f>
        <v/>
      </c>
      <c r="H32" s="534" t="str">
        <f>前年度登録!CM29</f>
        <v/>
      </c>
      <c r="I32" s="257" t="str">
        <f>前年度登録!Y29</f>
        <v/>
      </c>
      <c r="J32" s="323" t="str">
        <f>前年度登録!CN29</f>
        <v/>
      </c>
      <c r="K32" s="1288">
        <f>前年度登録!CP29</f>
        <v>0</v>
      </c>
      <c r="L32" s="896" t="str">
        <f>前年度登録!CU29</f>
        <v>00</v>
      </c>
      <c r="M32" s="704" t="str">
        <f>前年度登録!Q29</f>
        <v/>
      </c>
      <c r="N32" s="1289">
        <f>前年度登録!D29</f>
        <v>0</v>
      </c>
      <c r="O32" s="1282"/>
      <c r="P32" s="258" t="str">
        <f>IF(O32="","",IF(I32=1,VLOOKUP(O32,男子種目コード!$J$1:$K$16,2,FALSE),IF(I32=2,VLOOKUP(O32,女子種目コード!$J$1:$K$16,2,FALSE))))</f>
        <v/>
      </c>
      <c r="Q32" s="494" t="str">
        <f>IF(O32="","",HLOOKUP(O32,前年度登録!$AH$3:$CH$118,27,FALSE))</f>
        <v/>
      </c>
      <c r="R32" s="624" t="str">
        <f t="shared" si="5"/>
        <v/>
      </c>
      <c r="S32" s="625" t="str">
        <f t="shared" si="6"/>
        <v/>
      </c>
      <c r="T32" s="259"/>
      <c r="U32" s="710" t="str">
        <f>IF(T32="","",IF(I32=1,VLOOKUP(T32,男子種目コード!$J$17:$K$19,2,FALSE),IF(I32=2,VLOOKUP(T32,女子種目コード!$J$17:$K$19,2,FALSE))))</f>
        <v/>
      </c>
      <c r="V32" s="628"/>
      <c r="W32" s="624" t="str">
        <f t="shared" si="7"/>
        <v/>
      </c>
      <c r="X32" s="625" t="str">
        <f t="shared" si="8"/>
        <v/>
      </c>
      <c r="Y32" s="633"/>
      <c r="Z32" s="711" t="str">
        <f>IF(Y32="","",IF(I32=1,VLOOKUP(Y32,男子種目コード!$D$2:$E$16,2,FALSE),IF(I32=2,VLOOKUP(Y32,女子種目コード!$D$2:$E$16,2,FALSE))))</f>
        <v/>
      </c>
      <c r="AA32" s="630"/>
      <c r="AB32" s="634"/>
      <c r="AC32" s="712" t="str">
        <f>IF(AB32="","",IF(I32=1,VLOOKUP(AB32,男子種目コード!$D$2:$E$16,2,FALSE),IF(I32=2,VLOOKUP(AB32,女子種目コード!$D$2:$E$16,2,FALSE))))</f>
        <v/>
      </c>
      <c r="AD32" s="705"/>
      <c r="AE32" s="635"/>
      <c r="AF32" s="712"/>
      <c r="AG32" s="706"/>
      <c r="AH32" s="657"/>
      <c r="AI32" s="657"/>
      <c r="AK32" s="730"/>
      <c r="AL32" s="652" t="str">
        <f t="shared" si="9"/>
        <v/>
      </c>
      <c r="AM32" s="645" t="s">
        <v>99</v>
      </c>
      <c r="AN32" s="646">
        <f>COUNTIF($P$7:$P$116,116)</f>
        <v>0</v>
      </c>
      <c r="AO32" s="662"/>
      <c r="AP32" s="662"/>
      <c r="AQ32" s="662"/>
      <c r="AR32" s="662"/>
      <c r="AS32" s="662"/>
      <c r="AT32" s="707">
        <f t="shared" si="0"/>
        <v>0</v>
      </c>
      <c r="AU32" s="662"/>
      <c r="AV32" s="652">
        <f t="shared" si="1"/>
        <v>0</v>
      </c>
      <c r="AW32" s="652" t="str">
        <f t="shared" si="2"/>
        <v/>
      </c>
      <c r="AX32" s="652" t="str">
        <f t="shared" si="3"/>
        <v/>
      </c>
      <c r="AY32" s="735"/>
      <c r="AZ32" s="736"/>
      <c r="BA32" s="735"/>
      <c r="BB32" s="736"/>
      <c r="BC32" s="333"/>
      <c r="BD32" s="333"/>
      <c r="BE32" s="333"/>
      <c r="BF32" s="333"/>
      <c r="BG32" s="661"/>
      <c r="BH32" s="1040"/>
      <c r="BI32" s="1040"/>
      <c r="BJ32" s="1040"/>
      <c r="BK32" s="1040"/>
      <c r="BL32" s="1040"/>
      <c r="BM32" s="654"/>
      <c r="BN32" s="654"/>
      <c r="BO32" s="654"/>
      <c r="BP32" s="654"/>
      <c r="BQ32" s="654"/>
      <c r="BR32" s="654"/>
      <c r="BS32" s="654"/>
      <c r="BT32" s="654"/>
    </row>
    <row r="33" spans="1:72" ht="14.25" thickBot="1">
      <c r="A33" s="698">
        <f t="shared" si="4"/>
        <v>0</v>
      </c>
      <c r="B33" s="704" t="str">
        <f>前年度登録!P30</f>
        <v/>
      </c>
      <c r="C33" s="708"/>
      <c r="D33" s="708"/>
      <c r="E33" s="709">
        <f>前年度登録!E30</f>
        <v>0</v>
      </c>
      <c r="F33" s="557" t="str">
        <f>前年度登録!CM30</f>
        <v/>
      </c>
      <c r="G33" s="993" t="str">
        <f>前年度登録!Z30</f>
        <v/>
      </c>
      <c r="H33" s="534" t="str">
        <f>前年度登録!CM30</f>
        <v/>
      </c>
      <c r="I33" s="257" t="str">
        <f>前年度登録!Y30</f>
        <v/>
      </c>
      <c r="J33" s="323" t="str">
        <f>前年度登録!CN30</f>
        <v/>
      </c>
      <c r="K33" s="1288">
        <f>前年度登録!CP30</f>
        <v>0</v>
      </c>
      <c r="L33" s="896" t="str">
        <f>前年度登録!CU30</f>
        <v>00</v>
      </c>
      <c r="M33" s="704" t="str">
        <f>前年度登録!Q30</f>
        <v/>
      </c>
      <c r="N33" s="1289">
        <f>前年度登録!D30</f>
        <v>0</v>
      </c>
      <c r="O33" s="1282"/>
      <c r="P33" s="258" t="str">
        <f>IF(O33="","",IF(I33=1,VLOOKUP(O33,男子種目コード!$J$1:$K$16,2,FALSE),IF(I33=2,VLOOKUP(O33,女子種目コード!$J$1:$K$16,2,FALSE))))</f>
        <v/>
      </c>
      <c r="Q33" s="494" t="str">
        <f>IF(O33="","",HLOOKUP(O33,前年度登録!$AH$3:$CH$118,28,FALSE))</f>
        <v/>
      </c>
      <c r="R33" s="624" t="str">
        <f t="shared" si="5"/>
        <v/>
      </c>
      <c r="S33" s="625" t="str">
        <f t="shared" si="6"/>
        <v/>
      </c>
      <c r="T33" s="259"/>
      <c r="U33" s="710" t="str">
        <f>IF(T33="","",IF(I33=1,VLOOKUP(T33,男子種目コード!$J$17:$K$19,2,FALSE),IF(I33=2,VLOOKUP(T33,女子種目コード!$J$17:$K$19,2,FALSE))))</f>
        <v/>
      </c>
      <c r="V33" s="628"/>
      <c r="W33" s="624" t="str">
        <f t="shared" si="7"/>
        <v/>
      </c>
      <c r="X33" s="625" t="str">
        <f t="shared" si="8"/>
        <v/>
      </c>
      <c r="Y33" s="633"/>
      <c r="Z33" s="711" t="str">
        <f>IF(Y33="","",IF(I33=1,VLOOKUP(Y33,男子種目コード!$D$2:$E$16,2,FALSE),IF(I33=2,VLOOKUP(Y33,女子種目コード!$D$2:$E$16,2,FALSE))))</f>
        <v/>
      </c>
      <c r="AA33" s="630"/>
      <c r="AB33" s="634"/>
      <c r="AC33" s="712" t="str">
        <f>IF(AB33="","",IF(I33=1,VLOOKUP(AB33,男子種目コード!$D$2:$E$16,2,FALSE),IF(I33=2,VLOOKUP(AB33,女子種目コード!$D$2:$E$16,2,FALSE))))</f>
        <v/>
      </c>
      <c r="AD33" s="705"/>
      <c r="AE33" s="635"/>
      <c r="AF33" s="712"/>
      <c r="AG33" s="706"/>
      <c r="AH33" s="657"/>
      <c r="AI33" s="657"/>
      <c r="AK33" s="730"/>
      <c r="AL33" s="652" t="str">
        <f t="shared" si="9"/>
        <v/>
      </c>
      <c r="AM33" s="649" t="s">
        <v>262</v>
      </c>
      <c r="AN33" s="648">
        <f>SUM(AN27:AN32)</f>
        <v>0</v>
      </c>
      <c r="AO33" s="662"/>
      <c r="AP33" s="662"/>
      <c r="AQ33" s="662"/>
      <c r="AR33" s="662"/>
      <c r="AS33" s="662"/>
      <c r="AT33" s="707">
        <f t="shared" si="0"/>
        <v>0</v>
      </c>
      <c r="AU33" s="662"/>
      <c r="AV33" s="652">
        <f t="shared" si="1"/>
        <v>0</v>
      </c>
      <c r="AW33" s="652" t="str">
        <f t="shared" si="2"/>
        <v/>
      </c>
      <c r="AX33" s="652" t="str">
        <f t="shared" si="3"/>
        <v/>
      </c>
      <c r="AY33" s="735"/>
      <c r="AZ33" s="736"/>
      <c r="BA33" s="735"/>
      <c r="BB33" s="736"/>
      <c r="BC33" s="333"/>
      <c r="BD33" s="333"/>
      <c r="BE33" s="333"/>
      <c r="BF33" s="333"/>
      <c r="BG33" s="661"/>
      <c r="BH33" s="1040"/>
      <c r="BI33" s="1040"/>
      <c r="BJ33" s="1040"/>
      <c r="BK33" s="1040"/>
      <c r="BL33" s="1040"/>
      <c r="BM33" s="654"/>
      <c r="BN33" s="654"/>
      <c r="BO33" s="654"/>
      <c r="BP33" s="654"/>
      <c r="BQ33" s="654"/>
      <c r="BR33" s="654"/>
      <c r="BS33" s="654"/>
      <c r="BT33" s="654"/>
    </row>
    <row r="34" spans="1:72">
      <c r="A34" s="698">
        <f t="shared" si="4"/>
        <v>0</v>
      </c>
      <c r="B34" s="704" t="str">
        <f>前年度登録!P31</f>
        <v/>
      </c>
      <c r="C34" s="708"/>
      <c r="D34" s="708"/>
      <c r="E34" s="709">
        <f>前年度登録!E31</f>
        <v>0</v>
      </c>
      <c r="F34" s="557" t="str">
        <f>前年度登録!CM31</f>
        <v/>
      </c>
      <c r="G34" s="993" t="str">
        <f>前年度登録!Z31</f>
        <v/>
      </c>
      <c r="H34" s="534" t="str">
        <f>前年度登録!CM31</f>
        <v/>
      </c>
      <c r="I34" s="257" t="str">
        <f>前年度登録!Y31</f>
        <v/>
      </c>
      <c r="J34" s="323" t="str">
        <f>前年度登録!CN31</f>
        <v/>
      </c>
      <c r="K34" s="1288">
        <f>前年度登録!CP31</f>
        <v>0</v>
      </c>
      <c r="L34" s="896" t="str">
        <f>前年度登録!CU31</f>
        <v>00</v>
      </c>
      <c r="M34" s="704" t="str">
        <f>前年度登録!Q31</f>
        <v/>
      </c>
      <c r="N34" s="1289">
        <f>前年度登録!D31</f>
        <v>0</v>
      </c>
      <c r="O34" s="1282"/>
      <c r="P34" s="258" t="str">
        <f>IF(O34="","",IF(I34=1,VLOOKUP(O34,男子種目コード!$J$1:$K$16,2,FALSE),IF(I34=2,VLOOKUP(O34,女子種目コード!$J$1:$K$16,2,FALSE))))</f>
        <v/>
      </c>
      <c r="Q34" s="494" t="str">
        <f>IF(O34="","",HLOOKUP(O34,前年度登録!$AH$3:$CH$118,29,FALSE))</f>
        <v/>
      </c>
      <c r="R34" s="624" t="str">
        <f t="shared" si="5"/>
        <v/>
      </c>
      <c r="S34" s="625" t="str">
        <f t="shared" si="6"/>
        <v/>
      </c>
      <c r="T34" s="259"/>
      <c r="U34" s="710" t="str">
        <f>IF(T34="","",IF(I34=1,VLOOKUP(T34,男子種目コード!$J$17:$K$19,2,FALSE),IF(I34=2,VLOOKUP(T34,女子種目コード!$J$17:$K$19,2,FALSE))))</f>
        <v/>
      </c>
      <c r="V34" s="628"/>
      <c r="W34" s="624" t="str">
        <f t="shared" si="7"/>
        <v/>
      </c>
      <c r="X34" s="625" t="str">
        <f t="shared" si="8"/>
        <v/>
      </c>
      <c r="Y34" s="633"/>
      <c r="Z34" s="711" t="str">
        <f>IF(Y34="","",IF(I34=1,VLOOKUP(Y34,男子種目コード!$D$2:$E$16,2,FALSE),IF(I34=2,VLOOKUP(Y34,女子種目コード!$D$2:$E$16,2,FALSE))))</f>
        <v/>
      </c>
      <c r="AA34" s="630"/>
      <c r="AB34" s="634"/>
      <c r="AC34" s="712" t="str">
        <f>IF(AB34="","",IF(I34=1,VLOOKUP(AB34,男子種目コード!$D$2:$E$16,2,FALSE),IF(I34=2,VLOOKUP(AB34,女子種目コード!$D$2:$E$16,2,FALSE))))</f>
        <v/>
      </c>
      <c r="AD34" s="705"/>
      <c r="AE34" s="635"/>
      <c r="AF34" s="712"/>
      <c r="AG34" s="706"/>
      <c r="AH34" s="657"/>
      <c r="AI34" s="657"/>
      <c r="AK34" s="730"/>
      <c r="AL34" s="652" t="str">
        <f t="shared" si="9"/>
        <v/>
      </c>
      <c r="AM34" s="247"/>
      <c r="AN34" s="662"/>
      <c r="AO34" s="662"/>
      <c r="AP34" s="662"/>
      <c r="AQ34" s="662"/>
      <c r="AR34" s="662"/>
      <c r="AS34" s="662"/>
      <c r="AT34" s="707">
        <f t="shared" si="0"/>
        <v>0</v>
      </c>
      <c r="AU34" s="662"/>
      <c r="AV34" s="652">
        <f t="shared" si="1"/>
        <v>0</v>
      </c>
      <c r="AW34" s="652" t="str">
        <f t="shared" si="2"/>
        <v/>
      </c>
      <c r="AX34" s="652" t="str">
        <f t="shared" si="3"/>
        <v/>
      </c>
      <c r="AY34" s="735"/>
      <c r="AZ34" s="736"/>
      <c r="BA34" s="735"/>
      <c r="BB34" s="736"/>
      <c r="BC34" s="333"/>
      <c r="BD34" s="333"/>
      <c r="BE34" s="333"/>
      <c r="BF34" s="333"/>
      <c r="BG34" s="661"/>
      <c r="BH34" s="1040"/>
      <c r="BI34" s="1040"/>
      <c r="BJ34" s="1040"/>
      <c r="BK34" s="1040"/>
      <c r="BL34" s="1040"/>
      <c r="BM34" s="654"/>
      <c r="BN34" s="654"/>
      <c r="BO34" s="654"/>
      <c r="BP34" s="654"/>
      <c r="BQ34" s="654"/>
      <c r="BR34" s="654"/>
      <c r="BS34" s="654"/>
      <c r="BT34" s="654"/>
    </row>
    <row r="35" spans="1:72">
      <c r="A35" s="698">
        <f t="shared" si="4"/>
        <v>0</v>
      </c>
      <c r="B35" s="704" t="str">
        <f>前年度登録!P32</f>
        <v/>
      </c>
      <c r="C35" s="708"/>
      <c r="D35" s="708"/>
      <c r="E35" s="709">
        <f>前年度登録!E32</f>
        <v>0</v>
      </c>
      <c r="F35" s="557" t="str">
        <f>前年度登録!CM32</f>
        <v/>
      </c>
      <c r="G35" s="993" t="str">
        <f>前年度登録!Z32</f>
        <v/>
      </c>
      <c r="H35" s="534" t="str">
        <f>前年度登録!CM32</f>
        <v/>
      </c>
      <c r="I35" s="257" t="str">
        <f>前年度登録!Y32</f>
        <v/>
      </c>
      <c r="J35" s="323" t="str">
        <f>前年度登録!CN32</f>
        <v/>
      </c>
      <c r="K35" s="1288">
        <f>前年度登録!CP32</f>
        <v>0</v>
      </c>
      <c r="L35" s="896" t="str">
        <f>前年度登録!CU32</f>
        <v>00</v>
      </c>
      <c r="M35" s="704" t="str">
        <f>前年度登録!Q32</f>
        <v/>
      </c>
      <c r="N35" s="1289">
        <f>前年度登録!D32</f>
        <v>0</v>
      </c>
      <c r="O35" s="1282"/>
      <c r="P35" s="258" t="str">
        <f>IF(O35="","",IF(I35=1,VLOOKUP(O35,男子種目コード!$J$1:$K$16,2,FALSE),IF(I35=2,VLOOKUP(O35,女子種目コード!$J$1:$K$16,2,FALSE))))</f>
        <v/>
      </c>
      <c r="Q35" s="494" t="str">
        <f>IF(O35="","",HLOOKUP(O35,前年度登録!$AH$3:$CH$118,30,FALSE))</f>
        <v/>
      </c>
      <c r="R35" s="624" t="str">
        <f t="shared" si="5"/>
        <v/>
      </c>
      <c r="S35" s="625" t="str">
        <f t="shared" si="6"/>
        <v/>
      </c>
      <c r="T35" s="259"/>
      <c r="U35" s="710" t="str">
        <f>IF(T35="","",IF(I35=1,VLOOKUP(T35,男子種目コード!$J$17:$K$19,2,FALSE),IF(I35=2,VLOOKUP(T35,女子種目コード!$J$17:$K$19,2,FALSE))))</f>
        <v/>
      </c>
      <c r="V35" s="628"/>
      <c r="W35" s="624" t="str">
        <f t="shared" si="7"/>
        <v/>
      </c>
      <c r="X35" s="625" t="str">
        <f t="shared" si="8"/>
        <v/>
      </c>
      <c r="Y35" s="633"/>
      <c r="Z35" s="711" t="str">
        <f>IF(Y35="","",IF(I35=1,VLOOKUP(Y35,男子種目コード!$D$2:$E$16,2,FALSE),IF(I35=2,VLOOKUP(Y35,女子種目コード!$D$2:$E$16,2,FALSE))))</f>
        <v/>
      </c>
      <c r="AA35" s="630"/>
      <c r="AB35" s="634"/>
      <c r="AC35" s="712" t="str">
        <f>IF(AB35="","",IF(I35=1,VLOOKUP(AB35,男子種目コード!$D$2:$E$16,2,FALSE),IF(I35=2,VLOOKUP(AB35,女子種目コード!$D$2:$E$16,2,FALSE))))</f>
        <v/>
      </c>
      <c r="AD35" s="705"/>
      <c r="AE35" s="635"/>
      <c r="AF35" s="712"/>
      <c r="AG35" s="706"/>
      <c r="AH35" s="657"/>
      <c r="AI35" s="657"/>
      <c r="AK35" s="730"/>
      <c r="AL35" s="652" t="str">
        <f t="shared" si="9"/>
        <v/>
      </c>
      <c r="AM35" s="1277"/>
      <c r="AN35" s="1278"/>
      <c r="AO35" s="662"/>
      <c r="AP35" s="662"/>
      <c r="AQ35" s="662"/>
      <c r="AR35" s="662"/>
      <c r="AS35" s="662"/>
      <c r="AT35" s="707">
        <f t="shared" si="0"/>
        <v>0</v>
      </c>
      <c r="AU35" s="662"/>
      <c r="AV35" s="652">
        <f t="shared" si="1"/>
        <v>0</v>
      </c>
      <c r="AW35" s="652" t="str">
        <f t="shared" si="2"/>
        <v/>
      </c>
      <c r="AX35" s="652" t="str">
        <f t="shared" si="3"/>
        <v/>
      </c>
      <c r="AY35" s="735"/>
      <c r="AZ35" s="736"/>
      <c r="BA35" s="735"/>
      <c r="BB35" s="736"/>
      <c r="BC35" s="333"/>
      <c r="BD35" s="333"/>
      <c r="BE35" s="333"/>
      <c r="BF35" s="333"/>
      <c r="BG35" s="661"/>
      <c r="BH35" s="1040"/>
      <c r="BI35" s="1040"/>
      <c r="BJ35" s="1040"/>
      <c r="BK35" s="1040"/>
      <c r="BL35" s="1040"/>
      <c r="BM35" s="654"/>
      <c r="BN35" s="654"/>
      <c r="BO35" s="654"/>
      <c r="BP35" s="654"/>
      <c r="BQ35" s="654"/>
      <c r="BR35" s="654"/>
      <c r="BS35" s="654"/>
      <c r="BT35" s="654"/>
    </row>
    <row r="36" spans="1:72">
      <c r="A36" s="698">
        <f t="shared" si="4"/>
        <v>0</v>
      </c>
      <c r="B36" s="704" t="str">
        <f>前年度登録!P33</f>
        <v/>
      </c>
      <c r="C36" s="708"/>
      <c r="D36" s="708"/>
      <c r="E36" s="709">
        <f>前年度登録!E33</f>
        <v>0</v>
      </c>
      <c r="F36" s="557" t="str">
        <f>前年度登録!CM33</f>
        <v/>
      </c>
      <c r="G36" s="993" t="str">
        <f>前年度登録!Z33</f>
        <v/>
      </c>
      <c r="H36" s="534" t="str">
        <f>前年度登録!CM33</f>
        <v/>
      </c>
      <c r="I36" s="257" t="str">
        <f>前年度登録!Y33</f>
        <v/>
      </c>
      <c r="J36" s="323" t="str">
        <f>前年度登録!CN33</f>
        <v/>
      </c>
      <c r="K36" s="1288">
        <f>前年度登録!CP33</f>
        <v>0</v>
      </c>
      <c r="L36" s="896" t="str">
        <f>前年度登録!CU33</f>
        <v>00</v>
      </c>
      <c r="M36" s="704" t="str">
        <f>前年度登録!Q33</f>
        <v/>
      </c>
      <c r="N36" s="1289">
        <f>前年度登録!D33</f>
        <v>0</v>
      </c>
      <c r="O36" s="1282"/>
      <c r="P36" s="258" t="str">
        <f>IF(O36="","",IF(I36=1,VLOOKUP(O36,男子種目コード!$J$1:$K$16,2,FALSE),IF(I36=2,VLOOKUP(O36,女子種目コード!$J$1:$K$16,2,FALSE))))</f>
        <v/>
      </c>
      <c r="Q36" s="494" t="str">
        <f>IF(O36="","",HLOOKUP(O36,前年度登録!$AH$3:$CH$118,31,FALSE))</f>
        <v/>
      </c>
      <c r="R36" s="624" t="str">
        <f t="shared" si="5"/>
        <v/>
      </c>
      <c r="S36" s="625" t="str">
        <f t="shared" si="6"/>
        <v/>
      </c>
      <c r="T36" s="259"/>
      <c r="U36" s="710" t="str">
        <f>IF(T36="","",IF(I36=1,VLOOKUP(T36,男子種目コード!$J$17:$K$19,2,FALSE),IF(I36=2,VLOOKUP(T36,女子種目コード!$J$17:$K$19,2,FALSE))))</f>
        <v/>
      </c>
      <c r="V36" s="628"/>
      <c r="W36" s="624" t="str">
        <f t="shared" si="7"/>
        <v/>
      </c>
      <c r="X36" s="625" t="str">
        <f t="shared" si="8"/>
        <v/>
      </c>
      <c r="Y36" s="633"/>
      <c r="Z36" s="711" t="str">
        <f>IF(Y36="","",IF(I36=1,VLOOKUP(Y36,男子種目コード!$D$2:$E$16,2,FALSE),IF(I36=2,VLOOKUP(Y36,女子種目コード!$D$2:$E$16,2,FALSE))))</f>
        <v/>
      </c>
      <c r="AA36" s="630"/>
      <c r="AB36" s="634"/>
      <c r="AC36" s="712" t="str">
        <f>IF(AB36="","",IF(I36=1,VLOOKUP(AB36,男子種目コード!$D$2:$E$16,2,FALSE),IF(I36=2,VLOOKUP(AB36,女子種目コード!$D$2:$E$16,2,FALSE))))</f>
        <v/>
      </c>
      <c r="AD36" s="705"/>
      <c r="AE36" s="635"/>
      <c r="AF36" s="712"/>
      <c r="AG36" s="706"/>
      <c r="AH36" s="657"/>
      <c r="AI36" s="657"/>
      <c r="AK36" s="730"/>
      <c r="AL36" s="652" t="str">
        <f t="shared" si="9"/>
        <v/>
      </c>
      <c r="AM36" s="1279"/>
      <c r="AN36" s="1040"/>
      <c r="AO36" s="662"/>
      <c r="AP36" s="662"/>
      <c r="AQ36" s="662"/>
      <c r="AR36" s="662"/>
      <c r="AS36" s="662"/>
      <c r="AT36" s="707">
        <f t="shared" si="0"/>
        <v>0</v>
      </c>
      <c r="AU36" s="662"/>
      <c r="AV36" s="652">
        <f t="shared" si="1"/>
        <v>0</v>
      </c>
      <c r="AW36" s="652" t="str">
        <f t="shared" si="2"/>
        <v/>
      </c>
      <c r="AX36" s="652" t="str">
        <f t="shared" si="3"/>
        <v/>
      </c>
      <c r="AY36" s="735"/>
      <c r="AZ36" s="736"/>
      <c r="BA36" s="735"/>
      <c r="BB36" s="736"/>
      <c r="BC36" s="333"/>
      <c r="BD36" s="333"/>
      <c r="BE36" s="333"/>
      <c r="BF36" s="333"/>
      <c r="BG36" s="661"/>
      <c r="BH36" s="1040"/>
      <c r="BI36" s="1040"/>
      <c r="BJ36" s="1040"/>
      <c r="BK36" s="1040"/>
      <c r="BL36" s="1040"/>
      <c r="BM36" s="654"/>
      <c r="BN36" s="654"/>
      <c r="BO36" s="654"/>
      <c r="BP36" s="654"/>
      <c r="BQ36" s="654"/>
      <c r="BR36" s="654"/>
      <c r="BS36" s="654"/>
      <c r="BT36" s="654"/>
    </row>
    <row r="37" spans="1:72">
      <c r="A37" s="698">
        <f t="shared" si="4"/>
        <v>0</v>
      </c>
      <c r="B37" s="704" t="str">
        <f>前年度登録!P34</f>
        <v/>
      </c>
      <c r="C37" s="708"/>
      <c r="D37" s="708"/>
      <c r="E37" s="709">
        <f>前年度登録!E34</f>
        <v>0</v>
      </c>
      <c r="F37" s="557" t="str">
        <f>前年度登録!CM34</f>
        <v/>
      </c>
      <c r="G37" s="993" t="str">
        <f>前年度登録!Z34</f>
        <v/>
      </c>
      <c r="H37" s="534" t="str">
        <f>前年度登録!CM34</f>
        <v/>
      </c>
      <c r="I37" s="257" t="str">
        <f>前年度登録!Y34</f>
        <v/>
      </c>
      <c r="J37" s="323" t="str">
        <f>前年度登録!CN34</f>
        <v/>
      </c>
      <c r="K37" s="1288">
        <f>前年度登録!CP34</f>
        <v>0</v>
      </c>
      <c r="L37" s="896" t="str">
        <f>前年度登録!CU34</f>
        <v>00</v>
      </c>
      <c r="M37" s="704" t="str">
        <f>前年度登録!Q34</f>
        <v/>
      </c>
      <c r="N37" s="1289">
        <f>前年度登録!D34</f>
        <v>0</v>
      </c>
      <c r="O37" s="1282"/>
      <c r="P37" s="258" t="str">
        <f>IF(O37="","",IF(I37=1,VLOOKUP(O37,男子種目コード!$J$1:$K$16,2,FALSE),IF(I37=2,VLOOKUP(O37,女子種目コード!$J$1:$K$16,2,FALSE))))</f>
        <v/>
      </c>
      <c r="Q37" s="494" t="str">
        <f>IF(O37="","",HLOOKUP(O37,前年度登録!$AH$3:$CH$118,32,FALSE))</f>
        <v/>
      </c>
      <c r="R37" s="624" t="str">
        <f t="shared" si="5"/>
        <v/>
      </c>
      <c r="S37" s="625" t="str">
        <f t="shared" si="6"/>
        <v/>
      </c>
      <c r="T37" s="259"/>
      <c r="U37" s="710" t="str">
        <f>IF(T37="","",IF(I37=1,VLOOKUP(T37,男子種目コード!$J$17:$K$19,2,FALSE),IF(I37=2,VLOOKUP(T37,女子種目コード!$J$17:$K$19,2,FALSE))))</f>
        <v/>
      </c>
      <c r="V37" s="628"/>
      <c r="W37" s="624" t="str">
        <f t="shared" si="7"/>
        <v/>
      </c>
      <c r="X37" s="625" t="str">
        <f t="shared" si="8"/>
        <v/>
      </c>
      <c r="Y37" s="633"/>
      <c r="Z37" s="711" t="str">
        <f>IF(Y37="","",IF(I37=1,VLOOKUP(Y37,男子種目コード!$D$2:$E$16,2,FALSE),IF(I37=2,VLOOKUP(Y37,女子種目コード!$D$2:$E$16,2,FALSE))))</f>
        <v/>
      </c>
      <c r="AA37" s="630"/>
      <c r="AB37" s="634"/>
      <c r="AC37" s="712" t="str">
        <f>IF(AB37="","",IF(I37=1,VLOOKUP(AB37,男子種目コード!$D$2:$E$16,2,FALSE),IF(I37=2,VLOOKUP(AB37,女子種目コード!$D$2:$E$16,2,FALSE))))</f>
        <v/>
      </c>
      <c r="AD37" s="705"/>
      <c r="AE37" s="635"/>
      <c r="AF37" s="712"/>
      <c r="AG37" s="706"/>
      <c r="AH37" s="657"/>
      <c r="AI37" s="657"/>
      <c r="AK37" s="730"/>
      <c r="AL37" s="652" t="str">
        <f t="shared" si="9"/>
        <v/>
      </c>
      <c r="AM37" s="1279"/>
      <c r="AN37" s="1040"/>
      <c r="AO37" s="662"/>
      <c r="AP37" s="662"/>
      <c r="AQ37" s="662"/>
      <c r="AR37" s="662"/>
      <c r="AS37" s="662"/>
      <c r="AT37" s="707">
        <f t="shared" si="0"/>
        <v>0</v>
      </c>
      <c r="AU37" s="662"/>
      <c r="AV37" s="652">
        <f t="shared" si="1"/>
        <v>0</v>
      </c>
      <c r="AW37" s="652" t="str">
        <f t="shared" si="2"/>
        <v/>
      </c>
      <c r="AX37" s="652" t="str">
        <f t="shared" si="3"/>
        <v/>
      </c>
      <c r="AY37" s="735"/>
      <c r="AZ37" s="736"/>
      <c r="BA37" s="735"/>
      <c r="BB37" s="736"/>
      <c r="BC37" s="333"/>
      <c r="BD37" s="333"/>
      <c r="BE37" s="333"/>
      <c r="BF37" s="333"/>
      <c r="BG37" s="661"/>
      <c r="BH37" s="1040"/>
      <c r="BI37" s="1040"/>
      <c r="BJ37" s="1040"/>
      <c r="BK37" s="1040"/>
      <c r="BL37" s="1040"/>
      <c r="BM37" s="654"/>
      <c r="BN37" s="654"/>
      <c r="BO37" s="654"/>
      <c r="BP37" s="654"/>
      <c r="BQ37" s="654"/>
      <c r="BR37" s="654"/>
      <c r="BS37" s="654"/>
      <c r="BT37" s="654"/>
    </row>
    <row r="38" spans="1:72">
      <c r="A38" s="698">
        <f t="shared" si="4"/>
        <v>0</v>
      </c>
      <c r="B38" s="704" t="str">
        <f>前年度登録!P35</f>
        <v/>
      </c>
      <c r="C38" s="708"/>
      <c r="D38" s="708"/>
      <c r="E38" s="709">
        <f>前年度登録!E35</f>
        <v>0</v>
      </c>
      <c r="F38" s="557" t="str">
        <f>前年度登録!CM35</f>
        <v/>
      </c>
      <c r="G38" s="993" t="str">
        <f>前年度登録!Z35</f>
        <v/>
      </c>
      <c r="H38" s="534" t="str">
        <f>前年度登録!CM35</f>
        <v/>
      </c>
      <c r="I38" s="257" t="str">
        <f>前年度登録!Y35</f>
        <v/>
      </c>
      <c r="J38" s="323" t="str">
        <f>前年度登録!CN35</f>
        <v/>
      </c>
      <c r="K38" s="1288">
        <f>前年度登録!CP35</f>
        <v>0</v>
      </c>
      <c r="L38" s="896" t="str">
        <f>前年度登録!CU35</f>
        <v>00</v>
      </c>
      <c r="M38" s="704" t="str">
        <f>前年度登録!Q35</f>
        <v/>
      </c>
      <c r="N38" s="1289">
        <f>前年度登録!D35</f>
        <v>0</v>
      </c>
      <c r="O38" s="1282"/>
      <c r="P38" s="258" t="str">
        <f>IF(O38="","",IF(I38=1,VLOOKUP(O38,男子種目コード!$J$1:$K$16,2,FALSE),IF(I38=2,VLOOKUP(O38,女子種目コード!$J$1:$K$16,2,FALSE))))</f>
        <v/>
      </c>
      <c r="Q38" s="494" t="str">
        <f>IF(O38="","",HLOOKUP(O38,前年度登録!$AH$3:$CH$118,33,FALSE))</f>
        <v/>
      </c>
      <c r="R38" s="624" t="str">
        <f t="shared" si="5"/>
        <v/>
      </c>
      <c r="S38" s="625" t="str">
        <f t="shared" si="6"/>
        <v/>
      </c>
      <c r="T38" s="259"/>
      <c r="U38" s="710" t="str">
        <f>IF(T38="","",IF(I38=1,VLOOKUP(T38,男子種目コード!$J$17:$K$19,2,FALSE),IF(I38=2,VLOOKUP(T38,女子種目コード!$J$17:$K$19,2,FALSE))))</f>
        <v/>
      </c>
      <c r="V38" s="628"/>
      <c r="W38" s="624" t="str">
        <f t="shared" si="7"/>
        <v/>
      </c>
      <c r="X38" s="625" t="str">
        <f t="shared" si="8"/>
        <v/>
      </c>
      <c r="Y38" s="633"/>
      <c r="Z38" s="711" t="str">
        <f>IF(Y38="","",IF(I38=1,VLOOKUP(Y38,男子種目コード!$D$2:$E$16,2,FALSE),IF(I38=2,VLOOKUP(Y38,女子種目コード!$D$2:$E$16,2,FALSE))))</f>
        <v/>
      </c>
      <c r="AA38" s="630"/>
      <c r="AB38" s="634"/>
      <c r="AC38" s="712" t="str">
        <f>IF(AB38="","",IF(I38=1,VLOOKUP(AB38,男子種目コード!$D$2:$E$16,2,FALSE),IF(I38=2,VLOOKUP(AB38,女子種目コード!$D$2:$E$16,2,FALSE))))</f>
        <v/>
      </c>
      <c r="AD38" s="705"/>
      <c r="AE38" s="635"/>
      <c r="AF38" s="712"/>
      <c r="AG38" s="706"/>
      <c r="AH38" s="657"/>
      <c r="AI38" s="657"/>
      <c r="AK38" s="730"/>
      <c r="AL38" s="652" t="str">
        <f t="shared" si="9"/>
        <v/>
      </c>
      <c r="AM38" s="247"/>
      <c r="AN38" s="662"/>
      <c r="AO38" s="662"/>
      <c r="AP38" s="662"/>
      <c r="AQ38" s="662"/>
      <c r="AR38" s="662"/>
      <c r="AS38" s="662"/>
      <c r="AT38" s="707">
        <f t="shared" si="0"/>
        <v>0</v>
      </c>
      <c r="AU38" s="662"/>
      <c r="AV38" s="652">
        <f t="shared" si="1"/>
        <v>0</v>
      </c>
      <c r="AW38" s="652" t="str">
        <f t="shared" si="2"/>
        <v/>
      </c>
      <c r="AX38" s="652" t="str">
        <f t="shared" si="3"/>
        <v/>
      </c>
      <c r="AY38" s="661"/>
      <c r="AZ38" s="661"/>
      <c r="BA38" s="661"/>
      <c r="BB38" s="661"/>
      <c r="BC38" s="654"/>
      <c r="BD38" s="654"/>
      <c r="BE38" s="654"/>
      <c r="BF38" s="654"/>
      <c r="BG38" s="661"/>
      <c r="BH38" s="1040"/>
      <c r="BI38" s="1040"/>
      <c r="BJ38" s="1040"/>
      <c r="BK38" s="1040"/>
      <c r="BL38" s="1040"/>
      <c r="BM38" s="654"/>
      <c r="BN38" s="654"/>
      <c r="BO38" s="654"/>
      <c r="BP38" s="654"/>
      <c r="BQ38" s="654"/>
      <c r="BR38" s="654"/>
      <c r="BS38" s="654"/>
      <c r="BT38" s="654"/>
    </row>
    <row r="39" spans="1:72">
      <c r="A39" s="698">
        <f t="shared" si="4"/>
        <v>0</v>
      </c>
      <c r="B39" s="704" t="str">
        <f>前年度登録!P36</f>
        <v/>
      </c>
      <c r="C39" s="708"/>
      <c r="D39" s="708"/>
      <c r="E39" s="709">
        <f>前年度登録!E36</f>
        <v>0</v>
      </c>
      <c r="F39" s="557" t="str">
        <f>前年度登録!CM36</f>
        <v/>
      </c>
      <c r="G39" s="993" t="str">
        <f>前年度登録!Z36</f>
        <v/>
      </c>
      <c r="H39" s="534" t="str">
        <f>前年度登録!CM36</f>
        <v/>
      </c>
      <c r="I39" s="257" t="str">
        <f>前年度登録!Y36</f>
        <v/>
      </c>
      <c r="J39" s="323" t="str">
        <f>前年度登録!CN36</f>
        <v/>
      </c>
      <c r="K39" s="1288">
        <f>前年度登録!CP36</f>
        <v>0</v>
      </c>
      <c r="L39" s="896" t="str">
        <f>前年度登録!CU36</f>
        <v>00</v>
      </c>
      <c r="M39" s="704" t="str">
        <f>前年度登録!Q36</f>
        <v/>
      </c>
      <c r="N39" s="1289">
        <f>前年度登録!D36</f>
        <v>0</v>
      </c>
      <c r="O39" s="1282"/>
      <c r="P39" s="258" t="str">
        <f>IF(O39="","",IF(I39=1,VLOOKUP(O39,男子種目コード!$J$1:$K$16,2,FALSE),IF(I39=2,VLOOKUP(O39,女子種目コード!$J$1:$K$16,2,FALSE))))</f>
        <v/>
      </c>
      <c r="Q39" s="494" t="str">
        <f>IF(O39="","",HLOOKUP(O39,前年度登録!$AH$3:$CH$118,34,FALSE))</f>
        <v/>
      </c>
      <c r="R39" s="624" t="str">
        <f t="shared" si="5"/>
        <v/>
      </c>
      <c r="S39" s="625" t="str">
        <f t="shared" si="6"/>
        <v/>
      </c>
      <c r="T39" s="259"/>
      <c r="U39" s="710" t="str">
        <f>IF(T39="","",IF(I39=1,VLOOKUP(T39,男子種目コード!$J$17:$K$19,2,FALSE),IF(I39=2,VLOOKUP(T39,女子種目コード!$J$17:$K$19,2,FALSE))))</f>
        <v/>
      </c>
      <c r="V39" s="628"/>
      <c r="W39" s="624" t="str">
        <f t="shared" si="7"/>
        <v/>
      </c>
      <c r="X39" s="625" t="str">
        <f t="shared" si="8"/>
        <v/>
      </c>
      <c r="Y39" s="633"/>
      <c r="Z39" s="711" t="str">
        <f>IF(Y39="","",IF(I39=1,VLOOKUP(Y39,男子種目コード!$D$2:$E$16,2,FALSE),IF(I39=2,VLOOKUP(Y39,女子種目コード!$D$2:$E$16,2,FALSE))))</f>
        <v/>
      </c>
      <c r="AA39" s="630"/>
      <c r="AB39" s="634"/>
      <c r="AC39" s="712" t="str">
        <f>IF(AB39="","",IF(I39=1,VLOOKUP(AB39,男子種目コード!$D$2:$E$16,2,FALSE),IF(I39=2,VLOOKUP(AB39,女子種目コード!$D$2:$E$16,2,FALSE))))</f>
        <v/>
      </c>
      <c r="AD39" s="705"/>
      <c r="AE39" s="635"/>
      <c r="AF39" s="712"/>
      <c r="AG39" s="706"/>
      <c r="AH39" s="657"/>
      <c r="AI39" s="657"/>
      <c r="AK39" s="730"/>
      <c r="AL39" s="652" t="str">
        <f t="shared" si="9"/>
        <v/>
      </c>
      <c r="AM39" s="247"/>
      <c r="AN39" s="662"/>
      <c r="AO39" s="662"/>
      <c r="AP39" s="662"/>
      <c r="AQ39" s="662"/>
      <c r="AR39" s="662"/>
      <c r="AS39" s="662"/>
      <c r="AT39" s="707">
        <f t="shared" ref="AT39:AT70" si="17">IF(OR(AL39=1,T39=""),0,1)</f>
        <v>0</v>
      </c>
      <c r="AU39" s="662"/>
      <c r="AV39" s="652">
        <f t="shared" ref="AV39:AV70" si="18">COUNT(P39,U39)</f>
        <v>0</v>
      </c>
      <c r="AW39" s="652" t="str">
        <f t="shared" ref="AW39:AW70" si="19">IF(I39=1,AV39,"")</f>
        <v/>
      </c>
      <c r="AX39" s="652" t="str">
        <f t="shared" ref="AX39:AX70" si="20">IF(I39=2,AV39,"")</f>
        <v/>
      </c>
      <c r="AY39" s="662"/>
      <c r="AZ39" s="662"/>
      <c r="BA39" s="662"/>
      <c r="BB39" s="662"/>
      <c r="BG39" s="661"/>
      <c r="BH39" s="1040"/>
      <c r="BI39" s="1040"/>
      <c r="BJ39" s="1040"/>
      <c r="BK39" s="1040"/>
      <c r="BL39" s="1040"/>
      <c r="BM39" s="654"/>
      <c r="BN39" s="654"/>
      <c r="BO39" s="654"/>
      <c r="BP39" s="654"/>
      <c r="BQ39" s="654"/>
      <c r="BR39" s="654"/>
      <c r="BS39" s="654"/>
      <c r="BT39" s="654"/>
    </row>
    <row r="40" spans="1:72">
      <c r="A40" s="698">
        <f t="shared" si="4"/>
        <v>0</v>
      </c>
      <c r="B40" s="704" t="str">
        <f>前年度登録!P37</f>
        <v/>
      </c>
      <c r="C40" s="708"/>
      <c r="D40" s="708"/>
      <c r="E40" s="709">
        <f>前年度登録!E37</f>
        <v>0</v>
      </c>
      <c r="F40" s="557" t="str">
        <f>前年度登録!CM37</f>
        <v/>
      </c>
      <c r="G40" s="993" t="str">
        <f>前年度登録!Z37</f>
        <v/>
      </c>
      <c r="H40" s="534" t="str">
        <f>前年度登録!CM37</f>
        <v/>
      </c>
      <c r="I40" s="257" t="str">
        <f>前年度登録!Y37</f>
        <v/>
      </c>
      <c r="J40" s="323" t="str">
        <f>前年度登録!CN37</f>
        <v/>
      </c>
      <c r="K40" s="1288">
        <f>前年度登録!CP37</f>
        <v>0</v>
      </c>
      <c r="L40" s="896" t="str">
        <f>前年度登録!CU37</f>
        <v>00</v>
      </c>
      <c r="M40" s="704" t="str">
        <f>前年度登録!Q37</f>
        <v/>
      </c>
      <c r="N40" s="1289">
        <f>前年度登録!D37</f>
        <v>0</v>
      </c>
      <c r="O40" s="1282"/>
      <c r="P40" s="258" t="str">
        <f>IF(O40="","",IF(I40=1,VLOOKUP(O40,男子種目コード!$J$1:$K$16,2,FALSE),IF(I40=2,VLOOKUP(O40,女子種目コード!$J$1:$K$16,2,FALSE))))</f>
        <v/>
      </c>
      <c r="Q40" s="494" t="str">
        <f>IF(O40="","",HLOOKUP(O40,前年度登録!$AH$3:$CH$118,35,FALSE))</f>
        <v/>
      </c>
      <c r="R40" s="624" t="str">
        <f t="shared" si="5"/>
        <v/>
      </c>
      <c r="S40" s="625" t="str">
        <f t="shared" si="6"/>
        <v/>
      </c>
      <c r="T40" s="259"/>
      <c r="U40" s="710" t="str">
        <f>IF(T40="","",IF(I40=1,VLOOKUP(T40,男子種目コード!$J$17:$K$19,2,FALSE),IF(I40=2,VLOOKUP(T40,女子種目コード!$J$17:$K$19,2,FALSE))))</f>
        <v/>
      </c>
      <c r="V40" s="628"/>
      <c r="W40" s="624" t="str">
        <f t="shared" si="7"/>
        <v/>
      </c>
      <c r="X40" s="625" t="str">
        <f t="shared" si="8"/>
        <v/>
      </c>
      <c r="Y40" s="633"/>
      <c r="Z40" s="711" t="str">
        <f>IF(Y40="","",IF(I40=1,VLOOKUP(Y40,男子種目コード!$D$2:$E$16,2,FALSE),IF(I40=2,VLOOKUP(Y40,女子種目コード!$D$2:$E$16,2,FALSE))))</f>
        <v/>
      </c>
      <c r="AA40" s="630"/>
      <c r="AB40" s="634"/>
      <c r="AC40" s="712" t="str">
        <f>IF(AB40="","",IF(I40=1,VLOOKUP(AB40,男子種目コード!$D$2:$E$16,2,FALSE),IF(I40=2,VLOOKUP(AB40,女子種目コード!$D$2:$E$16,2,FALSE))))</f>
        <v/>
      </c>
      <c r="AD40" s="705"/>
      <c r="AE40" s="635"/>
      <c r="AF40" s="712"/>
      <c r="AG40" s="706"/>
      <c r="AH40" s="657"/>
      <c r="AI40" s="657"/>
      <c r="AK40" s="730"/>
      <c r="AL40" s="652" t="str">
        <f t="shared" si="9"/>
        <v/>
      </c>
      <c r="AM40" s="247"/>
      <c r="AN40" s="662"/>
      <c r="AO40" s="662"/>
      <c r="AP40" s="662"/>
      <c r="AQ40" s="662"/>
      <c r="AR40" s="662"/>
      <c r="AS40" s="662"/>
      <c r="AT40" s="707">
        <f t="shared" si="17"/>
        <v>0</v>
      </c>
      <c r="AU40" s="662"/>
      <c r="AV40" s="652">
        <f t="shared" si="18"/>
        <v>0</v>
      </c>
      <c r="AW40" s="652" t="str">
        <f t="shared" si="19"/>
        <v/>
      </c>
      <c r="AX40" s="652" t="str">
        <f t="shared" si="20"/>
        <v/>
      </c>
      <c r="AY40" s="662"/>
      <c r="AZ40" s="662"/>
      <c r="BA40" s="662"/>
      <c r="BB40" s="662"/>
      <c r="BG40" s="662"/>
      <c r="BH40" s="1037"/>
      <c r="BI40" s="1037"/>
      <c r="BJ40" s="1037"/>
      <c r="BK40" s="1037"/>
      <c r="BL40" s="1037"/>
    </row>
    <row r="41" spans="1:72">
      <c r="A41" s="698">
        <f t="shared" si="4"/>
        <v>0</v>
      </c>
      <c r="B41" s="704" t="str">
        <f>前年度登録!P38</f>
        <v/>
      </c>
      <c r="C41" s="708"/>
      <c r="D41" s="708"/>
      <c r="E41" s="709">
        <f>前年度登録!E38</f>
        <v>0</v>
      </c>
      <c r="F41" s="557" t="str">
        <f>前年度登録!CM38</f>
        <v/>
      </c>
      <c r="G41" s="993" t="str">
        <f>前年度登録!Z38</f>
        <v/>
      </c>
      <c r="H41" s="534" t="str">
        <f>前年度登録!CM38</f>
        <v/>
      </c>
      <c r="I41" s="257" t="str">
        <f>前年度登録!Y38</f>
        <v/>
      </c>
      <c r="J41" s="323" t="str">
        <f>前年度登録!CN38</f>
        <v/>
      </c>
      <c r="K41" s="1288">
        <f>前年度登録!CP38</f>
        <v>0</v>
      </c>
      <c r="L41" s="896" t="str">
        <f>前年度登録!CU38</f>
        <v>00</v>
      </c>
      <c r="M41" s="704" t="str">
        <f>前年度登録!Q38</f>
        <v/>
      </c>
      <c r="N41" s="1289">
        <f>前年度登録!D38</f>
        <v>0</v>
      </c>
      <c r="O41" s="1282"/>
      <c r="P41" s="258" t="str">
        <f>IF(O41="","",IF(I41=1,VLOOKUP(O41,男子種目コード!$J$1:$K$16,2,FALSE),IF(I41=2,VLOOKUP(O41,女子種目コード!$J$1:$K$16,2,FALSE))))</f>
        <v/>
      </c>
      <c r="Q41" s="494" t="str">
        <f>IF(O41="","",HLOOKUP(O41,前年度登録!$AH$3:$CH$118,36,FALSE))</f>
        <v/>
      </c>
      <c r="R41" s="624" t="str">
        <f t="shared" si="5"/>
        <v/>
      </c>
      <c r="S41" s="625" t="str">
        <f t="shared" si="6"/>
        <v/>
      </c>
      <c r="T41" s="259"/>
      <c r="U41" s="710" t="str">
        <f>IF(T41="","",IF(I41=1,VLOOKUP(T41,男子種目コード!$J$17:$K$19,2,FALSE),IF(I41=2,VLOOKUP(T41,女子種目コード!$J$17:$K$19,2,FALSE))))</f>
        <v/>
      </c>
      <c r="V41" s="628"/>
      <c r="W41" s="624" t="str">
        <f t="shared" si="7"/>
        <v/>
      </c>
      <c r="X41" s="625" t="str">
        <f t="shared" si="8"/>
        <v/>
      </c>
      <c r="Y41" s="633"/>
      <c r="Z41" s="711" t="str">
        <f>IF(Y41="","",IF(I41=1,VLOOKUP(Y41,男子種目コード!$D$2:$E$16,2,FALSE),IF(I41=2,VLOOKUP(Y41,女子種目コード!$D$2:$E$16,2,FALSE))))</f>
        <v/>
      </c>
      <c r="AA41" s="630"/>
      <c r="AB41" s="634"/>
      <c r="AC41" s="712" t="str">
        <f>IF(AB41="","",IF(I41=1,VLOOKUP(AB41,男子種目コード!$D$2:$E$16,2,FALSE),IF(I41=2,VLOOKUP(AB41,女子種目コード!$D$2:$E$16,2,FALSE))))</f>
        <v/>
      </c>
      <c r="AD41" s="705"/>
      <c r="AE41" s="635"/>
      <c r="AF41" s="712"/>
      <c r="AG41" s="706"/>
      <c r="AH41" s="657"/>
      <c r="AI41" s="657"/>
      <c r="AK41" s="730"/>
      <c r="AL41" s="652" t="str">
        <f t="shared" si="9"/>
        <v/>
      </c>
      <c r="AM41" s="662"/>
      <c r="AN41" s="662"/>
      <c r="AO41" s="662"/>
      <c r="AP41" s="662"/>
      <c r="AQ41" s="662"/>
      <c r="AR41" s="662"/>
      <c r="AS41" s="662"/>
      <c r="AT41" s="707">
        <f t="shared" si="17"/>
        <v>0</v>
      </c>
      <c r="AU41" s="662"/>
      <c r="AV41" s="652">
        <f t="shared" si="18"/>
        <v>0</v>
      </c>
      <c r="AW41" s="652" t="str">
        <f t="shared" si="19"/>
        <v/>
      </c>
      <c r="AX41" s="652" t="str">
        <f t="shared" si="20"/>
        <v/>
      </c>
      <c r="AY41" s="662"/>
      <c r="AZ41" s="662"/>
      <c r="BA41" s="662"/>
      <c r="BB41" s="662"/>
      <c r="BG41" s="662"/>
      <c r="BH41" s="1037"/>
      <c r="BI41" s="1037"/>
      <c r="BJ41" s="1037"/>
      <c r="BK41" s="1037"/>
      <c r="BL41" s="1037"/>
    </row>
    <row r="42" spans="1:72">
      <c r="A42" s="698">
        <f t="shared" si="4"/>
        <v>0</v>
      </c>
      <c r="B42" s="704" t="str">
        <f>前年度登録!P39</f>
        <v/>
      </c>
      <c r="C42" s="708"/>
      <c r="D42" s="708"/>
      <c r="E42" s="709">
        <f>前年度登録!E39</f>
        <v>0</v>
      </c>
      <c r="F42" s="557" t="str">
        <f>前年度登録!CM39</f>
        <v/>
      </c>
      <c r="G42" s="993" t="str">
        <f>前年度登録!Z39</f>
        <v/>
      </c>
      <c r="H42" s="534" t="str">
        <f>前年度登録!CM39</f>
        <v/>
      </c>
      <c r="I42" s="257" t="str">
        <f>前年度登録!Y39</f>
        <v/>
      </c>
      <c r="J42" s="323" t="str">
        <f>前年度登録!CN39</f>
        <v/>
      </c>
      <c r="K42" s="1288">
        <f>前年度登録!CP39</f>
        <v>0</v>
      </c>
      <c r="L42" s="896" t="str">
        <f>前年度登録!CU39</f>
        <v>00</v>
      </c>
      <c r="M42" s="704" t="str">
        <f>前年度登録!Q39</f>
        <v/>
      </c>
      <c r="N42" s="1289">
        <f>前年度登録!D39</f>
        <v>0</v>
      </c>
      <c r="O42" s="1282"/>
      <c r="P42" s="258" t="str">
        <f>IF(O42="","",IF(I42=1,VLOOKUP(O42,男子種目コード!$J$1:$K$16,2,FALSE),IF(I42=2,VLOOKUP(O42,女子種目コード!$J$1:$K$16,2,FALSE))))</f>
        <v/>
      </c>
      <c r="Q42" s="494" t="str">
        <f>IF(O42="","",HLOOKUP(O42,前年度登録!$AH$3:$CH$118,37,FALSE))</f>
        <v/>
      </c>
      <c r="R42" s="624" t="str">
        <f t="shared" si="5"/>
        <v/>
      </c>
      <c r="S42" s="625" t="str">
        <f t="shared" si="6"/>
        <v/>
      </c>
      <c r="T42" s="259"/>
      <c r="U42" s="710" t="str">
        <f>IF(T42="","",IF(I42=1,VLOOKUP(T42,男子種目コード!$J$17:$K$19,2,FALSE),IF(I42=2,VLOOKUP(T42,女子種目コード!$J$17:$K$19,2,FALSE))))</f>
        <v/>
      </c>
      <c r="V42" s="628"/>
      <c r="W42" s="624" t="str">
        <f t="shared" si="7"/>
        <v/>
      </c>
      <c r="X42" s="625" t="str">
        <f t="shared" si="8"/>
        <v/>
      </c>
      <c r="Y42" s="633"/>
      <c r="Z42" s="711" t="str">
        <f>IF(Y42="","",IF(I42=1,VLOOKUP(Y42,男子種目コード!$D$2:$E$16,2,FALSE),IF(I42=2,VLOOKUP(Y42,女子種目コード!$D$2:$E$16,2,FALSE))))</f>
        <v/>
      </c>
      <c r="AA42" s="630"/>
      <c r="AB42" s="634"/>
      <c r="AC42" s="712" t="str">
        <f>IF(AB42="","",IF(I42=1,VLOOKUP(AB42,男子種目コード!$D$2:$E$16,2,FALSE),IF(I42=2,VLOOKUP(AB42,女子種目コード!$D$2:$E$16,2,FALSE))))</f>
        <v/>
      </c>
      <c r="AD42" s="705"/>
      <c r="AE42" s="635"/>
      <c r="AF42" s="712"/>
      <c r="AG42" s="706"/>
      <c r="AH42" s="657"/>
      <c r="AI42" s="657"/>
      <c r="AK42" s="730"/>
      <c r="AL42" s="652" t="str">
        <f t="shared" si="9"/>
        <v/>
      </c>
      <c r="AM42" s="662"/>
      <c r="AN42" s="662"/>
      <c r="AO42" s="662"/>
      <c r="AP42" s="662"/>
      <c r="AQ42" s="662"/>
      <c r="AR42" s="662"/>
      <c r="AS42" s="662"/>
      <c r="AT42" s="707">
        <f t="shared" si="17"/>
        <v>0</v>
      </c>
      <c r="AU42" s="662"/>
      <c r="AV42" s="652">
        <f t="shared" si="18"/>
        <v>0</v>
      </c>
      <c r="AW42" s="652" t="str">
        <f t="shared" si="19"/>
        <v/>
      </c>
      <c r="AX42" s="652" t="str">
        <f t="shared" si="20"/>
        <v/>
      </c>
      <c r="AY42" s="662"/>
      <c r="AZ42" s="662"/>
      <c r="BA42" s="662"/>
      <c r="BB42" s="662"/>
      <c r="BG42" s="662"/>
      <c r="BH42" s="1037"/>
      <c r="BI42" s="1037"/>
      <c r="BJ42" s="1037"/>
      <c r="BK42" s="1037"/>
      <c r="BL42" s="1037"/>
    </row>
    <row r="43" spans="1:72">
      <c r="A43" s="698">
        <f t="shared" si="4"/>
        <v>0</v>
      </c>
      <c r="B43" s="704" t="str">
        <f>前年度登録!P40</f>
        <v/>
      </c>
      <c r="C43" s="708"/>
      <c r="D43" s="708"/>
      <c r="E43" s="709">
        <f>前年度登録!E40</f>
        <v>0</v>
      </c>
      <c r="F43" s="557" t="str">
        <f>前年度登録!CM40</f>
        <v/>
      </c>
      <c r="G43" s="993" t="str">
        <f>前年度登録!Z40</f>
        <v/>
      </c>
      <c r="H43" s="534" t="str">
        <f>前年度登録!CM40</f>
        <v/>
      </c>
      <c r="I43" s="257" t="str">
        <f>前年度登録!Y40</f>
        <v/>
      </c>
      <c r="J43" s="323" t="str">
        <f>前年度登録!CN40</f>
        <v/>
      </c>
      <c r="K43" s="1288">
        <f>前年度登録!CP40</f>
        <v>0</v>
      </c>
      <c r="L43" s="896" t="str">
        <f>前年度登録!CU40</f>
        <v>00</v>
      </c>
      <c r="M43" s="704" t="str">
        <f>前年度登録!Q40</f>
        <v/>
      </c>
      <c r="N43" s="1289">
        <f>前年度登録!D40</f>
        <v>0</v>
      </c>
      <c r="O43" s="1282"/>
      <c r="P43" s="258" t="str">
        <f>IF(O43="","",IF(I43=1,VLOOKUP(O43,男子種目コード!$J$1:$K$16,2,FALSE),IF(I43=2,VLOOKUP(O43,女子種目コード!$J$1:$K$16,2,FALSE))))</f>
        <v/>
      </c>
      <c r="Q43" s="494" t="str">
        <f>IF(O43="","",HLOOKUP(O43,前年度登録!$AH$3:$CH$118,38,FALSE))</f>
        <v/>
      </c>
      <c r="R43" s="624" t="str">
        <f t="shared" si="5"/>
        <v/>
      </c>
      <c r="S43" s="625" t="str">
        <f t="shared" si="6"/>
        <v/>
      </c>
      <c r="T43" s="259"/>
      <c r="U43" s="710" t="str">
        <f>IF(T43="","",IF(I43=1,VLOOKUP(T43,男子種目コード!$J$17:$K$19,2,FALSE),IF(I43=2,VLOOKUP(T43,女子種目コード!$J$17:$K$19,2,FALSE))))</f>
        <v/>
      </c>
      <c r="V43" s="628"/>
      <c r="W43" s="624" t="str">
        <f t="shared" si="7"/>
        <v/>
      </c>
      <c r="X43" s="625" t="str">
        <f t="shared" si="8"/>
        <v/>
      </c>
      <c r="Y43" s="633"/>
      <c r="Z43" s="711" t="str">
        <f>IF(Y43="","",IF(I43=1,VLOOKUP(Y43,男子種目コード!$D$2:$E$16,2,FALSE),IF(I43=2,VLOOKUP(Y43,女子種目コード!$D$2:$E$16,2,FALSE))))</f>
        <v/>
      </c>
      <c r="AA43" s="630"/>
      <c r="AB43" s="634"/>
      <c r="AC43" s="712" t="str">
        <f>IF(AB43="","",IF(I43=1,VLOOKUP(AB43,男子種目コード!$D$2:$E$16,2,FALSE),IF(I43=2,VLOOKUP(AB43,女子種目コード!$D$2:$E$16,2,FALSE))))</f>
        <v/>
      </c>
      <c r="AD43" s="705"/>
      <c r="AE43" s="635"/>
      <c r="AF43" s="712"/>
      <c r="AG43" s="706"/>
      <c r="AH43" s="657"/>
      <c r="AI43" s="657"/>
      <c r="AK43" s="730"/>
      <c r="AL43" s="652" t="str">
        <f t="shared" si="9"/>
        <v/>
      </c>
      <c r="AM43" s="662"/>
      <c r="AN43" s="662"/>
      <c r="AO43" s="662"/>
      <c r="AP43" s="662"/>
      <c r="AQ43" s="662"/>
      <c r="AR43" s="662"/>
      <c r="AS43" s="662"/>
      <c r="AT43" s="707">
        <f t="shared" si="17"/>
        <v>0</v>
      </c>
      <c r="AU43" s="662"/>
      <c r="AV43" s="652">
        <f t="shared" si="18"/>
        <v>0</v>
      </c>
      <c r="AW43" s="652" t="str">
        <f t="shared" si="19"/>
        <v/>
      </c>
      <c r="AX43" s="652" t="str">
        <f t="shared" si="20"/>
        <v/>
      </c>
      <c r="AY43" s="662"/>
      <c r="AZ43" s="662"/>
      <c r="BA43" s="662"/>
      <c r="BB43" s="662"/>
      <c r="BG43" s="662"/>
      <c r="BH43" s="1037"/>
      <c r="BI43" s="1037"/>
      <c r="BJ43" s="1037"/>
      <c r="BK43" s="1037"/>
      <c r="BL43" s="1037"/>
    </row>
    <row r="44" spans="1:72">
      <c r="A44" s="698">
        <f t="shared" si="4"/>
        <v>0</v>
      </c>
      <c r="B44" s="704" t="str">
        <f>前年度登録!P41</f>
        <v/>
      </c>
      <c r="C44" s="708"/>
      <c r="D44" s="708"/>
      <c r="E44" s="709">
        <f>前年度登録!E41</f>
        <v>0</v>
      </c>
      <c r="F44" s="557" t="str">
        <f>前年度登録!CM41</f>
        <v/>
      </c>
      <c r="G44" s="993" t="str">
        <f>前年度登録!Z41</f>
        <v/>
      </c>
      <c r="H44" s="534" t="str">
        <f>前年度登録!CM41</f>
        <v/>
      </c>
      <c r="I44" s="257" t="str">
        <f>前年度登録!Y41</f>
        <v/>
      </c>
      <c r="J44" s="323" t="str">
        <f>前年度登録!CN41</f>
        <v/>
      </c>
      <c r="K44" s="1288">
        <f>前年度登録!CP41</f>
        <v>0</v>
      </c>
      <c r="L44" s="896" t="str">
        <f>前年度登録!CU41</f>
        <v>00</v>
      </c>
      <c r="M44" s="704" t="str">
        <f>前年度登録!Q41</f>
        <v/>
      </c>
      <c r="N44" s="1289">
        <f>前年度登録!D41</f>
        <v>0</v>
      </c>
      <c r="O44" s="1282"/>
      <c r="P44" s="258" t="str">
        <f>IF(O44="","",IF(I44=1,VLOOKUP(O44,男子種目コード!$J$1:$K$16,2,FALSE),IF(I44=2,VLOOKUP(O44,女子種目コード!$J$1:$K$16,2,FALSE))))</f>
        <v/>
      </c>
      <c r="Q44" s="494" t="str">
        <f>IF(O44="","",HLOOKUP(O44,前年度登録!$AH$3:$CH$118,39,FALSE))</f>
        <v/>
      </c>
      <c r="R44" s="624" t="str">
        <f t="shared" si="5"/>
        <v/>
      </c>
      <c r="S44" s="625" t="str">
        <f t="shared" si="6"/>
        <v/>
      </c>
      <c r="T44" s="259"/>
      <c r="U44" s="710" t="str">
        <f>IF(T44="","",IF(I44=1,VLOOKUP(T44,男子種目コード!$J$17:$K$19,2,FALSE),IF(I44=2,VLOOKUP(T44,女子種目コード!$J$17:$K$19,2,FALSE))))</f>
        <v/>
      </c>
      <c r="V44" s="628"/>
      <c r="W44" s="624" t="str">
        <f t="shared" si="7"/>
        <v/>
      </c>
      <c r="X44" s="625" t="str">
        <f t="shared" si="8"/>
        <v/>
      </c>
      <c r="Y44" s="633"/>
      <c r="Z44" s="711" t="str">
        <f>IF(Y44="","",IF(I44=1,VLOOKUP(Y44,男子種目コード!$D$2:$E$16,2,FALSE),IF(I44=2,VLOOKUP(Y44,女子種目コード!$D$2:$E$16,2,FALSE))))</f>
        <v/>
      </c>
      <c r="AA44" s="630"/>
      <c r="AB44" s="634"/>
      <c r="AC44" s="712" t="str">
        <f>IF(AB44="","",IF(I44=1,VLOOKUP(AB44,男子種目コード!$D$2:$E$16,2,FALSE),IF(I44=2,VLOOKUP(AB44,女子種目コード!$D$2:$E$16,2,FALSE))))</f>
        <v/>
      </c>
      <c r="AD44" s="705"/>
      <c r="AE44" s="635"/>
      <c r="AF44" s="712"/>
      <c r="AG44" s="706"/>
      <c r="AH44" s="657"/>
      <c r="AI44" s="657"/>
      <c r="AK44" s="730"/>
      <c r="AL44" s="652" t="str">
        <f t="shared" si="9"/>
        <v/>
      </c>
      <c r="AM44" s="662"/>
      <c r="AN44" s="662"/>
      <c r="AO44" s="662"/>
      <c r="AP44" s="662"/>
      <c r="AQ44" s="662"/>
      <c r="AR44" s="662"/>
      <c r="AS44" s="662"/>
      <c r="AT44" s="707">
        <f t="shared" si="17"/>
        <v>0</v>
      </c>
      <c r="AU44" s="662"/>
      <c r="AV44" s="652">
        <f t="shared" si="18"/>
        <v>0</v>
      </c>
      <c r="AW44" s="652" t="str">
        <f t="shared" si="19"/>
        <v/>
      </c>
      <c r="AX44" s="652" t="str">
        <f t="shared" si="20"/>
        <v/>
      </c>
      <c r="AY44" s="662"/>
      <c r="AZ44" s="662"/>
      <c r="BA44" s="662"/>
      <c r="BB44" s="662"/>
      <c r="BG44" s="662"/>
      <c r="BH44" s="1037"/>
      <c r="BI44" s="1037"/>
      <c r="BJ44" s="1037"/>
      <c r="BK44" s="1037"/>
      <c r="BL44" s="1037"/>
    </row>
    <row r="45" spans="1:72">
      <c r="A45" s="698">
        <f t="shared" si="4"/>
        <v>0</v>
      </c>
      <c r="B45" s="704" t="str">
        <f>前年度登録!P42</f>
        <v/>
      </c>
      <c r="C45" s="708"/>
      <c r="D45" s="708"/>
      <c r="E45" s="709">
        <f>前年度登録!E42</f>
        <v>0</v>
      </c>
      <c r="F45" s="557" t="str">
        <f>前年度登録!CM42</f>
        <v/>
      </c>
      <c r="G45" s="993" t="str">
        <f>前年度登録!Z42</f>
        <v/>
      </c>
      <c r="H45" s="534" t="str">
        <f>前年度登録!CM42</f>
        <v/>
      </c>
      <c r="I45" s="257" t="str">
        <f>前年度登録!Y42</f>
        <v/>
      </c>
      <c r="J45" s="323" t="str">
        <f>前年度登録!CN42</f>
        <v/>
      </c>
      <c r="K45" s="1288">
        <f>前年度登録!CP42</f>
        <v>0</v>
      </c>
      <c r="L45" s="896" t="str">
        <f>前年度登録!CU42</f>
        <v>00</v>
      </c>
      <c r="M45" s="704" t="str">
        <f>前年度登録!Q42</f>
        <v/>
      </c>
      <c r="N45" s="1289">
        <f>前年度登録!D42</f>
        <v>0</v>
      </c>
      <c r="O45" s="1282"/>
      <c r="P45" s="258" t="str">
        <f>IF(O45="","",IF(I45=1,VLOOKUP(O45,男子種目コード!$J$1:$K$16,2,FALSE),IF(I45=2,VLOOKUP(O45,女子種目コード!$J$1:$K$16,2,FALSE))))</f>
        <v/>
      </c>
      <c r="Q45" s="494" t="str">
        <f>IF(O45="","",HLOOKUP(O45,前年度登録!$AH$3:$CH$118,40,FALSE))</f>
        <v/>
      </c>
      <c r="R45" s="624" t="str">
        <f t="shared" si="5"/>
        <v/>
      </c>
      <c r="S45" s="625" t="str">
        <f t="shared" si="6"/>
        <v/>
      </c>
      <c r="T45" s="259"/>
      <c r="U45" s="710" t="str">
        <f>IF(T45="","",IF(I45=1,VLOOKUP(T45,男子種目コード!$J$17:$K$19,2,FALSE),IF(I45=2,VLOOKUP(T45,女子種目コード!$J$17:$K$19,2,FALSE))))</f>
        <v/>
      </c>
      <c r="V45" s="628"/>
      <c r="W45" s="624" t="str">
        <f t="shared" si="7"/>
        <v/>
      </c>
      <c r="X45" s="625" t="str">
        <f t="shared" si="8"/>
        <v/>
      </c>
      <c r="Y45" s="633"/>
      <c r="Z45" s="711" t="str">
        <f>IF(Y45="","",IF(I45=1,VLOOKUP(Y45,男子種目コード!$D$2:$E$16,2,FALSE),IF(I45=2,VLOOKUP(Y45,女子種目コード!$D$2:$E$16,2,FALSE))))</f>
        <v/>
      </c>
      <c r="AA45" s="630"/>
      <c r="AB45" s="634"/>
      <c r="AC45" s="712" t="str">
        <f>IF(AB45="","",IF(I45=1,VLOOKUP(AB45,男子種目コード!$D$2:$E$16,2,FALSE),IF(I45=2,VLOOKUP(AB45,女子種目コード!$D$2:$E$16,2,FALSE))))</f>
        <v/>
      </c>
      <c r="AD45" s="705"/>
      <c r="AE45" s="635"/>
      <c r="AF45" s="712"/>
      <c r="AG45" s="706"/>
      <c r="AH45" s="657"/>
      <c r="AI45" s="657"/>
      <c r="AK45" s="730"/>
      <c r="AL45" s="652" t="str">
        <f t="shared" si="9"/>
        <v/>
      </c>
      <c r="AM45" s="662"/>
      <c r="AN45" s="662"/>
      <c r="AO45" s="662"/>
      <c r="AP45" s="662"/>
      <c r="AQ45" s="662"/>
      <c r="AR45" s="662"/>
      <c r="AS45" s="662"/>
      <c r="AT45" s="707">
        <f t="shared" si="17"/>
        <v>0</v>
      </c>
      <c r="AU45" s="662"/>
      <c r="AV45" s="652">
        <f t="shared" si="18"/>
        <v>0</v>
      </c>
      <c r="AW45" s="652" t="str">
        <f t="shared" si="19"/>
        <v/>
      </c>
      <c r="AX45" s="652" t="str">
        <f t="shared" si="20"/>
        <v/>
      </c>
      <c r="AY45" s="662"/>
      <c r="AZ45" s="662"/>
      <c r="BA45" s="662"/>
      <c r="BB45" s="662"/>
      <c r="BG45" s="662"/>
      <c r="BH45" s="1037"/>
      <c r="BI45" s="1037"/>
      <c r="BJ45" s="1037"/>
      <c r="BK45" s="1037"/>
      <c r="BL45" s="1037"/>
    </row>
    <row r="46" spans="1:72">
      <c r="A46" s="698">
        <f t="shared" si="4"/>
        <v>0</v>
      </c>
      <c r="B46" s="704" t="str">
        <f>前年度登録!P43</f>
        <v/>
      </c>
      <c r="C46" s="708"/>
      <c r="D46" s="708"/>
      <c r="E46" s="709">
        <f>前年度登録!E43</f>
        <v>0</v>
      </c>
      <c r="F46" s="557" t="str">
        <f>前年度登録!CM43</f>
        <v/>
      </c>
      <c r="G46" s="993" t="str">
        <f>前年度登録!Z43</f>
        <v/>
      </c>
      <c r="H46" s="534" t="str">
        <f>前年度登録!CM43</f>
        <v/>
      </c>
      <c r="I46" s="257" t="str">
        <f>前年度登録!Y43</f>
        <v/>
      </c>
      <c r="J46" s="323" t="str">
        <f>前年度登録!CN43</f>
        <v/>
      </c>
      <c r="K46" s="1288">
        <f>前年度登録!CP43</f>
        <v>0</v>
      </c>
      <c r="L46" s="896" t="str">
        <f>前年度登録!CU43</f>
        <v>00</v>
      </c>
      <c r="M46" s="704" t="str">
        <f>前年度登録!Q43</f>
        <v/>
      </c>
      <c r="N46" s="1289">
        <f>前年度登録!D43</f>
        <v>0</v>
      </c>
      <c r="O46" s="1282"/>
      <c r="P46" s="258" t="str">
        <f>IF(O46="","",IF(I46=1,VLOOKUP(O46,男子種目コード!$J$1:$K$16,2,FALSE),IF(I46=2,VLOOKUP(O46,女子種目コード!$J$1:$K$16,2,FALSE))))</f>
        <v/>
      </c>
      <c r="Q46" s="494" t="str">
        <f>IF(O46="","",HLOOKUP(O46,前年度登録!$AH$3:$CH$118,41,FALSE))</f>
        <v/>
      </c>
      <c r="R46" s="624" t="str">
        <f t="shared" si="5"/>
        <v/>
      </c>
      <c r="S46" s="625" t="str">
        <f t="shared" si="6"/>
        <v/>
      </c>
      <c r="T46" s="259"/>
      <c r="U46" s="710" t="str">
        <f>IF(T46="","",IF(I46=1,VLOOKUP(T46,男子種目コード!$J$17:$K$19,2,FALSE),IF(I46=2,VLOOKUP(T46,女子種目コード!$J$17:$K$19,2,FALSE))))</f>
        <v/>
      </c>
      <c r="V46" s="628"/>
      <c r="W46" s="624" t="str">
        <f t="shared" si="7"/>
        <v/>
      </c>
      <c r="X46" s="625" t="str">
        <f t="shared" si="8"/>
        <v/>
      </c>
      <c r="Y46" s="633"/>
      <c r="Z46" s="711" t="str">
        <f>IF(Y46="","",IF(I46=1,VLOOKUP(Y46,男子種目コード!$D$2:$E$16,2,FALSE),IF(I46=2,VLOOKUP(Y46,女子種目コード!$D$2:$E$16,2,FALSE))))</f>
        <v/>
      </c>
      <c r="AA46" s="630"/>
      <c r="AB46" s="634"/>
      <c r="AC46" s="712" t="str">
        <f>IF(AB46="","",IF(I46=1,VLOOKUP(AB46,男子種目コード!$D$2:$E$16,2,FALSE),IF(I46=2,VLOOKUP(AB46,女子種目コード!$D$2:$E$16,2,FALSE))))</f>
        <v/>
      </c>
      <c r="AD46" s="705"/>
      <c r="AE46" s="635"/>
      <c r="AF46" s="712"/>
      <c r="AG46" s="706"/>
      <c r="AH46" s="657"/>
      <c r="AI46" s="657"/>
      <c r="AK46" s="730"/>
      <c r="AL46" s="652" t="str">
        <f t="shared" si="9"/>
        <v/>
      </c>
      <c r="AM46" s="662"/>
      <c r="AN46" s="662"/>
      <c r="AO46" s="662"/>
      <c r="AP46" s="662"/>
      <c r="AQ46" s="662"/>
      <c r="AR46" s="662"/>
      <c r="AS46" s="662"/>
      <c r="AT46" s="707">
        <f t="shared" si="17"/>
        <v>0</v>
      </c>
      <c r="AU46" s="662"/>
      <c r="AV46" s="652">
        <f t="shared" si="18"/>
        <v>0</v>
      </c>
      <c r="AW46" s="652" t="str">
        <f t="shared" si="19"/>
        <v/>
      </c>
      <c r="AX46" s="652" t="str">
        <f t="shared" si="20"/>
        <v/>
      </c>
      <c r="AY46" s="662"/>
      <c r="AZ46" s="662"/>
      <c r="BA46" s="662"/>
      <c r="BB46" s="662"/>
      <c r="BG46" s="662"/>
      <c r="BH46" s="1037"/>
      <c r="BI46" s="1037"/>
      <c r="BJ46" s="1037"/>
      <c r="BK46" s="1037"/>
      <c r="BL46" s="1037"/>
    </row>
    <row r="47" spans="1:72">
      <c r="A47" s="698">
        <f t="shared" si="4"/>
        <v>0</v>
      </c>
      <c r="B47" s="704" t="str">
        <f>前年度登録!P44</f>
        <v/>
      </c>
      <c r="C47" s="708"/>
      <c r="D47" s="708"/>
      <c r="E47" s="709">
        <f>前年度登録!E44</f>
        <v>0</v>
      </c>
      <c r="F47" s="557" t="str">
        <f>前年度登録!CM44</f>
        <v/>
      </c>
      <c r="G47" s="993" t="str">
        <f>前年度登録!Z44</f>
        <v/>
      </c>
      <c r="H47" s="534" t="str">
        <f>前年度登録!CM44</f>
        <v/>
      </c>
      <c r="I47" s="257" t="str">
        <f>前年度登録!Y44</f>
        <v/>
      </c>
      <c r="J47" s="323" t="str">
        <f>前年度登録!CN44</f>
        <v/>
      </c>
      <c r="K47" s="1288">
        <f>前年度登録!CP44</f>
        <v>0</v>
      </c>
      <c r="L47" s="896" t="str">
        <f>前年度登録!CU44</f>
        <v>00</v>
      </c>
      <c r="M47" s="704" t="str">
        <f>前年度登録!Q44</f>
        <v/>
      </c>
      <c r="N47" s="1289">
        <f>前年度登録!D44</f>
        <v>0</v>
      </c>
      <c r="O47" s="1282"/>
      <c r="P47" s="258" t="str">
        <f>IF(O47="","",IF(I47=1,VLOOKUP(O47,男子種目コード!$J$1:$K$16,2,FALSE),IF(I47=2,VLOOKUP(O47,女子種目コード!$J$1:$K$16,2,FALSE))))</f>
        <v/>
      </c>
      <c r="Q47" s="494" t="str">
        <f>IF(O47="","",HLOOKUP(O47,前年度登録!$AH$3:$CH$118,42,FALSE))</f>
        <v/>
      </c>
      <c r="R47" s="624" t="str">
        <f t="shared" si="5"/>
        <v/>
      </c>
      <c r="S47" s="625" t="str">
        <f t="shared" si="6"/>
        <v/>
      </c>
      <c r="T47" s="259"/>
      <c r="U47" s="710" t="str">
        <f>IF(T47="","",IF(I47=1,VLOOKUP(T47,男子種目コード!$J$17:$K$19,2,FALSE),IF(I47=2,VLOOKUP(T47,女子種目コード!$J$17:$K$19,2,FALSE))))</f>
        <v/>
      </c>
      <c r="V47" s="628"/>
      <c r="W47" s="624" t="str">
        <f t="shared" si="7"/>
        <v/>
      </c>
      <c r="X47" s="625" t="str">
        <f t="shared" si="8"/>
        <v/>
      </c>
      <c r="Y47" s="633"/>
      <c r="Z47" s="711" t="str">
        <f>IF(Y47="","",IF(I47=1,VLOOKUP(Y47,男子種目コード!$D$2:$E$16,2,FALSE),IF(I47=2,VLOOKUP(Y47,女子種目コード!$D$2:$E$16,2,FALSE))))</f>
        <v/>
      </c>
      <c r="AA47" s="630"/>
      <c r="AB47" s="634"/>
      <c r="AC47" s="712" t="str">
        <f>IF(AB47="","",IF(I47=1,VLOOKUP(AB47,男子種目コード!$D$2:$E$16,2,FALSE),IF(I47=2,VLOOKUP(AB47,女子種目コード!$D$2:$E$16,2,FALSE))))</f>
        <v/>
      </c>
      <c r="AD47" s="705"/>
      <c r="AE47" s="635"/>
      <c r="AF47" s="712"/>
      <c r="AG47" s="706"/>
      <c r="AH47" s="657"/>
      <c r="AI47" s="657"/>
      <c r="AK47" s="730"/>
      <c r="AL47" s="652" t="str">
        <f t="shared" si="9"/>
        <v/>
      </c>
      <c r="AM47" s="662"/>
      <c r="AN47" s="662"/>
      <c r="AO47" s="662"/>
      <c r="AP47" s="662"/>
      <c r="AQ47" s="662"/>
      <c r="AR47" s="662"/>
      <c r="AS47" s="662"/>
      <c r="AT47" s="707">
        <f t="shared" si="17"/>
        <v>0</v>
      </c>
      <c r="AU47" s="662"/>
      <c r="AV47" s="652">
        <f t="shared" si="18"/>
        <v>0</v>
      </c>
      <c r="AW47" s="652" t="str">
        <f t="shared" si="19"/>
        <v/>
      </c>
      <c r="AX47" s="652" t="str">
        <f t="shared" si="20"/>
        <v/>
      </c>
      <c r="AY47" s="662"/>
      <c r="AZ47" s="662"/>
      <c r="BA47" s="662"/>
      <c r="BB47" s="662"/>
      <c r="BG47" s="662"/>
      <c r="BH47" s="1037"/>
      <c r="BI47" s="1037"/>
      <c r="BJ47" s="1037"/>
      <c r="BK47" s="1037"/>
      <c r="BL47" s="1037"/>
    </row>
    <row r="48" spans="1:72">
      <c r="A48" s="698">
        <f t="shared" si="4"/>
        <v>0</v>
      </c>
      <c r="B48" s="704" t="str">
        <f>前年度登録!P45</f>
        <v/>
      </c>
      <c r="C48" s="708"/>
      <c r="D48" s="708"/>
      <c r="E48" s="709">
        <f>前年度登録!E45</f>
        <v>0</v>
      </c>
      <c r="F48" s="557" t="str">
        <f>前年度登録!CM45</f>
        <v/>
      </c>
      <c r="G48" s="993" t="str">
        <f>前年度登録!Z45</f>
        <v/>
      </c>
      <c r="H48" s="534" t="str">
        <f>前年度登録!CM45</f>
        <v/>
      </c>
      <c r="I48" s="257" t="str">
        <f>前年度登録!Y45</f>
        <v/>
      </c>
      <c r="J48" s="323" t="str">
        <f>前年度登録!CN45</f>
        <v/>
      </c>
      <c r="K48" s="1288">
        <f>前年度登録!CP45</f>
        <v>0</v>
      </c>
      <c r="L48" s="896" t="str">
        <f>前年度登録!CU45</f>
        <v>00</v>
      </c>
      <c r="M48" s="704" t="str">
        <f>前年度登録!Q45</f>
        <v/>
      </c>
      <c r="N48" s="1289">
        <f>前年度登録!D45</f>
        <v>0</v>
      </c>
      <c r="O48" s="1282"/>
      <c r="P48" s="258" t="str">
        <f>IF(O48="","",IF(I48=1,VLOOKUP(O48,男子種目コード!$J$1:$K$16,2,FALSE),IF(I48=2,VLOOKUP(O48,女子種目コード!$J$1:$K$16,2,FALSE))))</f>
        <v/>
      </c>
      <c r="Q48" s="494" t="str">
        <f>IF(O48="","",HLOOKUP(O48,前年度登録!$AH$3:$CH$118,43,FALSE))</f>
        <v/>
      </c>
      <c r="R48" s="624" t="str">
        <f t="shared" si="5"/>
        <v/>
      </c>
      <c r="S48" s="625" t="str">
        <f t="shared" si="6"/>
        <v/>
      </c>
      <c r="T48" s="259"/>
      <c r="U48" s="710" t="str">
        <f>IF(T48="","",IF(I48=1,VLOOKUP(T48,男子種目コード!$J$17:$K$19,2,FALSE),IF(I48=2,VLOOKUP(T48,女子種目コード!$J$17:$K$19,2,FALSE))))</f>
        <v/>
      </c>
      <c r="V48" s="628"/>
      <c r="W48" s="624" t="str">
        <f t="shared" si="7"/>
        <v/>
      </c>
      <c r="X48" s="625" t="str">
        <f t="shared" si="8"/>
        <v/>
      </c>
      <c r="Y48" s="633"/>
      <c r="Z48" s="711" t="str">
        <f>IF(Y48="","",IF(I48=1,VLOOKUP(Y48,男子種目コード!$D$2:$E$16,2,FALSE),IF(I48=2,VLOOKUP(Y48,女子種目コード!$D$2:$E$16,2,FALSE))))</f>
        <v/>
      </c>
      <c r="AA48" s="630"/>
      <c r="AB48" s="634"/>
      <c r="AC48" s="712" t="str">
        <f>IF(AB48="","",IF(I48=1,VLOOKUP(AB48,男子種目コード!$D$2:$E$16,2,FALSE),IF(I48=2,VLOOKUP(AB48,女子種目コード!$D$2:$E$16,2,FALSE))))</f>
        <v/>
      </c>
      <c r="AD48" s="705"/>
      <c r="AE48" s="635"/>
      <c r="AF48" s="712"/>
      <c r="AG48" s="706"/>
      <c r="AH48" s="657"/>
      <c r="AI48" s="657"/>
      <c r="AK48" s="730"/>
      <c r="AL48" s="652" t="str">
        <f t="shared" si="9"/>
        <v/>
      </c>
      <c r="AM48" s="662"/>
      <c r="AN48" s="662"/>
      <c r="AO48" s="662"/>
      <c r="AP48" s="662"/>
      <c r="AQ48" s="662"/>
      <c r="AR48" s="662"/>
      <c r="AS48" s="662"/>
      <c r="AT48" s="707">
        <f t="shared" si="17"/>
        <v>0</v>
      </c>
      <c r="AU48" s="662"/>
      <c r="AV48" s="652">
        <f t="shared" si="18"/>
        <v>0</v>
      </c>
      <c r="AW48" s="652" t="str">
        <f t="shared" si="19"/>
        <v/>
      </c>
      <c r="AX48" s="652" t="str">
        <f t="shared" si="20"/>
        <v/>
      </c>
      <c r="AY48" s="662"/>
      <c r="AZ48" s="662"/>
      <c r="BA48" s="662"/>
      <c r="BB48" s="662"/>
      <c r="BG48" s="662"/>
      <c r="BH48" s="1037"/>
      <c r="BI48" s="1037"/>
      <c r="BJ48" s="1037"/>
      <c r="BK48" s="1037"/>
      <c r="BL48" s="1037"/>
    </row>
    <row r="49" spans="1:64">
      <c r="A49" s="698">
        <f t="shared" si="4"/>
        <v>0</v>
      </c>
      <c r="B49" s="704" t="str">
        <f>前年度登録!P46</f>
        <v/>
      </c>
      <c r="C49" s="708"/>
      <c r="D49" s="708"/>
      <c r="E49" s="709">
        <f>前年度登録!E46</f>
        <v>0</v>
      </c>
      <c r="F49" s="557" t="str">
        <f>前年度登録!CM46</f>
        <v/>
      </c>
      <c r="G49" s="993" t="str">
        <f>前年度登録!Z46</f>
        <v/>
      </c>
      <c r="H49" s="534" t="str">
        <f>前年度登録!CM46</f>
        <v/>
      </c>
      <c r="I49" s="257" t="str">
        <f>前年度登録!Y46</f>
        <v/>
      </c>
      <c r="J49" s="323" t="str">
        <f>前年度登録!CN46</f>
        <v/>
      </c>
      <c r="K49" s="1288">
        <f>前年度登録!CP46</f>
        <v>0</v>
      </c>
      <c r="L49" s="896" t="str">
        <f>前年度登録!CU46</f>
        <v>00</v>
      </c>
      <c r="M49" s="704" t="str">
        <f>前年度登録!Q46</f>
        <v/>
      </c>
      <c r="N49" s="1289">
        <f>前年度登録!D46</f>
        <v>0</v>
      </c>
      <c r="O49" s="1282"/>
      <c r="P49" s="258" t="str">
        <f>IF(O49="","",IF(I49=1,VLOOKUP(O49,男子種目コード!$J$1:$K$16,2,FALSE),IF(I49=2,VLOOKUP(O49,女子種目コード!$J$1:$K$16,2,FALSE))))</f>
        <v/>
      </c>
      <c r="Q49" s="494" t="str">
        <f>IF(O49="","",HLOOKUP(O49,前年度登録!$AH$3:$CH$118,44,FALSE))</f>
        <v/>
      </c>
      <c r="R49" s="624" t="str">
        <f t="shared" si="5"/>
        <v/>
      </c>
      <c r="S49" s="625" t="str">
        <f t="shared" si="6"/>
        <v/>
      </c>
      <c r="T49" s="259"/>
      <c r="U49" s="710" t="str">
        <f>IF(T49="","",IF(I49=1,VLOOKUP(T49,男子種目コード!$J$17:$K$19,2,FALSE),IF(I49=2,VLOOKUP(T49,女子種目コード!$J$17:$K$19,2,FALSE))))</f>
        <v/>
      </c>
      <c r="V49" s="628"/>
      <c r="W49" s="624" t="str">
        <f t="shared" si="7"/>
        <v/>
      </c>
      <c r="X49" s="625" t="str">
        <f t="shared" si="8"/>
        <v/>
      </c>
      <c r="Y49" s="633"/>
      <c r="Z49" s="711" t="str">
        <f>IF(Y49="","",IF(I49=1,VLOOKUP(Y49,男子種目コード!$D$2:$E$16,2,FALSE),IF(I49=2,VLOOKUP(Y49,女子種目コード!$D$2:$E$16,2,FALSE))))</f>
        <v/>
      </c>
      <c r="AA49" s="630"/>
      <c r="AB49" s="634"/>
      <c r="AC49" s="712" t="str">
        <f>IF(AB49="","",IF(I49=1,VLOOKUP(AB49,男子種目コード!$D$2:$E$16,2,FALSE),IF(I49=2,VLOOKUP(AB49,女子種目コード!$D$2:$E$16,2,FALSE))))</f>
        <v/>
      </c>
      <c r="AD49" s="705"/>
      <c r="AE49" s="635"/>
      <c r="AF49" s="712"/>
      <c r="AG49" s="706"/>
      <c r="AH49" s="657"/>
      <c r="AI49" s="657"/>
      <c r="AK49" s="730"/>
      <c r="AL49" s="652" t="str">
        <f t="shared" si="9"/>
        <v/>
      </c>
      <c r="AM49" s="662"/>
      <c r="AN49" s="662"/>
      <c r="AO49" s="662"/>
      <c r="AP49" s="662"/>
      <c r="AQ49" s="662"/>
      <c r="AR49" s="662"/>
      <c r="AS49" s="662"/>
      <c r="AT49" s="707">
        <f t="shared" si="17"/>
        <v>0</v>
      </c>
      <c r="AU49" s="662"/>
      <c r="AV49" s="652">
        <f t="shared" si="18"/>
        <v>0</v>
      </c>
      <c r="AW49" s="652" t="str">
        <f t="shared" si="19"/>
        <v/>
      </c>
      <c r="AX49" s="652" t="str">
        <f t="shared" si="20"/>
        <v/>
      </c>
      <c r="AY49" s="662"/>
      <c r="AZ49" s="662"/>
      <c r="BA49" s="662"/>
      <c r="BB49" s="662"/>
      <c r="BG49" s="662"/>
      <c r="BH49" s="1037"/>
      <c r="BI49" s="1037"/>
      <c r="BJ49" s="1037"/>
      <c r="BK49" s="1037"/>
      <c r="BL49" s="1037"/>
    </row>
    <row r="50" spans="1:64">
      <c r="A50" s="698">
        <f t="shared" si="4"/>
        <v>0</v>
      </c>
      <c r="B50" s="704" t="str">
        <f>前年度登録!P47</f>
        <v/>
      </c>
      <c r="C50" s="708"/>
      <c r="D50" s="708"/>
      <c r="E50" s="709">
        <f>前年度登録!E47</f>
        <v>0</v>
      </c>
      <c r="F50" s="557" t="str">
        <f>前年度登録!CM47</f>
        <v/>
      </c>
      <c r="G50" s="993" t="str">
        <f>前年度登録!Z47</f>
        <v/>
      </c>
      <c r="H50" s="534" t="str">
        <f>前年度登録!CM47</f>
        <v/>
      </c>
      <c r="I50" s="257" t="str">
        <f>前年度登録!Y47</f>
        <v/>
      </c>
      <c r="J50" s="323" t="str">
        <f>前年度登録!CN47</f>
        <v/>
      </c>
      <c r="K50" s="1288">
        <f>前年度登録!CP47</f>
        <v>0</v>
      </c>
      <c r="L50" s="896" t="str">
        <f>前年度登録!CU47</f>
        <v>00</v>
      </c>
      <c r="M50" s="704" t="str">
        <f>前年度登録!Q47</f>
        <v/>
      </c>
      <c r="N50" s="1289">
        <f>前年度登録!D47</f>
        <v>0</v>
      </c>
      <c r="O50" s="1282"/>
      <c r="P50" s="258" t="str">
        <f>IF(O50="","",IF(I50=1,VLOOKUP(O50,男子種目コード!$J$1:$K$16,2,FALSE),IF(I50=2,VLOOKUP(O50,女子種目コード!$J$1:$K$16,2,FALSE))))</f>
        <v/>
      </c>
      <c r="Q50" s="494" t="str">
        <f>IF(O50="","",HLOOKUP(O50,前年度登録!$AH$3:$CH$118,45,FALSE))</f>
        <v/>
      </c>
      <c r="R50" s="624" t="str">
        <f t="shared" si="5"/>
        <v/>
      </c>
      <c r="S50" s="625" t="str">
        <f t="shared" si="6"/>
        <v/>
      </c>
      <c r="T50" s="259"/>
      <c r="U50" s="710" t="str">
        <f>IF(T50="","",IF(I50=1,VLOOKUP(T50,男子種目コード!$J$17:$K$19,2,FALSE),IF(I50=2,VLOOKUP(T50,女子種目コード!$J$17:$K$19,2,FALSE))))</f>
        <v/>
      </c>
      <c r="V50" s="628"/>
      <c r="W50" s="624" t="str">
        <f t="shared" si="7"/>
        <v/>
      </c>
      <c r="X50" s="625" t="str">
        <f t="shared" si="8"/>
        <v/>
      </c>
      <c r="Y50" s="633"/>
      <c r="Z50" s="711" t="str">
        <f>IF(Y50="","",IF(I50=1,VLOOKUP(Y50,男子種目コード!$D$2:$E$16,2,FALSE),IF(I50=2,VLOOKUP(Y50,女子種目コード!$D$2:$E$16,2,FALSE))))</f>
        <v/>
      </c>
      <c r="AA50" s="630"/>
      <c r="AB50" s="634"/>
      <c r="AC50" s="712" t="str">
        <f>IF(AB50="","",IF(I50=1,VLOOKUP(AB50,男子種目コード!$D$2:$E$16,2,FALSE),IF(I50=2,VLOOKUP(AB50,女子種目コード!$D$2:$E$16,2,FALSE))))</f>
        <v/>
      </c>
      <c r="AD50" s="705"/>
      <c r="AE50" s="635"/>
      <c r="AF50" s="712"/>
      <c r="AG50" s="706"/>
      <c r="AH50" s="657"/>
      <c r="AI50" s="657"/>
      <c r="AK50" s="730"/>
      <c r="AL50" s="652" t="str">
        <f t="shared" si="9"/>
        <v/>
      </c>
      <c r="AM50" s="662"/>
      <c r="AN50" s="662"/>
      <c r="AO50" s="662"/>
      <c r="AP50" s="662"/>
      <c r="AQ50" s="662"/>
      <c r="AR50" s="662"/>
      <c r="AS50" s="662"/>
      <c r="AT50" s="707">
        <f t="shared" si="17"/>
        <v>0</v>
      </c>
      <c r="AU50" s="662"/>
      <c r="AV50" s="652">
        <f t="shared" si="18"/>
        <v>0</v>
      </c>
      <c r="AW50" s="652" t="str">
        <f t="shared" si="19"/>
        <v/>
      </c>
      <c r="AX50" s="652" t="str">
        <f t="shared" si="20"/>
        <v/>
      </c>
      <c r="AY50" s="662"/>
      <c r="AZ50" s="662"/>
      <c r="BA50" s="662"/>
      <c r="BB50" s="662"/>
      <c r="BG50" s="662"/>
      <c r="BH50" s="1037"/>
      <c r="BI50" s="1037"/>
      <c r="BJ50" s="1037"/>
      <c r="BK50" s="1037"/>
      <c r="BL50" s="1037"/>
    </row>
    <row r="51" spans="1:64">
      <c r="A51" s="698">
        <f t="shared" si="4"/>
        <v>0</v>
      </c>
      <c r="B51" s="704" t="str">
        <f>前年度登録!P48</f>
        <v/>
      </c>
      <c r="C51" s="708"/>
      <c r="D51" s="708"/>
      <c r="E51" s="709">
        <f>前年度登録!E48</f>
        <v>0</v>
      </c>
      <c r="F51" s="557" t="str">
        <f>前年度登録!CM48</f>
        <v/>
      </c>
      <c r="G51" s="993" t="str">
        <f>前年度登録!Z48</f>
        <v/>
      </c>
      <c r="H51" s="534" t="str">
        <f>前年度登録!CM48</f>
        <v/>
      </c>
      <c r="I51" s="257" t="str">
        <f>前年度登録!Y48</f>
        <v/>
      </c>
      <c r="J51" s="323" t="str">
        <f>前年度登録!CN48</f>
        <v/>
      </c>
      <c r="K51" s="1288">
        <f>前年度登録!CP48</f>
        <v>0</v>
      </c>
      <c r="L51" s="896" t="str">
        <f>前年度登録!CU48</f>
        <v>00</v>
      </c>
      <c r="M51" s="704" t="str">
        <f>前年度登録!Q48</f>
        <v/>
      </c>
      <c r="N51" s="1289">
        <f>前年度登録!D48</f>
        <v>0</v>
      </c>
      <c r="O51" s="1282"/>
      <c r="P51" s="258" t="str">
        <f>IF(O51="","",IF(I51=1,VLOOKUP(O51,男子種目コード!$J$1:$K$16,2,FALSE),IF(I51=2,VLOOKUP(O51,女子種目コード!$J$1:$K$16,2,FALSE))))</f>
        <v/>
      </c>
      <c r="Q51" s="494" t="str">
        <f>IF(O51="","",HLOOKUP(O51,前年度登録!$AH$3:$CH$118,46,FALSE))</f>
        <v/>
      </c>
      <c r="R51" s="624" t="str">
        <f t="shared" si="5"/>
        <v/>
      </c>
      <c r="S51" s="625" t="str">
        <f t="shared" si="6"/>
        <v/>
      </c>
      <c r="T51" s="259"/>
      <c r="U51" s="710" t="str">
        <f>IF(T51="","",IF(I51=1,VLOOKUP(T51,男子種目コード!$J$17:$K$19,2,FALSE),IF(I51=2,VLOOKUP(T51,女子種目コード!$J$17:$K$19,2,FALSE))))</f>
        <v/>
      </c>
      <c r="V51" s="628"/>
      <c r="W51" s="624" t="str">
        <f t="shared" si="7"/>
        <v/>
      </c>
      <c r="X51" s="625" t="str">
        <f t="shared" si="8"/>
        <v/>
      </c>
      <c r="Y51" s="633"/>
      <c r="Z51" s="711" t="str">
        <f>IF(Y51="","",IF(I51=1,VLOOKUP(Y51,男子種目コード!$D$2:$E$16,2,FALSE),IF(I51=2,VLOOKUP(Y51,女子種目コード!$D$2:$E$16,2,FALSE))))</f>
        <v/>
      </c>
      <c r="AA51" s="630"/>
      <c r="AB51" s="634"/>
      <c r="AC51" s="712" t="str">
        <f>IF(AB51="","",IF(I51=1,VLOOKUP(AB51,男子種目コード!$D$2:$E$16,2,FALSE),IF(I51=2,VLOOKUP(AB51,女子種目コード!$D$2:$E$16,2,FALSE))))</f>
        <v/>
      </c>
      <c r="AD51" s="705"/>
      <c r="AE51" s="635"/>
      <c r="AF51" s="712"/>
      <c r="AG51" s="706"/>
      <c r="AH51" s="657"/>
      <c r="AI51" s="657"/>
      <c r="AK51" s="730"/>
      <c r="AL51" s="652" t="str">
        <f t="shared" si="9"/>
        <v/>
      </c>
      <c r="AM51" s="662"/>
      <c r="AN51" s="662"/>
      <c r="AO51" s="662"/>
      <c r="AP51" s="662"/>
      <c r="AQ51" s="662"/>
      <c r="AR51" s="662"/>
      <c r="AS51" s="662"/>
      <c r="AT51" s="707">
        <f t="shared" si="17"/>
        <v>0</v>
      </c>
      <c r="AU51" s="662"/>
      <c r="AV51" s="652">
        <f t="shared" si="18"/>
        <v>0</v>
      </c>
      <c r="AW51" s="652" t="str">
        <f t="shared" si="19"/>
        <v/>
      </c>
      <c r="AX51" s="652" t="str">
        <f t="shared" si="20"/>
        <v/>
      </c>
      <c r="AY51" s="662"/>
      <c r="AZ51" s="662"/>
      <c r="BA51" s="662"/>
      <c r="BB51" s="662"/>
      <c r="BG51" s="662"/>
      <c r="BH51" s="1037"/>
      <c r="BI51" s="1037"/>
      <c r="BJ51" s="1037"/>
      <c r="BK51" s="1037"/>
      <c r="BL51" s="1037"/>
    </row>
    <row r="52" spans="1:64">
      <c r="A52" s="698">
        <f t="shared" si="4"/>
        <v>0</v>
      </c>
      <c r="B52" s="704" t="str">
        <f>前年度登録!P49</f>
        <v/>
      </c>
      <c r="C52" s="708"/>
      <c r="D52" s="708"/>
      <c r="E52" s="709">
        <f>前年度登録!E49</f>
        <v>0</v>
      </c>
      <c r="F52" s="557" t="str">
        <f>前年度登録!CM49</f>
        <v/>
      </c>
      <c r="G52" s="993" t="str">
        <f>前年度登録!Z49</f>
        <v/>
      </c>
      <c r="H52" s="534" t="str">
        <f>前年度登録!CM49</f>
        <v/>
      </c>
      <c r="I52" s="257" t="str">
        <f>前年度登録!Y49</f>
        <v/>
      </c>
      <c r="J52" s="323" t="str">
        <f>前年度登録!CN49</f>
        <v/>
      </c>
      <c r="K52" s="1288">
        <f>前年度登録!CP49</f>
        <v>0</v>
      </c>
      <c r="L52" s="896" t="str">
        <f>前年度登録!CU49</f>
        <v>00</v>
      </c>
      <c r="M52" s="704" t="str">
        <f>前年度登録!Q49</f>
        <v/>
      </c>
      <c r="N52" s="1289">
        <f>前年度登録!D49</f>
        <v>0</v>
      </c>
      <c r="O52" s="1282"/>
      <c r="P52" s="258" t="str">
        <f>IF(O52="","",IF(I52=1,VLOOKUP(O52,男子種目コード!$J$1:$K$16,2,FALSE),IF(I52=2,VLOOKUP(O52,女子種目コード!$J$1:$K$16,2,FALSE))))</f>
        <v/>
      </c>
      <c r="Q52" s="494" t="str">
        <f>IF(O52="","",HLOOKUP(O52,前年度登録!$AH$3:$CH$118,47,FALSE))</f>
        <v/>
      </c>
      <c r="R52" s="624" t="str">
        <f t="shared" si="5"/>
        <v/>
      </c>
      <c r="S52" s="625" t="str">
        <f t="shared" si="6"/>
        <v/>
      </c>
      <c r="T52" s="259"/>
      <c r="U52" s="710" t="str">
        <f>IF(T52="","",IF(I52=1,VLOOKUP(T52,男子種目コード!$J$17:$K$19,2,FALSE),IF(I52=2,VLOOKUP(T52,女子種目コード!$J$17:$K$19,2,FALSE))))</f>
        <v/>
      </c>
      <c r="V52" s="628"/>
      <c r="W52" s="624" t="str">
        <f t="shared" si="7"/>
        <v/>
      </c>
      <c r="X52" s="625" t="str">
        <f t="shared" si="8"/>
        <v/>
      </c>
      <c r="Y52" s="633"/>
      <c r="Z52" s="711" t="str">
        <f>IF(Y52="","",IF(I52=1,VLOOKUP(Y52,男子種目コード!$D$2:$E$16,2,FALSE),IF(I52=2,VLOOKUP(Y52,女子種目コード!$D$2:$E$16,2,FALSE))))</f>
        <v/>
      </c>
      <c r="AA52" s="630"/>
      <c r="AB52" s="634"/>
      <c r="AC52" s="712" t="str">
        <f>IF(AB52="","",IF(I52=1,VLOOKUP(AB52,男子種目コード!$D$2:$E$16,2,FALSE),IF(I52=2,VLOOKUP(AB52,女子種目コード!$D$2:$E$16,2,FALSE))))</f>
        <v/>
      </c>
      <c r="AD52" s="705"/>
      <c r="AE52" s="635"/>
      <c r="AF52" s="712"/>
      <c r="AG52" s="706"/>
      <c r="AH52" s="657"/>
      <c r="AI52" s="657"/>
      <c r="AK52" s="730"/>
      <c r="AL52" s="652" t="str">
        <f t="shared" si="9"/>
        <v/>
      </c>
      <c r="AM52" s="662"/>
      <c r="AN52" s="662"/>
      <c r="AO52" s="662"/>
      <c r="AP52" s="662"/>
      <c r="AQ52" s="662"/>
      <c r="AR52" s="662"/>
      <c r="AS52" s="662"/>
      <c r="AT52" s="707">
        <f t="shared" si="17"/>
        <v>0</v>
      </c>
      <c r="AU52" s="662"/>
      <c r="AV52" s="652">
        <f t="shared" si="18"/>
        <v>0</v>
      </c>
      <c r="AW52" s="652" t="str">
        <f t="shared" si="19"/>
        <v/>
      </c>
      <c r="AX52" s="652" t="str">
        <f t="shared" si="20"/>
        <v/>
      </c>
      <c r="AY52" s="662"/>
      <c r="AZ52" s="662"/>
      <c r="BA52" s="662"/>
      <c r="BB52" s="662"/>
      <c r="BG52" s="662"/>
      <c r="BH52" s="1037"/>
      <c r="BI52" s="1037"/>
      <c r="BJ52" s="1037"/>
      <c r="BK52" s="1037"/>
      <c r="BL52" s="1037"/>
    </row>
    <row r="53" spans="1:64">
      <c r="A53" s="698">
        <f t="shared" si="4"/>
        <v>0</v>
      </c>
      <c r="B53" s="704" t="str">
        <f>前年度登録!P50</f>
        <v/>
      </c>
      <c r="C53" s="708"/>
      <c r="D53" s="708"/>
      <c r="E53" s="709">
        <f>前年度登録!E50</f>
        <v>0</v>
      </c>
      <c r="F53" s="557" t="str">
        <f>前年度登録!CM50</f>
        <v/>
      </c>
      <c r="G53" s="993" t="str">
        <f>前年度登録!Z50</f>
        <v/>
      </c>
      <c r="H53" s="534" t="str">
        <f>前年度登録!CM50</f>
        <v/>
      </c>
      <c r="I53" s="257" t="str">
        <f>前年度登録!Y50</f>
        <v/>
      </c>
      <c r="J53" s="323" t="str">
        <f>前年度登録!CN50</f>
        <v/>
      </c>
      <c r="K53" s="1288">
        <f>前年度登録!CP50</f>
        <v>0</v>
      </c>
      <c r="L53" s="896" t="str">
        <f>前年度登録!CU50</f>
        <v>00</v>
      </c>
      <c r="M53" s="704" t="str">
        <f>前年度登録!Q50</f>
        <v/>
      </c>
      <c r="N53" s="1289">
        <f>前年度登録!D50</f>
        <v>0</v>
      </c>
      <c r="O53" s="1282"/>
      <c r="P53" s="258" t="str">
        <f>IF(O53="","",IF(I53=1,VLOOKUP(O53,男子種目コード!$J$1:$K$16,2,FALSE),IF(I53=2,VLOOKUP(O53,女子種目コード!$J$1:$K$16,2,FALSE))))</f>
        <v/>
      </c>
      <c r="Q53" s="494" t="str">
        <f>IF(O53="","",HLOOKUP(O53,前年度登録!$AH$3:$CH$118,48,FALSE))</f>
        <v/>
      </c>
      <c r="R53" s="624" t="str">
        <f t="shared" si="5"/>
        <v/>
      </c>
      <c r="S53" s="625" t="str">
        <f t="shared" si="6"/>
        <v/>
      </c>
      <c r="T53" s="259"/>
      <c r="U53" s="710" t="str">
        <f>IF(T53="","",IF(I53=1,VLOOKUP(T53,男子種目コード!$J$17:$K$19,2,FALSE),IF(I53=2,VLOOKUP(T53,女子種目コード!$J$17:$K$19,2,FALSE))))</f>
        <v/>
      </c>
      <c r="V53" s="628"/>
      <c r="W53" s="624" t="str">
        <f t="shared" si="7"/>
        <v/>
      </c>
      <c r="X53" s="625" t="str">
        <f t="shared" si="8"/>
        <v/>
      </c>
      <c r="Y53" s="633"/>
      <c r="Z53" s="711" t="str">
        <f>IF(Y53="","",IF(I53=1,VLOOKUP(Y53,男子種目コード!$D$2:$E$16,2,FALSE),IF(I53=2,VLOOKUP(Y53,女子種目コード!$D$2:$E$16,2,FALSE))))</f>
        <v/>
      </c>
      <c r="AA53" s="630"/>
      <c r="AB53" s="634"/>
      <c r="AC53" s="712" t="str">
        <f>IF(AB53="","",IF(I53=1,VLOOKUP(AB53,男子種目コード!$D$2:$E$16,2,FALSE),IF(I53=2,VLOOKUP(AB53,女子種目コード!$D$2:$E$16,2,FALSE))))</f>
        <v/>
      </c>
      <c r="AD53" s="705"/>
      <c r="AE53" s="635"/>
      <c r="AF53" s="712"/>
      <c r="AG53" s="706"/>
      <c r="AH53" s="657"/>
      <c r="AI53" s="657"/>
      <c r="AK53" s="730"/>
      <c r="AL53" s="652" t="str">
        <f t="shared" si="9"/>
        <v/>
      </c>
      <c r="AM53" s="662"/>
      <c r="AN53" s="662"/>
      <c r="AO53" s="662"/>
      <c r="AP53" s="662"/>
      <c r="AQ53" s="662"/>
      <c r="AR53" s="662"/>
      <c r="AS53" s="662"/>
      <c r="AT53" s="707">
        <f t="shared" si="17"/>
        <v>0</v>
      </c>
      <c r="AU53" s="662"/>
      <c r="AV53" s="652">
        <f t="shared" si="18"/>
        <v>0</v>
      </c>
      <c r="AW53" s="652" t="str">
        <f t="shared" si="19"/>
        <v/>
      </c>
      <c r="AX53" s="652" t="str">
        <f t="shared" si="20"/>
        <v/>
      </c>
      <c r="AY53" s="662"/>
      <c r="AZ53" s="662"/>
      <c r="BA53" s="662"/>
      <c r="BB53" s="662"/>
      <c r="BG53" s="662"/>
      <c r="BH53" s="1037"/>
      <c r="BI53" s="1037"/>
      <c r="BJ53" s="1037"/>
      <c r="BK53" s="1037"/>
      <c r="BL53" s="1037"/>
    </row>
    <row r="54" spans="1:64">
      <c r="A54" s="698">
        <f t="shared" si="4"/>
        <v>0</v>
      </c>
      <c r="B54" s="704" t="str">
        <f>前年度登録!P51</f>
        <v/>
      </c>
      <c r="C54" s="708"/>
      <c r="D54" s="708"/>
      <c r="E54" s="709">
        <f>前年度登録!E51</f>
        <v>0</v>
      </c>
      <c r="F54" s="557" t="str">
        <f>前年度登録!CM51</f>
        <v/>
      </c>
      <c r="G54" s="993" t="str">
        <f>前年度登録!Z51</f>
        <v/>
      </c>
      <c r="H54" s="534" t="str">
        <f>前年度登録!CM51</f>
        <v/>
      </c>
      <c r="I54" s="257" t="str">
        <f>前年度登録!Y51</f>
        <v/>
      </c>
      <c r="J54" s="323" t="str">
        <f>前年度登録!CN51</f>
        <v/>
      </c>
      <c r="K54" s="1288">
        <f>前年度登録!CP51</f>
        <v>0</v>
      </c>
      <c r="L54" s="896" t="str">
        <f>前年度登録!CU51</f>
        <v>00</v>
      </c>
      <c r="M54" s="704" t="str">
        <f>前年度登録!Q51</f>
        <v/>
      </c>
      <c r="N54" s="1289">
        <f>前年度登録!D51</f>
        <v>0</v>
      </c>
      <c r="O54" s="1282"/>
      <c r="P54" s="258" t="str">
        <f>IF(O54="","",IF(I54=1,VLOOKUP(O54,男子種目コード!$J$1:$K$16,2,FALSE),IF(I54=2,VLOOKUP(O54,女子種目コード!$J$1:$K$16,2,FALSE))))</f>
        <v/>
      </c>
      <c r="Q54" s="494" t="str">
        <f>IF(O54="","",HLOOKUP(O54,前年度登録!$AH$3:$CH$118,49,FALSE))</f>
        <v/>
      </c>
      <c r="R54" s="624" t="str">
        <f t="shared" si="5"/>
        <v/>
      </c>
      <c r="S54" s="625" t="str">
        <f t="shared" si="6"/>
        <v/>
      </c>
      <c r="T54" s="259"/>
      <c r="U54" s="710" t="str">
        <f>IF(T54="","",IF(I54=1,VLOOKUP(T54,男子種目コード!$J$17:$K$19,2,FALSE),IF(I54=2,VLOOKUP(T54,女子種目コード!$J$17:$K$19,2,FALSE))))</f>
        <v/>
      </c>
      <c r="V54" s="628"/>
      <c r="W54" s="624" t="str">
        <f t="shared" si="7"/>
        <v/>
      </c>
      <c r="X54" s="625" t="str">
        <f t="shared" si="8"/>
        <v/>
      </c>
      <c r="Y54" s="633"/>
      <c r="Z54" s="711" t="str">
        <f>IF(Y54="","",IF(I54=1,VLOOKUP(Y54,男子種目コード!$D$2:$E$16,2,FALSE),IF(I54=2,VLOOKUP(Y54,女子種目コード!$D$2:$E$16,2,FALSE))))</f>
        <v/>
      </c>
      <c r="AA54" s="630"/>
      <c r="AB54" s="634"/>
      <c r="AC54" s="712" t="str">
        <f>IF(AB54="","",IF(I54=1,VLOOKUP(AB54,男子種目コード!$D$2:$E$16,2,FALSE),IF(I54=2,VLOOKUP(AB54,女子種目コード!$D$2:$E$16,2,FALSE))))</f>
        <v/>
      </c>
      <c r="AD54" s="705"/>
      <c r="AE54" s="635"/>
      <c r="AF54" s="712"/>
      <c r="AG54" s="706"/>
      <c r="AH54" s="657"/>
      <c r="AI54" s="657"/>
      <c r="AK54" s="730"/>
      <c r="AL54" s="652" t="str">
        <f t="shared" si="9"/>
        <v/>
      </c>
      <c r="AM54" s="662"/>
      <c r="AN54" s="662"/>
      <c r="AO54" s="662"/>
      <c r="AP54" s="662"/>
      <c r="AQ54" s="662"/>
      <c r="AR54" s="662"/>
      <c r="AS54" s="662"/>
      <c r="AT54" s="707">
        <f t="shared" si="17"/>
        <v>0</v>
      </c>
      <c r="AU54" s="662"/>
      <c r="AV54" s="652">
        <f t="shared" si="18"/>
        <v>0</v>
      </c>
      <c r="AW54" s="652" t="str">
        <f t="shared" si="19"/>
        <v/>
      </c>
      <c r="AX54" s="652" t="str">
        <f t="shared" si="20"/>
        <v/>
      </c>
      <c r="AY54" s="662"/>
      <c r="AZ54" s="662"/>
      <c r="BA54" s="662"/>
      <c r="BB54" s="662"/>
      <c r="BG54" s="662"/>
      <c r="BH54" s="1037"/>
      <c r="BI54" s="1037"/>
      <c r="BJ54" s="1037"/>
      <c r="BK54" s="1037"/>
      <c r="BL54" s="1037"/>
    </row>
    <row r="55" spans="1:64">
      <c r="A55" s="698">
        <f t="shared" si="4"/>
        <v>0</v>
      </c>
      <c r="B55" s="704" t="str">
        <f>前年度登録!P52</f>
        <v/>
      </c>
      <c r="C55" s="708"/>
      <c r="D55" s="708"/>
      <c r="E55" s="709">
        <f>前年度登録!E52</f>
        <v>0</v>
      </c>
      <c r="F55" s="557" t="str">
        <f>前年度登録!CM52</f>
        <v/>
      </c>
      <c r="G55" s="993" t="str">
        <f>前年度登録!Z52</f>
        <v/>
      </c>
      <c r="H55" s="534" t="str">
        <f>前年度登録!CM52</f>
        <v/>
      </c>
      <c r="I55" s="257" t="str">
        <f>前年度登録!Y52</f>
        <v/>
      </c>
      <c r="J55" s="323" t="str">
        <f>前年度登録!CN52</f>
        <v/>
      </c>
      <c r="K55" s="1288">
        <f>前年度登録!CP52</f>
        <v>0</v>
      </c>
      <c r="L55" s="896" t="str">
        <f>前年度登録!CU52</f>
        <v>00</v>
      </c>
      <c r="M55" s="704" t="str">
        <f>前年度登録!Q52</f>
        <v/>
      </c>
      <c r="N55" s="1289">
        <f>前年度登録!D52</f>
        <v>0</v>
      </c>
      <c r="O55" s="1282"/>
      <c r="P55" s="258" t="str">
        <f>IF(O55="","",IF(I55=1,VLOOKUP(O55,男子種目コード!$J$1:$K$16,2,FALSE),IF(I55=2,VLOOKUP(O55,女子種目コード!$J$1:$K$16,2,FALSE))))</f>
        <v/>
      </c>
      <c r="Q55" s="494" t="str">
        <f>IF(O55="","",HLOOKUP(O55,前年度登録!$AH$3:$CH$118,50,FALSE))</f>
        <v/>
      </c>
      <c r="R55" s="624" t="str">
        <f t="shared" si="5"/>
        <v/>
      </c>
      <c r="S55" s="625" t="str">
        <f t="shared" si="6"/>
        <v/>
      </c>
      <c r="T55" s="259"/>
      <c r="U55" s="710" t="str">
        <f>IF(T55="","",IF(I55=1,VLOOKUP(T55,男子種目コード!$J$17:$K$19,2,FALSE),IF(I55=2,VLOOKUP(T55,女子種目コード!$J$17:$K$19,2,FALSE))))</f>
        <v/>
      </c>
      <c r="V55" s="628"/>
      <c r="W55" s="624" t="str">
        <f t="shared" si="7"/>
        <v/>
      </c>
      <c r="X55" s="625" t="str">
        <f t="shared" si="8"/>
        <v/>
      </c>
      <c r="Y55" s="633"/>
      <c r="Z55" s="711" t="str">
        <f>IF(Y55="","",IF(I55=1,VLOOKUP(Y55,男子種目コード!$D$2:$E$16,2,FALSE),IF(I55=2,VLOOKUP(Y55,女子種目コード!$D$2:$E$16,2,FALSE))))</f>
        <v/>
      </c>
      <c r="AA55" s="630"/>
      <c r="AB55" s="634"/>
      <c r="AC55" s="712" t="str">
        <f>IF(AB55="","",IF(I55=1,VLOOKUP(AB55,男子種目コード!$D$2:$E$16,2,FALSE),IF(I55=2,VLOOKUP(AB55,女子種目コード!$D$2:$E$16,2,FALSE))))</f>
        <v/>
      </c>
      <c r="AD55" s="705"/>
      <c r="AE55" s="635"/>
      <c r="AF55" s="712"/>
      <c r="AG55" s="706"/>
      <c r="AH55" s="657"/>
      <c r="AI55" s="657"/>
      <c r="AK55" s="730"/>
      <c r="AL55" s="652" t="str">
        <f t="shared" si="9"/>
        <v/>
      </c>
      <c r="AM55" s="662"/>
      <c r="AN55" s="662"/>
      <c r="AO55" s="662"/>
      <c r="AP55" s="662"/>
      <c r="AQ55" s="662"/>
      <c r="AR55" s="662"/>
      <c r="AS55" s="662"/>
      <c r="AT55" s="707">
        <f t="shared" si="17"/>
        <v>0</v>
      </c>
      <c r="AU55" s="662"/>
      <c r="AV55" s="652">
        <f t="shared" si="18"/>
        <v>0</v>
      </c>
      <c r="AW55" s="652" t="str">
        <f t="shared" si="19"/>
        <v/>
      </c>
      <c r="AX55" s="652" t="str">
        <f t="shared" si="20"/>
        <v/>
      </c>
      <c r="AY55" s="662"/>
      <c r="AZ55" s="662"/>
      <c r="BA55" s="662"/>
      <c r="BB55" s="662"/>
      <c r="BG55" s="662"/>
      <c r="BH55" s="1037"/>
      <c r="BI55" s="1037"/>
      <c r="BJ55" s="1037"/>
      <c r="BK55" s="1037"/>
      <c r="BL55" s="1037"/>
    </row>
    <row r="56" spans="1:64">
      <c r="A56" s="698">
        <f t="shared" si="4"/>
        <v>0</v>
      </c>
      <c r="B56" s="704" t="str">
        <f>前年度登録!P53</f>
        <v/>
      </c>
      <c r="C56" s="708"/>
      <c r="D56" s="708"/>
      <c r="E56" s="709">
        <f>前年度登録!E53</f>
        <v>0</v>
      </c>
      <c r="F56" s="557" t="str">
        <f>前年度登録!CM53</f>
        <v/>
      </c>
      <c r="G56" s="993" t="str">
        <f>前年度登録!Z53</f>
        <v/>
      </c>
      <c r="H56" s="534" t="str">
        <f>前年度登録!CM53</f>
        <v/>
      </c>
      <c r="I56" s="257" t="str">
        <f>前年度登録!Y53</f>
        <v/>
      </c>
      <c r="J56" s="323" t="str">
        <f>前年度登録!CN53</f>
        <v/>
      </c>
      <c r="K56" s="1288">
        <f>前年度登録!CP53</f>
        <v>0</v>
      </c>
      <c r="L56" s="896" t="str">
        <f>前年度登録!CU53</f>
        <v>00</v>
      </c>
      <c r="M56" s="704" t="str">
        <f>前年度登録!Q53</f>
        <v/>
      </c>
      <c r="N56" s="1289">
        <f>前年度登録!D53</f>
        <v>0</v>
      </c>
      <c r="O56" s="1282"/>
      <c r="P56" s="258" t="str">
        <f>IF(O56="","",IF(I56=1,VLOOKUP(O56,男子種目コード!$J$1:$K$16,2,FALSE),IF(I56=2,VLOOKUP(O56,女子種目コード!$J$1:$K$16,2,FALSE))))</f>
        <v/>
      </c>
      <c r="Q56" s="494" t="str">
        <f>IF(O56="","",HLOOKUP(O56,前年度登録!$AH$3:$CH$118,51,FALSE))</f>
        <v/>
      </c>
      <c r="R56" s="624" t="str">
        <f t="shared" si="5"/>
        <v/>
      </c>
      <c r="S56" s="625" t="str">
        <f t="shared" si="6"/>
        <v/>
      </c>
      <c r="T56" s="259"/>
      <c r="U56" s="710" t="str">
        <f>IF(T56="","",IF(I56=1,VLOOKUP(T56,男子種目コード!$J$17:$K$19,2,FALSE),IF(I56=2,VLOOKUP(T56,女子種目コード!$J$17:$K$19,2,FALSE))))</f>
        <v/>
      </c>
      <c r="V56" s="628"/>
      <c r="W56" s="624" t="str">
        <f t="shared" si="7"/>
        <v/>
      </c>
      <c r="X56" s="625" t="str">
        <f t="shared" si="8"/>
        <v/>
      </c>
      <c r="Y56" s="633"/>
      <c r="Z56" s="711" t="str">
        <f>IF(Y56="","",IF(I56=1,VLOOKUP(Y56,男子種目コード!$D$2:$E$16,2,FALSE),IF(I56=2,VLOOKUP(Y56,女子種目コード!$D$2:$E$16,2,FALSE))))</f>
        <v/>
      </c>
      <c r="AA56" s="630"/>
      <c r="AB56" s="634"/>
      <c r="AC56" s="712" t="str">
        <f>IF(AB56="","",IF(I56=1,VLOOKUP(AB56,男子種目コード!$D$2:$E$16,2,FALSE),IF(I56=2,VLOOKUP(AB56,女子種目コード!$D$2:$E$16,2,FALSE))))</f>
        <v/>
      </c>
      <c r="AD56" s="705"/>
      <c r="AE56" s="635"/>
      <c r="AF56" s="712"/>
      <c r="AG56" s="706"/>
      <c r="AH56" s="657"/>
      <c r="AI56" s="657"/>
      <c r="AK56" s="730"/>
      <c r="AL56" s="652" t="str">
        <f t="shared" si="9"/>
        <v/>
      </c>
      <c r="AM56" s="662"/>
      <c r="AN56" s="662"/>
      <c r="AO56" s="662"/>
      <c r="AP56" s="662"/>
      <c r="AQ56" s="662"/>
      <c r="AR56" s="662"/>
      <c r="AS56" s="662"/>
      <c r="AT56" s="707">
        <f t="shared" si="17"/>
        <v>0</v>
      </c>
      <c r="AU56" s="662"/>
      <c r="AV56" s="652">
        <f t="shared" si="18"/>
        <v>0</v>
      </c>
      <c r="AW56" s="652" t="str">
        <f t="shared" si="19"/>
        <v/>
      </c>
      <c r="AX56" s="652" t="str">
        <f t="shared" si="20"/>
        <v/>
      </c>
      <c r="AY56" s="662"/>
      <c r="AZ56" s="662"/>
      <c r="BA56" s="662"/>
      <c r="BB56" s="662"/>
      <c r="BG56" s="662"/>
      <c r="BH56" s="1037"/>
      <c r="BI56" s="1037"/>
      <c r="BJ56" s="1037"/>
      <c r="BK56" s="1037"/>
      <c r="BL56" s="1037"/>
    </row>
    <row r="57" spans="1:64">
      <c r="A57" s="698">
        <f t="shared" si="4"/>
        <v>0</v>
      </c>
      <c r="B57" s="704" t="str">
        <f>前年度登録!P54</f>
        <v/>
      </c>
      <c r="C57" s="708"/>
      <c r="D57" s="708"/>
      <c r="E57" s="709">
        <f>前年度登録!E54</f>
        <v>0</v>
      </c>
      <c r="F57" s="557" t="str">
        <f>前年度登録!CM54</f>
        <v/>
      </c>
      <c r="G57" s="993" t="str">
        <f>前年度登録!Z54</f>
        <v/>
      </c>
      <c r="H57" s="534" t="str">
        <f>前年度登録!CM54</f>
        <v/>
      </c>
      <c r="I57" s="257" t="str">
        <f>前年度登録!Y54</f>
        <v/>
      </c>
      <c r="J57" s="323" t="str">
        <f>前年度登録!CN54</f>
        <v/>
      </c>
      <c r="K57" s="1288">
        <f>前年度登録!CP54</f>
        <v>0</v>
      </c>
      <c r="L57" s="896" t="str">
        <f>前年度登録!CU54</f>
        <v>00</v>
      </c>
      <c r="M57" s="704" t="str">
        <f>前年度登録!Q54</f>
        <v/>
      </c>
      <c r="N57" s="1289">
        <f>前年度登録!D54</f>
        <v>0</v>
      </c>
      <c r="O57" s="1282"/>
      <c r="P57" s="258" t="str">
        <f>IF(O57="","",IF(I57=1,VLOOKUP(O57,男子種目コード!$J$1:$K$16,2,FALSE),IF(I57=2,VLOOKUP(O57,女子種目コード!$J$1:$K$16,2,FALSE))))</f>
        <v/>
      </c>
      <c r="Q57" s="494" t="str">
        <f>IF(O57="","",HLOOKUP(O57,前年度登録!$AH$3:$CH$118,52,FALSE))</f>
        <v/>
      </c>
      <c r="R57" s="624" t="str">
        <f t="shared" si="5"/>
        <v/>
      </c>
      <c r="S57" s="625" t="str">
        <f t="shared" si="6"/>
        <v/>
      </c>
      <c r="T57" s="259"/>
      <c r="U57" s="710" t="str">
        <f>IF(T57="","",IF(I57=1,VLOOKUP(T57,男子種目コード!$J$17:$K$19,2,FALSE),IF(I57=2,VLOOKUP(T57,女子種目コード!$J$17:$K$19,2,FALSE))))</f>
        <v/>
      </c>
      <c r="V57" s="628"/>
      <c r="W57" s="624" t="str">
        <f t="shared" si="7"/>
        <v/>
      </c>
      <c r="X57" s="625" t="str">
        <f t="shared" si="8"/>
        <v/>
      </c>
      <c r="Y57" s="633"/>
      <c r="Z57" s="711" t="str">
        <f>IF(Y57="","",IF(I57=1,VLOOKUP(Y57,男子種目コード!$D$2:$E$16,2,FALSE),IF(I57=2,VLOOKUP(Y57,女子種目コード!$D$2:$E$16,2,FALSE))))</f>
        <v/>
      </c>
      <c r="AA57" s="630"/>
      <c r="AB57" s="634"/>
      <c r="AC57" s="712" t="str">
        <f>IF(AB57="","",IF(I57=1,VLOOKUP(AB57,男子種目コード!$D$2:$E$16,2,FALSE),IF(I57=2,VLOOKUP(AB57,女子種目コード!$D$2:$E$16,2,FALSE))))</f>
        <v/>
      </c>
      <c r="AD57" s="705"/>
      <c r="AE57" s="635"/>
      <c r="AF57" s="712"/>
      <c r="AG57" s="706"/>
      <c r="AH57" s="657"/>
      <c r="AI57" s="657"/>
      <c r="AK57" s="730"/>
      <c r="AL57" s="652" t="str">
        <f t="shared" si="9"/>
        <v/>
      </c>
      <c r="AM57" s="662"/>
      <c r="AN57" s="662"/>
      <c r="AO57" s="662"/>
      <c r="AP57" s="662"/>
      <c r="AQ57" s="662"/>
      <c r="AR57" s="662"/>
      <c r="AS57" s="662"/>
      <c r="AT57" s="707">
        <f t="shared" si="17"/>
        <v>0</v>
      </c>
      <c r="AU57" s="662"/>
      <c r="AV57" s="652">
        <f t="shared" si="18"/>
        <v>0</v>
      </c>
      <c r="AW57" s="652" t="str">
        <f t="shared" si="19"/>
        <v/>
      </c>
      <c r="AX57" s="652" t="str">
        <f t="shared" si="20"/>
        <v/>
      </c>
      <c r="AY57" s="662"/>
      <c r="AZ57" s="662"/>
      <c r="BA57" s="662"/>
      <c r="BB57" s="662"/>
      <c r="BG57" s="662"/>
      <c r="BH57" s="1037"/>
      <c r="BI57" s="1037"/>
      <c r="BJ57" s="1037"/>
      <c r="BK57" s="1037"/>
      <c r="BL57" s="1037"/>
    </row>
    <row r="58" spans="1:64">
      <c r="A58" s="698">
        <f t="shared" si="4"/>
        <v>0</v>
      </c>
      <c r="B58" s="704" t="str">
        <f>前年度登録!P55</f>
        <v/>
      </c>
      <c r="C58" s="708"/>
      <c r="D58" s="708"/>
      <c r="E58" s="709">
        <f>前年度登録!E55</f>
        <v>0</v>
      </c>
      <c r="F58" s="557" t="str">
        <f>前年度登録!CM55</f>
        <v/>
      </c>
      <c r="G58" s="993" t="str">
        <f>前年度登録!Z55</f>
        <v/>
      </c>
      <c r="H58" s="534" t="str">
        <f>前年度登録!CM55</f>
        <v/>
      </c>
      <c r="I58" s="257" t="str">
        <f>前年度登録!Y55</f>
        <v/>
      </c>
      <c r="J58" s="323" t="str">
        <f>前年度登録!CN55</f>
        <v/>
      </c>
      <c r="K58" s="1288">
        <f>前年度登録!CP55</f>
        <v>0</v>
      </c>
      <c r="L58" s="896" t="str">
        <f>前年度登録!CU55</f>
        <v>00</v>
      </c>
      <c r="M58" s="704" t="str">
        <f>前年度登録!Q55</f>
        <v/>
      </c>
      <c r="N58" s="1289">
        <f>前年度登録!D55</f>
        <v>0</v>
      </c>
      <c r="O58" s="1282"/>
      <c r="P58" s="258" t="str">
        <f>IF(O58="","",IF(I58=1,VLOOKUP(O58,男子種目コード!$J$1:$K$16,2,FALSE),IF(I58=2,VLOOKUP(O58,女子種目コード!$J$1:$K$16,2,FALSE))))</f>
        <v/>
      </c>
      <c r="Q58" s="494" t="str">
        <f>IF(O58="","",HLOOKUP(O58,前年度登録!$AH$3:$CH$118,53,FALSE))</f>
        <v/>
      </c>
      <c r="R58" s="624" t="str">
        <f t="shared" si="5"/>
        <v/>
      </c>
      <c r="S58" s="625" t="str">
        <f t="shared" si="6"/>
        <v/>
      </c>
      <c r="T58" s="259"/>
      <c r="U58" s="710" t="str">
        <f>IF(T58="","",IF(I58=1,VLOOKUP(T58,男子種目コード!$J$17:$K$19,2,FALSE),IF(I58=2,VLOOKUP(T58,女子種目コード!$J$17:$K$19,2,FALSE))))</f>
        <v/>
      </c>
      <c r="V58" s="628"/>
      <c r="W58" s="624" t="str">
        <f t="shared" si="7"/>
        <v/>
      </c>
      <c r="X58" s="625" t="str">
        <f t="shared" si="8"/>
        <v/>
      </c>
      <c r="Y58" s="633"/>
      <c r="Z58" s="711" t="str">
        <f>IF(Y58="","",IF(I58=1,VLOOKUP(Y58,男子種目コード!$D$2:$E$16,2,FALSE),IF(I58=2,VLOOKUP(Y58,女子種目コード!$D$2:$E$16,2,FALSE))))</f>
        <v/>
      </c>
      <c r="AA58" s="630"/>
      <c r="AB58" s="634"/>
      <c r="AC58" s="712" t="str">
        <f>IF(AB58="","",IF(I58=1,VLOOKUP(AB58,男子種目コード!$D$2:$E$16,2,FALSE),IF(I58=2,VLOOKUP(AB58,女子種目コード!$D$2:$E$16,2,FALSE))))</f>
        <v/>
      </c>
      <c r="AD58" s="705"/>
      <c r="AE58" s="635"/>
      <c r="AF58" s="712"/>
      <c r="AG58" s="706"/>
      <c r="AH58" s="657"/>
      <c r="AI58" s="657"/>
      <c r="AK58" s="730"/>
      <c r="AL58" s="652" t="str">
        <f t="shared" si="9"/>
        <v/>
      </c>
      <c r="AM58" s="662"/>
      <c r="AN58" s="662"/>
      <c r="AO58" s="662"/>
      <c r="AP58" s="662"/>
      <c r="AQ58" s="662"/>
      <c r="AR58" s="662"/>
      <c r="AS58" s="662"/>
      <c r="AT58" s="707">
        <f t="shared" si="17"/>
        <v>0</v>
      </c>
      <c r="AU58" s="662"/>
      <c r="AV58" s="652">
        <f t="shared" si="18"/>
        <v>0</v>
      </c>
      <c r="AW58" s="652" t="str">
        <f t="shared" si="19"/>
        <v/>
      </c>
      <c r="AX58" s="652" t="str">
        <f t="shared" si="20"/>
        <v/>
      </c>
      <c r="AY58" s="662"/>
      <c r="AZ58" s="662"/>
      <c r="BA58" s="662"/>
      <c r="BB58" s="662"/>
      <c r="BG58" s="662"/>
      <c r="BH58" s="1037"/>
      <c r="BI58" s="1037"/>
      <c r="BJ58" s="1037"/>
      <c r="BK58" s="1037"/>
      <c r="BL58" s="1037"/>
    </row>
    <row r="59" spans="1:64">
      <c r="A59" s="698">
        <f t="shared" si="4"/>
        <v>0</v>
      </c>
      <c r="B59" s="704" t="str">
        <f>前年度登録!P56</f>
        <v/>
      </c>
      <c r="C59" s="708"/>
      <c r="D59" s="708"/>
      <c r="E59" s="709">
        <f>前年度登録!E56</f>
        <v>0</v>
      </c>
      <c r="F59" s="557" t="str">
        <f>前年度登録!CM56</f>
        <v/>
      </c>
      <c r="G59" s="993" t="str">
        <f>前年度登録!Z56</f>
        <v/>
      </c>
      <c r="H59" s="534" t="str">
        <f>前年度登録!CM56</f>
        <v/>
      </c>
      <c r="I59" s="257" t="str">
        <f>前年度登録!Y56</f>
        <v/>
      </c>
      <c r="J59" s="323" t="str">
        <f>前年度登録!CN56</f>
        <v/>
      </c>
      <c r="K59" s="1288">
        <f>前年度登録!CP56</f>
        <v>0</v>
      </c>
      <c r="L59" s="896" t="str">
        <f>前年度登録!CU56</f>
        <v>00</v>
      </c>
      <c r="M59" s="704" t="str">
        <f>前年度登録!Q56</f>
        <v/>
      </c>
      <c r="N59" s="1289">
        <f>前年度登録!D56</f>
        <v>0</v>
      </c>
      <c r="O59" s="1282"/>
      <c r="P59" s="258" t="str">
        <f>IF(O59="","",IF(I59=1,VLOOKUP(O59,男子種目コード!$J$1:$K$16,2,FALSE),IF(I59=2,VLOOKUP(O59,女子種目コード!$J$1:$K$16,2,FALSE))))</f>
        <v/>
      </c>
      <c r="Q59" s="494" t="str">
        <f>IF(O59="","",HLOOKUP(O59,前年度登録!$AH$3:$CH$118,54,FALSE))</f>
        <v/>
      </c>
      <c r="R59" s="624" t="str">
        <f t="shared" si="5"/>
        <v/>
      </c>
      <c r="S59" s="625" t="str">
        <f t="shared" si="6"/>
        <v/>
      </c>
      <c r="T59" s="259"/>
      <c r="U59" s="710" t="str">
        <f>IF(T59="","",IF(I59=1,VLOOKUP(T59,男子種目コード!$J$17:$K$19,2,FALSE),IF(I59=2,VLOOKUP(T59,女子種目コード!$J$17:$K$19,2,FALSE))))</f>
        <v/>
      </c>
      <c r="V59" s="628"/>
      <c r="W59" s="624" t="str">
        <f t="shared" si="7"/>
        <v/>
      </c>
      <c r="X59" s="625" t="str">
        <f t="shared" si="8"/>
        <v/>
      </c>
      <c r="Y59" s="633"/>
      <c r="Z59" s="711" t="str">
        <f>IF(Y59="","",IF(I59=1,VLOOKUP(Y59,男子種目コード!$D$2:$E$16,2,FALSE),IF(I59=2,VLOOKUP(Y59,女子種目コード!$D$2:$E$16,2,FALSE))))</f>
        <v/>
      </c>
      <c r="AA59" s="630"/>
      <c r="AB59" s="634"/>
      <c r="AC59" s="712" t="str">
        <f>IF(AB59="","",IF(I59=1,VLOOKUP(AB59,男子種目コード!$D$2:$E$16,2,FALSE),IF(I59=2,VLOOKUP(AB59,女子種目コード!$D$2:$E$16,2,FALSE))))</f>
        <v/>
      </c>
      <c r="AD59" s="705"/>
      <c r="AE59" s="635"/>
      <c r="AF59" s="712"/>
      <c r="AG59" s="706"/>
      <c r="AH59" s="657"/>
      <c r="AI59" s="657"/>
      <c r="AK59" s="730"/>
      <c r="AL59" s="652" t="str">
        <f t="shared" si="9"/>
        <v/>
      </c>
      <c r="AM59" s="662"/>
      <c r="AN59" s="662"/>
      <c r="AO59" s="662"/>
      <c r="AP59" s="662"/>
      <c r="AQ59" s="662"/>
      <c r="AR59" s="662"/>
      <c r="AS59" s="662"/>
      <c r="AT59" s="707">
        <f t="shared" si="17"/>
        <v>0</v>
      </c>
      <c r="AU59" s="662"/>
      <c r="AV59" s="652">
        <f t="shared" si="18"/>
        <v>0</v>
      </c>
      <c r="AW59" s="652" t="str">
        <f t="shared" si="19"/>
        <v/>
      </c>
      <c r="AX59" s="652" t="str">
        <f t="shared" si="20"/>
        <v/>
      </c>
      <c r="AY59" s="662"/>
      <c r="AZ59" s="662"/>
      <c r="BA59" s="662"/>
      <c r="BB59" s="662"/>
      <c r="BG59" s="662"/>
      <c r="BH59" s="1037"/>
      <c r="BI59" s="1037"/>
      <c r="BJ59" s="1037"/>
      <c r="BK59" s="1037"/>
      <c r="BL59" s="1037"/>
    </row>
    <row r="60" spans="1:64">
      <c r="A60" s="698">
        <f t="shared" si="4"/>
        <v>0</v>
      </c>
      <c r="B60" s="704" t="str">
        <f>前年度登録!P57</f>
        <v/>
      </c>
      <c r="C60" s="708"/>
      <c r="D60" s="708"/>
      <c r="E60" s="709">
        <f>前年度登録!E57</f>
        <v>0</v>
      </c>
      <c r="F60" s="557" t="str">
        <f>前年度登録!CM57</f>
        <v/>
      </c>
      <c r="G60" s="993" t="str">
        <f>前年度登録!Z57</f>
        <v/>
      </c>
      <c r="H60" s="534" t="str">
        <f>前年度登録!CM57</f>
        <v/>
      </c>
      <c r="I60" s="257" t="str">
        <f>前年度登録!Y57</f>
        <v/>
      </c>
      <c r="J60" s="323" t="str">
        <f>前年度登録!CN57</f>
        <v/>
      </c>
      <c r="K60" s="1288">
        <f>前年度登録!CP57</f>
        <v>0</v>
      </c>
      <c r="L60" s="896" t="str">
        <f>前年度登録!CU57</f>
        <v>00</v>
      </c>
      <c r="M60" s="704" t="str">
        <f>前年度登録!Q57</f>
        <v/>
      </c>
      <c r="N60" s="1289">
        <f>前年度登録!D57</f>
        <v>0</v>
      </c>
      <c r="O60" s="1282"/>
      <c r="P60" s="258" t="str">
        <f>IF(O60="","",IF(I60=1,VLOOKUP(O60,男子種目コード!$J$1:$K$16,2,FALSE),IF(I60=2,VLOOKUP(O60,女子種目コード!$J$1:$K$16,2,FALSE))))</f>
        <v/>
      </c>
      <c r="Q60" s="494" t="str">
        <f>IF(O60="","",HLOOKUP(O60,前年度登録!$AH$3:$CH$118,55,FALSE))</f>
        <v/>
      </c>
      <c r="R60" s="624" t="str">
        <f t="shared" si="5"/>
        <v/>
      </c>
      <c r="S60" s="625" t="str">
        <f t="shared" si="6"/>
        <v/>
      </c>
      <c r="T60" s="259"/>
      <c r="U60" s="710" t="str">
        <f>IF(T60="","",IF(I60=1,VLOOKUP(T60,男子種目コード!$J$17:$K$19,2,FALSE),IF(I60=2,VLOOKUP(T60,女子種目コード!$J$17:$K$19,2,FALSE))))</f>
        <v/>
      </c>
      <c r="V60" s="628"/>
      <c r="W60" s="624" t="str">
        <f t="shared" si="7"/>
        <v/>
      </c>
      <c r="X60" s="625" t="str">
        <f t="shared" si="8"/>
        <v/>
      </c>
      <c r="Y60" s="633"/>
      <c r="Z60" s="711" t="str">
        <f>IF(Y60="","",IF(I60=1,VLOOKUP(Y60,男子種目コード!$D$2:$E$16,2,FALSE),IF(I60=2,VLOOKUP(Y60,女子種目コード!$D$2:$E$16,2,FALSE))))</f>
        <v/>
      </c>
      <c r="AA60" s="630"/>
      <c r="AB60" s="634"/>
      <c r="AC60" s="712" t="str">
        <f>IF(AB60="","",IF(I60=1,VLOOKUP(AB60,男子種目コード!$D$2:$E$16,2,FALSE),IF(I60=2,VLOOKUP(AB60,女子種目コード!$D$2:$E$16,2,FALSE))))</f>
        <v/>
      </c>
      <c r="AD60" s="705"/>
      <c r="AE60" s="635"/>
      <c r="AF60" s="712"/>
      <c r="AG60" s="706"/>
      <c r="AH60" s="657"/>
      <c r="AI60" s="657"/>
      <c r="AK60" s="730"/>
      <c r="AL60" s="652" t="str">
        <f t="shared" si="9"/>
        <v/>
      </c>
      <c r="AM60" s="662"/>
      <c r="AN60" s="662"/>
      <c r="AO60" s="662"/>
      <c r="AP60" s="662"/>
      <c r="AQ60" s="662"/>
      <c r="AR60" s="662"/>
      <c r="AS60" s="662"/>
      <c r="AT60" s="707">
        <f t="shared" si="17"/>
        <v>0</v>
      </c>
      <c r="AU60" s="662"/>
      <c r="AV60" s="652">
        <f t="shared" si="18"/>
        <v>0</v>
      </c>
      <c r="AW60" s="652" t="str">
        <f t="shared" si="19"/>
        <v/>
      </c>
      <c r="AX60" s="652" t="str">
        <f t="shared" si="20"/>
        <v/>
      </c>
      <c r="AY60" s="662"/>
      <c r="AZ60" s="662"/>
      <c r="BA60" s="662"/>
      <c r="BB60" s="662"/>
      <c r="BG60" s="662"/>
      <c r="BH60" s="1037"/>
      <c r="BI60" s="1037"/>
      <c r="BJ60" s="1037"/>
      <c r="BK60" s="1037"/>
      <c r="BL60" s="1037"/>
    </row>
    <row r="61" spans="1:64">
      <c r="A61" s="698">
        <f t="shared" si="4"/>
        <v>0</v>
      </c>
      <c r="B61" s="704" t="str">
        <f>前年度登録!P58</f>
        <v/>
      </c>
      <c r="C61" s="708"/>
      <c r="D61" s="708"/>
      <c r="E61" s="709">
        <f>前年度登録!E58</f>
        <v>0</v>
      </c>
      <c r="F61" s="557" t="str">
        <f>前年度登録!CM58</f>
        <v/>
      </c>
      <c r="G61" s="993" t="str">
        <f>前年度登録!Z58</f>
        <v/>
      </c>
      <c r="H61" s="534" t="str">
        <f>前年度登録!CM58</f>
        <v/>
      </c>
      <c r="I61" s="257" t="str">
        <f>前年度登録!Y58</f>
        <v/>
      </c>
      <c r="J61" s="323" t="str">
        <f>前年度登録!CN58</f>
        <v/>
      </c>
      <c r="K61" s="1288">
        <f>前年度登録!CP58</f>
        <v>0</v>
      </c>
      <c r="L61" s="896" t="str">
        <f>前年度登録!CU58</f>
        <v>00</v>
      </c>
      <c r="M61" s="704" t="str">
        <f>前年度登録!Q58</f>
        <v/>
      </c>
      <c r="N61" s="1289">
        <f>前年度登録!D58</f>
        <v>0</v>
      </c>
      <c r="O61" s="1282"/>
      <c r="P61" s="258" t="str">
        <f>IF(O61="","",IF(I61=1,VLOOKUP(O61,男子種目コード!$J$1:$K$16,2,FALSE),IF(I61=2,VLOOKUP(O61,女子種目コード!$J$1:$K$16,2,FALSE))))</f>
        <v/>
      </c>
      <c r="Q61" s="494" t="str">
        <f>IF(O61="","",HLOOKUP(O61,前年度登録!$AH$3:$CH$118,56,FALSE))</f>
        <v/>
      </c>
      <c r="R61" s="624" t="str">
        <f t="shared" si="5"/>
        <v/>
      </c>
      <c r="S61" s="625" t="str">
        <f t="shared" si="6"/>
        <v/>
      </c>
      <c r="T61" s="259"/>
      <c r="U61" s="710" t="str">
        <f>IF(T61="","",IF(I61=1,VLOOKUP(T61,男子種目コード!$J$17:$K$19,2,FALSE),IF(I61=2,VLOOKUP(T61,女子種目コード!$J$17:$K$19,2,FALSE))))</f>
        <v/>
      </c>
      <c r="V61" s="628"/>
      <c r="W61" s="624" t="str">
        <f t="shared" si="7"/>
        <v/>
      </c>
      <c r="X61" s="625" t="str">
        <f t="shared" si="8"/>
        <v/>
      </c>
      <c r="Y61" s="633"/>
      <c r="Z61" s="711" t="str">
        <f>IF(Y61="","",IF(I61=1,VLOOKUP(Y61,男子種目コード!$D$2:$E$16,2,FALSE),IF(I61=2,VLOOKUP(Y61,女子種目コード!$D$2:$E$16,2,FALSE))))</f>
        <v/>
      </c>
      <c r="AA61" s="630"/>
      <c r="AB61" s="634"/>
      <c r="AC61" s="712" t="str">
        <f>IF(AB61="","",IF(I61=1,VLOOKUP(AB61,男子種目コード!$D$2:$E$16,2,FALSE),IF(I61=2,VLOOKUP(AB61,女子種目コード!$D$2:$E$16,2,FALSE))))</f>
        <v/>
      </c>
      <c r="AD61" s="705"/>
      <c r="AE61" s="635"/>
      <c r="AF61" s="712"/>
      <c r="AG61" s="706"/>
      <c r="AH61" s="657"/>
      <c r="AI61" s="657"/>
      <c r="AK61" s="730"/>
      <c r="AL61" s="652" t="str">
        <f t="shared" si="9"/>
        <v/>
      </c>
      <c r="AM61" s="662"/>
      <c r="AN61" s="662"/>
      <c r="AO61" s="662"/>
      <c r="AP61" s="662"/>
      <c r="AQ61" s="662"/>
      <c r="AR61" s="662"/>
      <c r="AS61" s="662"/>
      <c r="AT61" s="707">
        <f t="shared" si="17"/>
        <v>0</v>
      </c>
      <c r="AU61" s="662"/>
      <c r="AV61" s="652">
        <f t="shared" si="18"/>
        <v>0</v>
      </c>
      <c r="AW61" s="652" t="str">
        <f t="shared" si="19"/>
        <v/>
      </c>
      <c r="AX61" s="652" t="str">
        <f t="shared" si="20"/>
        <v/>
      </c>
      <c r="AY61" s="662"/>
      <c r="AZ61" s="662"/>
      <c r="BA61" s="662"/>
      <c r="BB61" s="662"/>
      <c r="BG61" s="662"/>
      <c r="BH61" s="1037"/>
      <c r="BI61" s="1037"/>
      <c r="BJ61" s="1037"/>
      <c r="BK61" s="1037"/>
      <c r="BL61" s="1037"/>
    </row>
    <row r="62" spans="1:64">
      <c r="A62" s="698">
        <f t="shared" si="4"/>
        <v>0</v>
      </c>
      <c r="B62" s="704" t="str">
        <f>前年度登録!P59</f>
        <v/>
      </c>
      <c r="C62" s="708"/>
      <c r="D62" s="708"/>
      <c r="E62" s="709">
        <f>前年度登録!E59</f>
        <v>0</v>
      </c>
      <c r="F62" s="557" t="str">
        <f>前年度登録!CM59</f>
        <v/>
      </c>
      <c r="G62" s="993" t="str">
        <f>前年度登録!Z59</f>
        <v/>
      </c>
      <c r="H62" s="534" t="str">
        <f>前年度登録!CM59</f>
        <v/>
      </c>
      <c r="I62" s="257" t="str">
        <f>前年度登録!Y59</f>
        <v/>
      </c>
      <c r="J62" s="323" t="str">
        <f>前年度登録!CN59</f>
        <v/>
      </c>
      <c r="K62" s="1288">
        <f>前年度登録!CP59</f>
        <v>0</v>
      </c>
      <c r="L62" s="896" t="str">
        <f>前年度登録!CU59</f>
        <v>00</v>
      </c>
      <c r="M62" s="704" t="str">
        <f>前年度登録!Q59</f>
        <v/>
      </c>
      <c r="N62" s="1289">
        <f>前年度登録!D59</f>
        <v>0</v>
      </c>
      <c r="O62" s="1282"/>
      <c r="P62" s="258" t="str">
        <f>IF(O62="","",IF(I62=1,VLOOKUP(O62,男子種目コード!$J$1:$K$16,2,FALSE),IF(I62=2,VLOOKUP(O62,女子種目コード!$J$1:$K$16,2,FALSE))))</f>
        <v/>
      </c>
      <c r="Q62" s="494" t="str">
        <f>IF(O62="","",HLOOKUP(O62,前年度登録!$AH$3:$CH$118,57,FALSE))</f>
        <v/>
      </c>
      <c r="R62" s="624" t="str">
        <f t="shared" si="5"/>
        <v/>
      </c>
      <c r="S62" s="625" t="str">
        <f t="shared" si="6"/>
        <v/>
      </c>
      <c r="T62" s="259"/>
      <c r="U62" s="710" t="str">
        <f>IF(T62="","",IF(I62=1,VLOOKUP(T62,男子種目コード!$J$17:$K$19,2,FALSE),IF(I62=2,VLOOKUP(T62,女子種目コード!$J$17:$K$19,2,FALSE))))</f>
        <v/>
      </c>
      <c r="V62" s="628"/>
      <c r="W62" s="624" t="str">
        <f t="shared" si="7"/>
        <v/>
      </c>
      <c r="X62" s="625" t="str">
        <f t="shared" si="8"/>
        <v/>
      </c>
      <c r="Y62" s="633"/>
      <c r="Z62" s="711" t="str">
        <f>IF(Y62="","",IF(I62=1,VLOOKUP(Y62,男子種目コード!$D$2:$E$16,2,FALSE),IF(I62=2,VLOOKUP(Y62,女子種目コード!$D$2:$E$16,2,FALSE))))</f>
        <v/>
      </c>
      <c r="AA62" s="630"/>
      <c r="AB62" s="634"/>
      <c r="AC62" s="712" t="str">
        <f>IF(AB62="","",IF(I62=1,VLOOKUP(AB62,男子種目コード!$D$2:$E$16,2,FALSE),IF(I62=2,VLOOKUP(AB62,女子種目コード!$D$2:$E$16,2,FALSE))))</f>
        <v/>
      </c>
      <c r="AD62" s="705"/>
      <c r="AE62" s="635"/>
      <c r="AF62" s="712"/>
      <c r="AG62" s="706"/>
      <c r="AH62" s="657"/>
      <c r="AI62" s="657"/>
      <c r="AK62" s="730"/>
      <c r="AL62" s="652" t="str">
        <f t="shared" si="9"/>
        <v/>
      </c>
      <c r="AM62" s="662"/>
      <c r="AN62" s="662"/>
      <c r="AO62" s="662"/>
      <c r="AP62" s="662"/>
      <c r="AQ62" s="662"/>
      <c r="AR62" s="662"/>
      <c r="AS62" s="662"/>
      <c r="AT62" s="707">
        <f t="shared" si="17"/>
        <v>0</v>
      </c>
      <c r="AU62" s="662"/>
      <c r="AV62" s="652">
        <f t="shared" si="18"/>
        <v>0</v>
      </c>
      <c r="AW62" s="652" t="str">
        <f t="shared" si="19"/>
        <v/>
      </c>
      <c r="AX62" s="652" t="str">
        <f t="shared" si="20"/>
        <v/>
      </c>
      <c r="AY62" s="662"/>
      <c r="AZ62" s="662"/>
      <c r="BA62" s="662"/>
      <c r="BB62" s="662"/>
      <c r="BG62" s="662"/>
      <c r="BH62" s="1037"/>
      <c r="BI62" s="1037"/>
      <c r="BJ62" s="1037"/>
      <c r="BK62" s="1037"/>
      <c r="BL62" s="1037"/>
    </row>
    <row r="63" spans="1:64">
      <c r="A63" s="698">
        <f t="shared" si="4"/>
        <v>0</v>
      </c>
      <c r="B63" s="704" t="str">
        <f>前年度登録!P60</f>
        <v/>
      </c>
      <c r="C63" s="708"/>
      <c r="D63" s="708"/>
      <c r="E63" s="709">
        <f>前年度登録!E60</f>
        <v>0</v>
      </c>
      <c r="F63" s="557" t="str">
        <f>前年度登録!CM60</f>
        <v/>
      </c>
      <c r="G63" s="993" t="str">
        <f>前年度登録!Z60</f>
        <v/>
      </c>
      <c r="H63" s="534" t="str">
        <f>前年度登録!CM60</f>
        <v/>
      </c>
      <c r="I63" s="257" t="str">
        <f>前年度登録!Y60</f>
        <v/>
      </c>
      <c r="J63" s="323" t="str">
        <f>前年度登録!CN60</f>
        <v/>
      </c>
      <c r="K63" s="1288">
        <f>前年度登録!CP60</f>
        <v>0</v>
      </c>
      <c r="L63" s="896" t="str">
        <f>前年度登録!CU60</f>
        <v>00</v>
      </c>
      <c r="M63" s="704" t="str">
        <f>前年度登録!Q60</f>
        <v/>
      </c>
      <c r="N63" s="1289">
        <f>前年度登録!D60</f>
        <v>0</v>
      </c>
      <c r="O63" s="1282"/>
      <c r="P63" s="258" t="str">
        <f>IF(O63="","",IF(I63=1,VLOOKUP(O63,男子種目コード!$J$1:$K$16,2,FALSE),IF(I63=2,VLOOKUP(O63,女子種目コード!$J$1:$K$16,2,FALSE))))</f>
        <v/>
      </c>
      <c r="Q63" s="494" t="str">
        <f>IF(O63="","",HLOOKUP(O63,前年度登録!$AH$3:$CH$118,58,FALSE))</f>
        <v/>
      </c>
      <c r="R63" s="624" t="str">
        <f t="shared" si="5"/>
        <v/>
      </c>
      <c r="S63" s="625" t="str">
        <f t="shared" si="6"/>
        <v/>
      </c>
      <c r="T63" s="259"/>
      <c r="U63" s="710" t="str">
        <f>IF(T63="","",IF(I63=1,VLOOKUP(T63,男子種目コード!$J$17:$K$19,2,FALSE),IF(I63=2,VLOOKUP(T63,女子種目コード!$J$17:$K$19,2,FALSE))))</f>
        <v/>
      </c>
      <c r="V63" s="628"/>
      <c r="W63" s="624" t="str">
        <f t="shared" si="7"/>
        <v/>
      </c>
      <c r="X63" s="625" t="str">
        <f t="shared" si="8"/>
        <v/>
      </c>
      <c r="Y63" s="633"/>
      <c r="Z63" s="711" t="str">
        <f>IF(Y63="","",IF(I63=1,VLOOKUP(Y63,男子種目コード!$D$2:$E$16,2,FALSE),IF(I63=2,VLOOKUP(Y63,女子種目コード!$D$2:$E$16,2,FALSE))))</f>
        <v/>
      </c>
      <c r="AA63" s="630"/>
      <c r="AB63" s="634"/>
      <c r="AC63" s="712" t="str">
        <f>IF(AB63="","",IF(I63=1,VLOOKUP(AB63,男子種目コード!$D$2:$E$16,2,FALSE),IF(I63=2,VLOOKUP(AB63,女子種目コード!$D$2:$E$16,2,FALSE))))</f>
        <v/>
      </c>
      <c r="AD63" s="705"/>
      <c r="AE63" s="635"/>
      <c r="AF63" s="712"/>
      <c r="AG63" s="706"/>
      <c r="AH63" s="657"/>
      <c r="AI63" s="657"/>
      <c r="AK63" s="730"/>
      <c r="AL63" s="652" t="str">
        <f t="shared" si="9"/>
        <v/>
      </c>
      <c r="AM63" s="662"/>
      <c r="AN63" s="662"/>
      <c r="AO63" s="662"/>
      <c r="AP63" s="662"/>
      <c r="AQ63" s="662"/>
      <c r="AR63" s="662"/>
      <c r="AS63" s="662"/>
      <c r="AT63" s="707">
        <f t="shared" si="17"/>
        <v>0</v>
      </c>
      <c r="AU63" s="662"/>
      <c r="AV63" s="652">
        <f t="shared" si="18"/>
        <v>0</v>
      </c>
      <c r="AW63" s="652" t="str">
        <f t="shared" si="19"/>
        <v/>
      </c>
      <c r="AX63" s="652" t="str">
        <f t="shared" si="20"/>
        <v/>
      </c>
      <c r="AY63" s="662"/>
      <c r="AZ63" s="662"/>
      <c r="BA63" s="662"/>
      <c r="BB63" s="662"/>
      <c r="BG63" s="662"/>
      <c r="BH63" s="1037"/>
      <c r="BI63" s="1037"/>
      <c r="BJ63" s="1037"/>
      <c r="BK63" s="1037"/>
      <c r="BL63" s="1037"/>
    </row>
    <row r="64" spans="1:64">
      <c r="A64" s="698">
        <f t="shared" si="4"/>
        <v>0</v>
      </c>
      <c r="B64" s="704" t="str">
        <f>前年度登録!P61</f>
        <v/>
      </c>
      <c r="C64" s="708"/>
      <c r="D64" s="708"/>
      <c r="E64" s="709">
        <f>前年度登録!E61</f>
        <v>0</v>
      </c>
      <c r="F64" s="557" t="str">
        <f>前年度登録!CM61</f>
        <v/>
      </c>
      <c r="G64" s="993" t="str">
        <f>前年度登録!Z61</f>
        <v/>
      </c>
      <c r="H64" s="534" t="str">
        <f>前年度登録!CM61</f>
        <v/>
      </c>
      <c r="I64" s="257" t="str">
        <f>前年度登録!Y61</f>
        <v/>
      </c>
      <c r="J64" s="323" t="str">
        <f>前年度登録!CN61</f>
        <v/>
      </c>
      <c r="K64" s="1288">
        <f>前年度登録!CP61</f>
        <v>0</v>
      </c>
      <c r="L64" s="896" t="str">
        <f>前年度登録!CU61</f>
        <v>00</v>
      </c>
      <c r="M64" s="704" t="str">
        <f>前年度登録!Q61</f>
        <v/>
      </c>
      <c r="N64" s="1289">
        <f>前年度登録!D61</f>
        <v>0</v>
      </c>
      <c r="O64" s="1282"/>
      <c r="P64" s="258" t="str">
        <f>IF(O64="","",IF(I64=1,VLOOKUP(O64,男子種目コード!$J$1:$K$16,2,FALSE),IF(I64=2,VLOOKUP(O64,女子種目コード!$J$1:$K$16,2,FALSE))))</f>
        <v/>
      </c>
      <c r="Q64" s="494" t="str">
        <f>IF(O64="","",HLOOKUP(O64,前年度登録!$AH$3:$CH$118,59,FALSE))</f>
        <v/>
      </c>
      <c r="R64" s="624" t="str">
        <f t="shared" si="5"/>
        <v/>
      </c>
      <c r="S64" s="625" t="str">
        <f t="shared" si="6"/>
        <v/>
      </c>
      <c r="T64" s="259"/>
      <c r="U64" s="710" t="str">
        <f>IF(T64="","",IF(I64=1,VLOOKUP(T64,男子種目コード!$J$17:$K$19,2,FALSE),IF(I64=2,VLOOKUP(T64,女子種目コード!$J$17:$K$19,2,FALSE))))</f>
        <v/>
      </c>
      <c r="V64" s="628"/>
      <c r="W64" s="624" t="str">
        <f t="shared" si="7"/>
        <v/>
      </c>
      <c r="X64" s="625" t="str">
        <f t="shared" si="8"/>
        <v/>
      </c>
      <c r="Y64" s="633"/>
      <c r="Z64" s="711" t="str">
        <f>IF(Y64="","",IF(I64=1,VLOOKUP(Y64,男子種目コード!$D$2:$E$16,2,FALSE),IF(I64=2,VLOOKUP(Y64,女子種目コード!$D$2:$E$16,2,FALSE))))</f>
        <v/>
      </c>
      <c r="AA64" s="630"/>
      <c r="AB64" s="634"/>
      <c r="AC64" s="712" t="str">
        <f>IF(AB64="","",IF(I64=1,VLOOKUP(AB64,男子種目コード!$D$2:$E$16,2,FALSE),IF(I64=2,VLOOKUP(AB64,女子種目コード!$D$2:$E$16,2,FALSE))))</f>
        <v/>
      </c>
      <c r="AD64" s="705"/>
      <c r="AE64" s="635"/>
      <c r="AF64" s="712"/>
      <c r="AG64" s="706"/>
      <c r="AH64" s="657"/>
      <c r="AI64" s="657"/>
      <c r="AK64" s="730"/>
      <c r="AL64" s="652" t="str">
        <f t="shared" si="9"/>
        <v/>
      </c>
      <c r="AM64" s="662"/>
      <c r="AN64" s="662"/>
      <c r="AO64" s="662"/>
      <c r="AP64" s="662"/>
      <c r="AQ64" s="662"/>
      <c r="AR64" s="662"/>
      <c r="AS64" s="662"/>
      <c r="AT64" s="707">
        <f t="shared" si="17"/>
        <v>0</v>
      </c>
      <c r="AU64" s="662"/>
      <c r="AV64" s="652">
        <f t="shared" si="18"/>
        <v>0</v>
      </c>
      <c r="AW64" s="652" t="str">
        <f t="shared" si="19"/>
        <v/>
      </c>
      <c r="AX64" s="652" t="str">
        <f t="shared" si="20"/>
        <v/>
      </c>
      <c r="AY64" s="662"/>
      <c r="AZ64" s="662"/>
      <c r="BA64" s="662"/>
      <c r="BB64" s="662"/>
      <c r="BG64" s="662"/>
      <c r="BH64" s="1037"/>
      <c r="BI64" s="1037"/>
      <c r="BJ64" s="1037"/>
      <c r="BK64" s="1037"/>
      <c r="BL64" s="1037"/>
    </row>
    <row r="65" spans="1:64">
      <c r="A65" s="698">
        <f t="shared" si="4"/>
        <v>0</v>
      </c>
      <c r="B65" s="704" t="str">
        <f>前年度登録!P62</f>
        <v/>
      </c>
      <c r="C65" s="708"/>
      <c r="D65" s="708"/>
      <c r="E65" s="709">
        <f>前年度登録!E62</f>
        <v>0</v>
      </c>
      <c r="F65" s="557" t="str">
        <f>前年度登録!CM62</f>
        <v/>
      </c>
      <c r="G65" s="993" t="str">
        <f>前年度登録!Z62</f>
        <v/>
      </c>
      <c r="H65" s="534" t="str">
        <f>前年度登録!CM62</f>
        <v/>
      </c>
      <c r="I65" s="257" t="str">
        <f>前年度登録!Y62</f>
        <v/>
      </c>
      <c r="J65" s="323" t="str">
        <f>前年度登録!CN62</f>
        <v/>
      </c>
      <c r="K65" s="1288">
        <f>前年度登録!CP62</f>
        <v>0</v>
      </c>
      <c r="L65" s="896" t="str">
        <f>前年度登録!CU62</f>
        <v>00</v>
      </c>
      <c r="M65" s="704" t="str">
        <f>前年度登録!Q62</f>
        <v/>
      </c>
      <c r="N65" s="1289">
        <f>前年度登録!D62</f>
        <v>0</v>
      </c>
      <c r="O65" s="1282"/>
      <c r="P65" s="258" t="str">
        <f>IF(O65="","",IF(I65=1,VLOOKUP(O65,男子種目コード!$J$1:$K$16,2,FALSE),IF(I65=2,VLOOKUP(O65,女子種目コード!$J$1:$K$16,2,FALSE))))</f>
        <v/>
      </c>
      <c r="Q65" s="494" t="str">
        <f>IF(O65="","",HLOOKUP(O65,前年度登録!$AH$3:$CH$118,60,FALSE))</f>
        <v/>
      </c>
      <c r="R65" s="624" t="str">
        <f t="shared" si="5"/>
        <v/>
      </c>
      <c r="S65" s="625" t="str">
        <f t="shared" si="6"/>
        <v/>
      </c>
      <c r="T65" s="259"/>
      <c r="U65" s="710" t="str">
        <f>IF(T65="","",IF(I65=1,VLOOKUP(T65,男子種目コード!$J$17:$K$19,2,FALSE),IF(I65=2,VLOOKUP(T65,女子種目コード!$J$17:$K$19,2,FALSE))))</f>
        <v/>
      </c>
      <c r="V65" s="628"/>
      <c r="W65" s="624" t="str">
        <f t="shared" si="7"/>
        <v/>
      </c>
      <c r="X65" s="625" t="str">
        <f t="shared" si="8"/>
        <v/>
      </c>
      <c r="Y65" s="633"/>
      <c r="Z65" s="711" t="str">
        <f>IF(Y65="","",IF(I65=1,VLOOKUP(Y65,男子種目コード!$D$2:$E$16,2,FALSE),IF(I65=2,VLOOKUP(Y65,女子種目コード!$D$2:$E$16,2,FALSE))))</f>
        <v/>
      </c>
      <c r="AA65" s="630"/>
      <c r="AB65" s="634"/>
      <c r="AC65" s="712" t="str">
        <f>IF(AB65="","",IF(I65=1,VLOOKUP(AB65,男子種目コード!$D$2:$E$16,2,FALSE),IF(I65=2,VLOOKUP(AB65,女子種目コード!$D$2:$E$16,2,FALSE))))</f>
        <v/>
      </c>
      <c r="AD65" s="705"/>
      <c r="AE65" s="635"/>
      <c r="AF65" s="712"/>
      <c r="AG65" s="706"/>
      <c r="AH65" s="657"/>
      <c r="AI65" s="657"/>
      <c r="AK65" s="730"/>
      <c r="AL65" s="652" t="str">
        <f t="shared" si="9"/>
        <v/>
      </c>
      <c r="AM65" s="662"/>
      <c r="AN65" s="662"/>
      <c r="AO65" s="662"/>
      <c r="AP65" s="662"/>
      <c r="AQ65" s="662"/>
      <c r="AR65" s="662"/>
      <c r="AS65" s="662"/>
      <c r="AT65" s="707">
        <f t="shared" si="17"/>
        <v>0</v>
      </c>
      <c r="AU65" s="662"/>
      <c r="AV65" s="652">
        <f t="shared" si="18"/>
        <v>0</v>
      </c>
      <c r="AW65" s="652" t="str">
        <f t="shared" si="19"/>
        <v/>
      </c>
      <c r="AX65" s="652" t="str">
        <f t="shared" si="20"/>
        <v/>
      </c>
      <c r="AY65" s="662"/>
      <c r="AZ65" s="662"/>
      <c r="BA65" s="662"/>
      <c r="BB65" s="662"/>
      <c r="BG65" s="662"/>
      <c r="BH65" s="1037"/>
      <c r="BI65" s="1037"/>
      <c r="BJ65" s="1037"/>
      <c r="BK65" s="1037"/>
      <c r="BL65" s="1037"/>
    </row>
    <row r="66" spans="1:64">
      <c r="A66" s="698">
        <f t="shared" si="4"/>
        <v>0</v>
      </c>
      <c r="B66" s="704" t="str">
        <f>前年度登録!P63</f>
        <v/>
      </c>
      <c r="C66" s="708"/>
      <c r="D66" s="708"/>
      <c r="E66" s="709">
        <f>前年度登録!E63</f>
        <v>0</v>
      </c>
      <c r="F66" s="557" t="str">
        <f>前年度登録!CM63</f>
        <v/>
      </c>
      <c r="G66" s="993" t="str">
        <f>前年度登録!Z63</f>
        <v/>
      </c>
      <c r="H66" s="534" t="str">
        <f>前年度登録!CM63</f>
        <v/>
      </c>
      <c r="I66" s="257" t="str">
        <f>前年度登録!Y63</f>
        <v/>
      </c>
      <c r="J66" s="323" t="str">
        <f>前年度登録!CN63</f>
        <v/>
      </c>
      <c r="K66" s="1288">
        <f>前年度登録!CP63</f>
        <v>0</v>
      </c>
      <c r="L66" s="896" t="str">
        <f>前年度登録!CU63</f>
        <v>00</v>
      </c>
      <c r="M66" s="704" t="str">
        <f>前年度登録!Q63</f>
        <v/>
      </c>
      <c r="N66" s="1289">
        <f>前年度登録!D63</f>
        <v>0</v>
      </c>
      <c r="O66" s="1282"/>
      <c r="P66" s="258" t="str">
        <f>IF(O66="","",IF(I66=1,VLOOKUP(O66,男子種目コード!$J$1:$K$16,2,FALSE),IF(I66=2,VLOOKUP(O66,女子種目コード!$J$1:$K$16,2,FALSE))))</f>
        <v/>
      </c>
      <c r="Q66" s="494" t="str">
        <f>IF(O66="","",HLOOKUP(O66,前年度登録!$AH$3:$CH$118,61,FALSE))</f>
        <v/>
      </c>
      <c r="R66" s="624" t="str">
        <f t="shared" si="5"/>
        <v/>
      </c>
      <c r="S66" s="625" t="str">
        <f t="shared" si="6"/>
        <v/>
      </c>
      <c r="T66" s="259"/>
      <c r="U66" s="710" t="str">
        <f>IF(T66="","",IF(I66=1,VLOOKUP(T66,男子種目コード!$J$17:$K$19,2,FALSE),IF(I66=2,VLOOKUP(T66,女子種目コード!$J$17:$K$19,2,FALSE))))</f>
        <v/>
      </c>
      <c r="V66" s="628"/>
      <c r="W66" s="624" t="str">
        <f t="shared" si="7"/>
        <v/>
      </c>
      <c r="X66" s="625" t="str">
        <f t="shared" si="8"/>
        <v/>
      </c>
      <c r="Y66" s="633"/>
      <c r="Z66" s="711" t="str">
        <f>IF(Y66="","",IF(I66=1,VLOOKUP(Y66,男子種目コード!$D$2:$E$16,2,FALSE),IF(I66=2,VLOOKUP(Y66,女子種目コード!$D$2:$E$16,2,FALSE))))</f>
        <v/>
      </c>
      <c r="AA66" s="630"/>
      <c r="AB66" s="634"/>
      <c r="AC66" s="712" t="str">
        <f>IF(AB66="","",IF(I66=1,VLOOKUP(AB66,男子種目コード!$D$2:$E$16,2,FALSE),IF(I66=2,VLOOKUP(AB66,女子種目コード!$D$2:$E$16,2,FALSE))))</f>
        <v/>
      </c>
      <c r="AD66" s="705"/>
      <c r="AE66" s="635"/>
      <c r="AF66" s="712"/>
      <c r="AG66" s="706"/>
      <c r="AH66" s="657"/>
      <c r="AI66" s="657"/>
      <c r="AK66" s="730"/>
      <c r="AL66" s="652" t="str">
        <f t="shared" si="9"/>
        <v/>
      </c>
      <c r="AM66" s="662"/>
      <c r="AN66" s="662"/>
      <c r="AO66" s="662"/>
      <c r="AP66" s="662"/>
      <c r="AQ66" s="662"/>
      <c r="AR66" s="662"/>
      <c r="AS66" s="662"/>
      <c r="AT66" s="707">
        <f t="shared" si="17"/>
        <v>0</v>
      </c>
      <c r="AU66" s="662"/>
      <c r="AV66" s="652">
        <f t="shared" si="18"/>
        <v>0</v>
      </c>
      <c r="AW66" s="652" t="str">
        <f t="shared" si="19"/>
        <v/>
      </c>
      <c r="AX66" s="652" t="str">
        <f t="shared" si="20"/>
        <v/>
      </c>
      <c r="AY66" s="662"/>
      <c r="AZ66" s="662"/>
      <c r="BA66" s="662"/>
      <c r="BB66" s="662"/>
      <c r="BG66" s="662"/>
      <c r="BH66" s="1037"/>
      <c r="BI66" s="1037"/>
      <c r="BJ66" s="1037"/>
      <c r="BK66" s="1037"/>
      <c r="BL66" s="1037"/>
    </row>
    <row r="67" spans="1:64">
      <c r="A67" s="698">
        <f t="shared" si="4"/>
        <v>0</v>
      </c>
      <c r="B67" s="704" t="str">
        <f>前年度登録!P64</f>
        <v/>
      </c>
      <c r="C67" s="708"/>
      <c r="D67" s="708"/>
      <c r="E67" s="709">
        <f>前年度登録!E64</f>
        <v>0</v>
      </c>
      <c r="F67" s="557" t="str">
        <f>前年度登録!CM64</f>
        <v/>
      </c>
      <c r="G67" s="993" t="str">
        <f>前年度登録!Z64</f>
        <v/>
      </c>
      <c r="H67" s="534" t="str">
        <f>前年度登録!CM64</f>
        <v/>
      </c>
      <c r="I67" s="257" t="str">
        <f>前年度登録!Y64</f>
        <v/>
      </c>
      <c r="J67" s="323" t="str">
        <f>前年度登録!CN64</f>
        <v/>
      </c>
      <c r="K67" s="1288">
        <f>前年度登録!CP64</f>
        <v>0</v>
      </c>
      <c r="L67" s="896" t="str">
        <f>前年度登録!CU64</f>
        <v>00</v>
      </c>
      <c r="M67" s="704" t="str">
        <f>前年度登録!Q64</f>
        <v/>
      </c>
      <c r="N67" s="1289">
        <f>前年度登録!D64</f>
        <v>0</v>
      </c>
      <c r="O67" s="1282"/>
      <c r="P67" s="258" t="str">
        <f>IF(O67="","",IF(I67=1,VLOOKUP(O67,男子種目コード!$J$1:$K$16,2,FALSE),IF(I67=2,VLOOKUP(O67,女子種目コード!$J$1:$K$16,2,FALSE))))</f>
        <v/>
      </c>
      <c r="Q67" s="494" t="str">
        <f>IF(O67="","",HLOOKUP(O67,前年度登録!$AH$3:$CH$118,62,FALSE))</f>
        <v/>
      </c>
      <c r="R67" s="624" t="str">
        <f t="shared" si="5"/>
        <v/>
      </c>
      <c r="S67" s="625" t="str">
        <f t="shared" si="6"/>
        <v/>
      </c>
      <c r="T67" s="259"/>
      <c r="U67" s="710" t="str">
        <f>IF(T67="","",IF(I67=1,VLOOKUP(T67,男子種目コード!$J$17:$K$19,2,FALSE),IF(I67=2,VLOOKUP(T67,女子種目コード!$J$17:$K$19,2,FALSE))))</f>
        <v/>
      </c>
      <c r="V67" s="628"/>
      <c r="W67" s="624" t="str">
        <f t="shared" si="7"/>
        <v/>
      </c>
      <c r="X67" s="625" t="str">
        <f t="shared" si="8"/>
        <v/>
      </c>
      <c r="Y67" s="633"/>
      <c r="Z67" s="711" t="str">
        <f>IF(Y67="","",IF(I67=1,VLOOKUP(Y67,男子種目コード!$D$2:$E$16,2,FALSE),IF(I67=2,VLOOKUP(Y67,女子種目コード!$D$2:$E$16,2,FALSE))))</f>
        <v/>
      </c>
      <c r="AA67" s="630"/>
      <c r="AB67" s="634"/>
      <c r="AC67" s="712" t="str">
        <f>IF(AB67="","",IF(I67=1,VLOOKUP(AB67,男子種目コード!$D$2:$E$16,2,FALSE),IF(I67=2,VLOOKUP(AB67,女子種目コード!$D$2:$E$16,2,FALSE))))</f>
        <v/>
      </c>
      <c r="AD67" s="705"/>
      <c r="AE67" s="635"/>
      <c r="AF67" s="712"/>
      <c r="AG67" s="706"/>
      <c r="AH67" s="657"/>
      <c r="AI67" s="657"/>
      <c r="AK67" s="730"/>
      <c r="AL67" s="652" t="str">
        <f t="shared" si="9"/>
        <v/>
      </c>
      <c r="AM67" s="662"/>
      <c r="AN67" s="662"/>
      <c r="AO67" s="662"/>
      <c r="AP67" s="662"/>
      <c r="AQ67" s="662"/>
      <c r="AR67" s="662"/>
      <c r="AS67" s="662"/>
      <c r="AT67" s="707">
        <f t="shared" si="17"/>
        <v>0</v>
      </c>
      <c r="AU67" s="662"/>
      <c r="AV67" s="652">
        <f t="shared" si="18"/>
        <v>0</v>
      </c>
      <c r="AW67" s="652" t="str">
        <f t="shared" si="19"/>
        <v/>
      </c>
      <c r="AX67" s="652" t="str">
        <f t="shared" si="20"/>
        <v/>
      </c>
      <c r="AY67" s="662"/>
      <c r="AZ67" s="662"/>
      <c r="BA67" s="662"/>
      <c r="BB67" s="662"/>
      <c r="BG67" s="662"/>
      <c r="BH67" s="1037"/>
      <c r="BI67" s="1037"/>
      <c r="BJ67" s="1037"/>
      <c r="BK67" s="1037"/>
      <c r="BL67" s="1037"/>
    </row>
    <row r="68" spans="1:64">
      <c r="A68" s="698">
        <f t="shared" si="4"/>
        <v>0</v>
      </c>
      <c r="B68" s="704" t="str">
        <f>前年度登録!P65</f>
        <v/>
      </c>
      <c r="C68" s="708"/>
      <c r="D68" s="708"/>
      <c r="E68" s="709">
        <f>前年度登録!E65</f>
        <v>0</v>
      </c>
      <c r="F68" s="557" t="str">
        <f>前年度登録!CM65</f>
        <v/>
      </c>
      <c r="G68" s="993" t="str">
        <f>前年度登録!Z65</f>
        <v/>
      </c>
      <c r="H68" s="534" t="str">
        <f>前年度登録!CM65</f>
        <v/>
      </c>
      <c r="I68" s="257" t="str">
        <f>前年度登録!Y65</f>
        <v/>
      </c>
      <c r="J68" s="323" t="str">
        <f>前年度登録!CN65</f>
        <v/>
      </c>
      <c r="K68" s="1288">
        <f>前年度登録!CP65</f>
        <v>0</v>
      </c>
      <c r="L68" s="896" t="str">
        <f>前年度登録!CU65</f>
        <v>00</v>
      </c>
      <c r="M68" s="704" t="str">
        <f>前年度登録!Q65</f>
        <v/>
      </c>
      <c r="N68" s="1289">
        <f>前年度登録!D65</f>
        <v>0</v>
      </c>
      <c r="O68" s="1282"/>
      <c r="P68" s="258" t="str">
        <f>IF(O68="","",IF(I68=1,VLOOKUP(O68,男子種目コード!$J$1:$K$16,2,FALSE),IF(I68=2,VLOOKUP(O68,女子種目コード!$J$1:$K$16,2,FALSE))))</f>
        <v/>
      </c>
      <c r="Q68" s="494" t="str">
        <f>IF(O68="","",HLOOKUP(O68,前年度登録!$AH$3:$CH$118,63,FALSE))</f>
        <v/>
      </c>
      <c r="R68" s="624" t="str">
        <f t="shared" si="5"/>
        <v/>
      </c>
      <c r="S68" s="625" t="str">
        <f t="shared" si="6"/>
        <v/>
      </c>
      <c r="T68" s="259"/>
      <c r="U68" s="710" t="str">
        <f>IF(T68="","",IF(I68=1,VLOOKUP(T68,男子種目コード!$J$17:$K$19,2,FALSE),IF(I68=2,VLOOKUP(T68,女子種目コード!$J$17:$K$19,2,FALSE))))</f>
        <v/>
      </c>
      <c r="V68" s="628"/>
      <c r="W68" s="624" t="str">
        <f t="shared" si="7"/>
        <v/>
      </c>
      <c r="X68" s="625" t="str">
        <f t="shared" si="8"/>
        <v/>
      </c>
      <c r="Y68" s="633"/>
      <c r="Z68" s="711" t="str">
        <f>IF(Y68="","",IF(I68=1,VLOOKUP(Y68,男子種目コード!$D$2:$E$16,2,FALSE),IF(I68=2,VLOOKUP(Y68,女子種目コード!$D$2:$E$16,2,FALSE))))</f>
        <v/>
      </c>
      <c r="AA68" s="630"/>
      <c r="AB68" s="634"/>
      <c r="AC68" s="712" t="str">
        <f>IF(AB68="","",IF(I68=1,VLOOKUP(AB68,男子種目コード!$D$2:$E$16,2,FALSE),IF(I68=2,VLOOKUP(AB68,女子種目コード!$D$2:$E$16,2,FALSE))))</f>
        <v/>
      </c>
      <c r="AD68" s="705"/>
      <c r="AE68" s="635"/>
      <c r="AF68" s="712"/>
      <c r="AG68" s="706"/>
      <c r="AH68" s="657"/>
      <c r="AI68" s="657"/>
      <c r="AK68" s="730"/>
      <c r="AL68" s="652" t="str">
        <f t="shared" si="9"/>
        <v/>
      </c>
      <c r="AM68" s="662"/>
      <c r="AN68" s="662"/>
      <c r="AO68" s="662"/>
      <c r="AP68" s="662"/>
      <c r="AQ68" s="662"/>
      <c r="AR68" s="662"/>
      <c r="AS68" s="662"/>
      <c r="AT68" s="707">
        <f t="shared" si="17"/>
        <v>0</v>
      </c>
      <c r="AU68" s="662"/>
      <c r="AV68" s="652">
        <f t="shared" si="18"/>
        <v>0</v>
      </c>
      <c r="AW68" s="652" t="str">
        <f t="shared" si="19"/>
        <v/>
      </c>
      <c r="AX68" s="652" t="str">
        <f t="shared" si="20"/>
        <v/>
      </c>
      <c r="AY68" s="662"/>
      <c r="AZ68" s="662"/>
      <c r="BA68" s="662"/>
      <c r="BB68" s="662"/>
      <c r="BG68" s="662"/>
      <c r="BH68" s="1037"/>
      <c r="BI68" s="1037"/>
      <c r="BJ68" s="1037"/>
      <c r="BK68" s="1037"/>
      <c r="BL68" s="1037"/>
    </row>
    <row r="69" spans="1:64">
      <c r="A69" s="698">
        <f t="shared" si="4"/>
        <v>0</v>
      </c>
      <c r="B69" s="704" t="str">
        <f>前年度登録!P66</f>
        <v/>
      </c>
      <c r="C69" s="708"/>
      <c r="D69" s="708"/>
      <c r="E69" s="709">
        <f>前年度登録!E66</f>
        <v>0</v>
      </c>
      <c r="F69" s="557" t="str">
        <f>前年度登録!CM66</f>
        <v/>
      </c>
      <c r="G69" s="993" t="str">
        <f>前年度登録!Z66</f>
        <v/>
      </c>
      <c r="H69" s="534" t="str">
        <f>前年度登録!CM66</f>
        <v/>
      </c>
      <c r="I69" s="257" t="str">
        <f>前年度登録!Y66</f>
        <v/>
      </c>
      <c r="J69" s="323" t="str">
        <f>前年度登録!CN66</f>
        <v/>
      </c>
      <c r="K69" s="1288">
        <f>前年度登録!CP66</f>
        <v>0</v>
      </c>
      <c r="L69" s="896" t="str">
        <f>前年度登録!CU66</f>
        <v>00</v>
      </c>
      <c r="M69" s="704" t="str">
        <f>前年度登録!Q66</f>
        <v/>
      </c>
      <c r="N69" s="1289">
        <f>前年度登録!D66</f>
        <v>0</v>
      </c>
      <c r="O69" s="1282"/>
      <c r="P69" s="258" t="str">
        <f>IF(O69="","",IF(I69=1,VLOOKUP(O69,男子種目コード!$J$1:$K$16,2,FALSE),IF(I69=2,VLOOKUP(O69,女子種目コード!$J$1:$K$16,2,FALSE))))</f>
        <v/>
      </c>
      <c r="Q69" s="494" t="str">
        <f>IF(O69="","",HLOOKUP(O69,前年度登録!$AH$3:$CH$118,64,FALSE))</f>
        <v/>
      </c>
      <c r="R69" s="624" t="str">
        <f t="shared" si="5"/>
        <v/>
      </c>
      <c r="S69" s="625" t="str">
        <f t="shared" si="6"/>
        <v/>
      </c>
      <c r="T69" s="259"/>
      <c r="U69" s="710" t="str">
        <f>IF(T69="","",IF(I69=1,VLOOKUP(T69,男子種目コード!$J$17:$K$19,2,FALSE),IF(I69=2,VLOOKUP(T69,女子種目コード!$J$17:$K$19,2,FALSE))))</f>
        <v/>
      </c>
      <c r="V69" s="628"/>
      <c r="W69" s="624" t="str">
        <f t="shared" si="7"/>
        <v/>
      </c>
      <c r="X69" s="625" t="str">
        <f t="shared" si="8"/>
        <v/>
      </c>
      <c r="Y69" s="633"/>
      <c r="Z69" s="711" t="str">
        <f>IF(Y69="","",IF(I69=1,VLOOKUP(Y69,男子種目コード!$D$2:$E$16,2,FALSE),IF(I69=2,VLOOKUP(Y69,女子種目コード!$D$2:$E$16,2,FALSE))))</f>
        <v/>
      </c>
      <c r="AA69" s="630"/>
      <c r="AB69" s="634"/>
      <c r="AC69" s="712" t="str">
        <f>IF(AB69="","",IF(I69=1,VLOOKUP(AB69,男子種目コード!$D$2:$E$16,2,FALSE),IF(I69=2,VLOOKUP(AB69,女子種目コード!$D$2:$E$16,2,FALSE))))</f>
        <v/>
      </c>
      <c r="AD69" s="705"/>
      <c r="AE69" s="635"/>
      <c r="AF69" s="712"/>
      <c r="AG69" s="706"/>
      <c r="AH69" s="657"/>
      <c r="AI69" s="657"/>
      <c r="AK69" s="730"/>
      <c r="AL69" s="652" t="str">
        <f t="shared" si="9"/>
        <v/>
      </c>
      <c r="AM69" s="662"/>
      <c r="AN69" s="662"/>
      <c r="AO69" s="662"/>
      <c r="AP69" s="662"/>
      <c r="AQ69" s="662"/>
      <c r="AR69" s="662"/>
      <c r="AS69" s="662"/>
      <c r="AT69" s="707">
        <f t="shared" si="17"/>
        <v>0</v>
      </c>
      <c r="AU69" s="662"/>
      <c r="AV69" s="652">
        <f t="shared" si="18"/>
        <v>0</v>
      </c>
      <c r="AW69" s="652" t="str">
        <f t="shared" si="19"/>
        <v/>
      </c>
      <c r="AX69" s="652" t="str">
        <f t="shared" si="20"/>
        <v/>
      </c>
      <c r="AY69" s="662"/>
      <c r="AZ69" s="662"/>
      <c r="BA69" s="662"/>
      <c r="BB69" s="662"/>
      <c r="BG69" s="662"/>
      <c r="BH69" s="1037"/>
      <c r="BI69" s="1037"/>
      <c r="BJ69" s="1037"/>
      <c r="BK69" s="1037"/>
      <c r="BL69" s="1037"/>
    </row>
    <row r="70" spans="1:64">
      <c r="A70" s="698">
        <f t="shared" si="4"/>
        <v>0</v>
      </c>
      <c r="B70" s="704" t="str">
        <f>前年度登録!P67</f>
        <v/>
      </c>
      <c r="C70" s="708"/>
      <c r="D70" s="708"/>
      <c r="E70" s="709">
        <f>前年度登録!E67</f>
        <v>0</v>
      </c>
      <c r="F70" s="557" t="str">
        <f>前年度登録!CM67</f>
        <v/>
      </c>
      <c r="G70" s="993" t="str">
        <f>前年度登録!Z67</f>
        <v/>
      </c>
      <c r="H70" s="534" t="str">
        <f>前年度登録!CM67</f>
        <v/>
      </c>
      <c r="I70" s="257" t="str">
        <f>前年度登録!Y67</f>
        <v/>
      </c>
      <c r="J70" s="323" t="str">
        <f>前年度登録!CN67</f>
        <v/>
      </c>
      <c r="K70" s="1288">
        <f>前年度登録!CP67</f>
        <v>0</v>
      </c>
      <c r="L70" s="896" t="str">
        <f>前年度登録!CU67</f>
        <v>00</v>
      </c>
      <c r="M70" s="704" t="str">
        <f>前年度登録!Q67</f>
        <v/>
      </c>
      <c r="N70" s="1289">
        <f>前年度登録!D67</f>
        <v>0</v>
      </c>
      <c r="O70" s="1282"/>
      <c r="P70" s="258" t="str">
        <f>IF(O70="","",IF(I70=1,VLOOKUP(O70,男子種目コード!$J$1:$K$16,2,FALSE),IF(I70=2,VLOOKUP(O70,女子種目コード!$J$1:$K$16,2,FALSE))))</f>
        <v/>
      </c>
      <c r="Q70" s="494" t="str">
        <f>IF(O70="","",HLOOKUP(O70,前年度登録!$AH$3:$CH$118,65,FALSE))</f>
        <v/>
      </c>
      <c r="R70" s="624" t="str">
        <f t="shared" si="5"/>
        <v/>
      </c>
      <c r="S70" s="625" t="str">
        <f t="shared" si="6"/>
        <v/>
      </c>
      <c r="T70" s="259"/>
      <c r="U70" s="710" t="str">
        <f>IF(T70="","",IF(I70=1,VLOOKUP(T70,男子種目コード!$J$17:$K$19,2,FALSE),IF(I70=2,VLOOKUP(T70,女子種目コード!$J$17:$K$19,2,FALSE))))</f>
        <v/>
      </c>
      <c r="V70" s="628"/>
      <c r="W70" s="624" t="str">
        <f t="shared" si="7"/>
        <v/>
      </c>
      <c r="X70" s="625" t="str">
        <f t="shared" si="8"/>
        <v/>
      </c>
      <c r="Y70" s="633"/>
      <c r="Z70" s="711" t="str">
        <f>IF(Y70="","",IF(I70=1,VLOOKUP(Y70,男子種目コード!$D$2:$E$16,2,FALSE),IF(I70=2,VLOOKUP(Y70,女子種目コード!$D$2:$E$16,2,FALSE))))</f>
        <v/>
      </c>
      <c r="AA70" s="630"/>
      <c r="AB70" s="634"/>
      <c r="AC70" s="712" t="str">
        <f>IF(AB70="","",IF(I70=1,VLOOKUP(AB70,男子種目コード!$D$2:$E$16,2,FALSE),IF(I70=2,VLOOKUP(AB70,女子種目コード!$D$2:$E$16,2,FALSE))))</f>
        <v/>
      </c>
      <c r="AD70" s="705"/>
      <c r="AE70" s="635"/>
      <c r="AF70" s="712"/>
      <c r="AG70" s="706"/>
      <c r="AH70" s="657"/>
      <c r="AI70" s="657"/>
      <c r="AK70" s="730"/>
      <c r="AL70" s="652" t="str">
        <f t="shared" si="9"/>
        <v/>
      </c>
      <c r="AM70" s="662"/>
      <c r="AN70" s="662"/>
      <c r="AO70" s="662"/>
      <c r="AP70" s="662"/>
      <c r="AQ70" s="662"/>
      <c r="AR70" s="662"/>
      <c r="AS70" s="662"/>
      <c r="AT70" s="707">
        <f t="shared" si="17"/>
        <v>0</v>
      </c>
      <c r="AU70" s="662"/>
      <c r="AV70" s="652">
        <f t="shared" si="18"/>
        <v>0</v>
      </c>
      <c r="AW70" s="652" t="str">
        <f t="shared" si="19"/>
        <v/>
      </c>
      <c r="AX70" s="652" t="str">
        <f t="shared" si="20"/>
        <v/>
      </c>
      <c r="AY70" s="662"/>
      <c r="AZ70" s="662"/>
      <c r="BA70" s="662"/>
      <c r="BB70" s="662"/>
      <c r="BG70" s="662"/>
      <c r="BH70" s="1037"/>
      <c r="BI70" s="1037"/>
      <c r="BJ70" s="1037"/>
      <c r="BK70" s="1037"/>
      <c r="BL70" s="1037"/>
    </row>
    <row r="71" spans="1:64">
      <c r="A71" s="698">
        <f t="shared" si="4"/>
        <v>0</v>
      </c>
      <c r="B71" s="704" t="str">
        <f>前年度登録!P68</f>
        <v/>
      </c>
      <c r="C71" s="708"/>
      <c r="D71" s="708"/>
      <c r="E71" s="709">
        <f>前年度登録!E68</f>
        <v>0</v>
      </c>
      <c r="F71" s="557" t="str">
        <f>前年度登録!CM68</f>
        <v/>
      </c>
      <c r="G71" s="993" t="str">
        <f>前年度登録!Z68</f>
        <v/>
      </c>
      <c r="H71" s="534" t="str">
        <f>前年度登録!CM68</f>
        <v/>
      </c>
      <c r="I71" s="257" t="str">
        <f>前年度登録!Y68</f>
        <v/>
      </c>
      <c r="J71" s="323" t="str">
        <f>前年度登録!CN68</f>
        <v/>
      </c>
      <c r="K71" s="1288">
        <f>前年度登録!CP68</f>
        <v>0</v>
      </c>
      <c r="L71" s="896" t="str">
        <f>前年度登録!CU68</f>
        <v>00</v>
      </c>
      <c r="M71" s="704" t="str">
        <f>前年度登録!Q68</f>
        <v/>
      </c>
      <c r="N71" s="1289">
        <f>前年度登録!D68</f>
        <v>0</v>
      </c>
      <c r="O71" s="1282"/>
      <c r="P71" s="258" t="str">
        <f>IF(O71="","",IF(I71=1,VLOOKUP(O71,男子種目コード!$J$1:$K$16,2,FALSE),IF(I71=2,VLOOKUP(O71,女子種目コード!$J$1:$K$16,2,FALSE))))</f>
        <v/>
      </c>
      <c r="Q71" s="494" t="str">
        <f>IF(O71="","",HLOOKUP(O71,前年度登録!$AH$3:$CH$118,66,FALSE))</f>
        <v/>
      </c>
      <c r="R71" s="624" t="str">
        <f t="shared" si="5"/>
        <v/>
      </c>
      <c r="S71" s="625" t="str">
        <f t="shared" si="6"/>
        <v/>
      </c>
      <c r="T71" s="259"/>
      <c r="U71" s="710" t="str">
        <f>IF(T71="","",IF(I71=1,VLOOKUP(T71,男子種目コード!$J$17:$K$19,2,FALSE),IF(I71=2,VLOOKUP(T71,女子種目コード!$J$17:$K$19,2,FALSE))))</f>
        <v/>
      </c>
      <c r="V71" s="628"/>
      <c r="W71" s="624" t="str">
        <f t="shared" si="7"/>
        <v/>
      </c>
      <c r="X71" s="625" t="str">
        <f t="shared" si="8"/>
        <v/>
      </c>
      <c r="Y71" s="633"/>
      <c r="Z71" s="711" t="str">
        <f>IF(Y71="","",IF(I71=1,VLOOKUP(Y71,男子種目コード!$D$2:$E$16,2,FALSE),IF(I71=2,VLOOKUP(Y71,女子種目コード!$D$2:$E$16,2,FALSE))))</f>
        <v/>
      </c>
      <c r="AA71" s="630"/>
      <c r="AB71" s="634"/>
      <c r="AC71" s="712" t="str">
        <f>IF(AB71="","",IF(I71=1,VLOOKUP(AB71,男子種目コード!$D$2:$E$16,2,FALSE),IF(I71=2,VLOOKUP(AB71,女子種目コード!$D$2:$E$16,2,FALSE))))</f>
        <v/>
      </c>
      <c r="AD71" s="705"/>
      <c r="AE71" s="635"/>
      <c r="AF71" s="712"/>
      <c r="AG71" s="706"/>
      <c r="AH71" s="657"/>
      <c r="AI71" s="657"/>
      <c r="AK71" s="730"/>
      <c r="AL71" s="652" t="str">
        <f t="shared" si="9"/>
        <v/>
      </c>
      <c r="AM71" s="662"/>
      <c r="AN71" s="662"/>
      <c r="AO71" s="662"/>
      <c r="AP71" s="662"/>
      <c r="AQ71" s="662"/>
      <c r="AR71" s="662"/>
      <c r="AS71" s="662"/>
      <c r="AT71" s="707">
        <f t="shared" ref="AT71:AT102" si="21">IF(OR(AL71=1,T71=""),0,1)</f>
        <v>0</v>
      </c>
      <c r="AU71" s="662"/>
      <c r="AV71" s="652">
        <f t="shared" ref="AV71:AV102" si="22">COUNT(P71,U71)</f>
        <v>0</v>
      </c>
      <c r="AW71" s="652" t="str">
        <f t="shared" ref="AW71:AW102" si="23">IF(I71=1,AV71,"")</f>
        <v/>
      </c>
      <c r="AX71" s="652" t="str">
        <f t="shared" ref="AX71:AX102" si="24">IF(I71=2,AV71,"")</f>
        <v/>
      </c>
      <c r="AY71" s="662"/>
      <c r="AZ71" s="662"/>
      <c r="BA71" s="662"/>
      <c r="BB71" s="662"/>
      <c r="BG71" s="662"/>
      <c r="BH71" s="1037"/>
      <c r="BI71" s="1037"/>
      <c r="BJ71" s="1037"/>
      <c r="BK71" s="1037"/>
      <c r="BL71" s="1037"/>
    </row>
    <row r="72" spans="1:64">
      <c r="A72" s="698">
        <f t="shared" ref="A72:A116" si="25">T72</f>
        <v>0</v>
      </c>
      <c r="B72" s="704" t="str">
        <f>前年度登録!P69</f>
        <v/>
      </c>
      <c r="C72" s="708"/>
      <c r="D72" s="708"/>
      <c r="E72" s="709">
        <f>前年度登録!E69</f>
        <v>0</v>
      </c>
      <c r="F72" s="557" t="str">
        <f>前年度登録!CM69</f>
        <v/>
      </c>
      <c r="G72" s="993" t="str">
        <f>前年度登録!Z69</f>
        <v/>
      </c>
      <c r="H72" s="534" t="str">
        <f>前年度登録!CM69</f>
        <v/>
      </c>
      <c r="I72" s="257" t="str">
        <f>前年度登録!Y69</f>
        <v/>
      </c>
      <c r="J72" s="323" t="str">
        <f>前年度登録!CN69</f>
        <v/>
      </c>
      <c r="K72" s="1288">
        <f>前年度登録!CP69</f>
        <v>0</v>
      </c>
      <c r="L72" s="896" t="str">
        <f>前年度登録!CU69</f>
        <v>00</v>
      </c>
      <c r="M72" s="704" t="str">
        <f>前年度登録!Q69</f>
        <v/>
      </c>
      <c r="N72" s="1289">
        <f>前年度登録!D69</f>
        <v>0</v>
      </c>
      <c r="O72" s="1282"/>
      <c r="P72" s="258" t="str">
        <f>IF(O72="","",IF(I72=1,VLOOKUP(O72,男子種目コード!$J$1:$K$16,2,FALSE),IF(I72=2,VLOOKUP(O72,女子種目コード!$J$1:$K$16,2,FALSE))))</f>
        <v/>
      </c>
      <c r="Q72" s="494" t="str">
        <f>IF(O72="","",HLOOKUP(O72,前年度登録!$AH$3:$CH$118,67,FALSE))</f>
        <v/>
      </c>
      <c r="R72" s="624" t="str">
        <f t="shared" ref="R72:R116" si="26">IF(O72="","",0)</f>
        <v/>
      </c>
      <c r="S72" s="625" t="str">
        <f t="shared" ref="S72:S116" si="27">IF(O72="","",2)</f>
        <v/>
      </c>
      <c r="T72" s="259"/>
      <c r="U72" s="710" t="str">
        <f>IF(T72="","",IF(I72=1,VLOOKUP(T72,男子種目コード!$J$17:$K$19,2,FALSE),IF(I72=2,VLOOKUP(T72,女子種目コード!$J$17:$K$19,2,FALSE))))</f>
        <v/>
      </c>
      <c r="V72" s="628"/>
      <c r="W72" s="624" t="str">
        <f t="shared" ref="W72:W116" si="28">IF(T72="","",0)</f>
        <v/>
      </c>
      <c r="X72" s="625" t="str">
        <f t="shared" ref="X72:X116" si="29">IF(T72="","",2)</f>
        <v/>
      </c>
      <c r="Y72" s="633"/>
      <c r="Z72" s="711" t="str">
        <f>IF(Y72="","",IF(I72=1,VLOOKUP(Y72,男子種目コード!$D$2:$E$16,2,FALSE),IF(I72=2,VLOOKUP(Y72,女子種目コード!$D$2:$E$16,2,FALSE))))</f>
        <v/>
      </c>
      <c r="AA72" s="630"/>
      <c r="AB72" s="634"/>
      <c r="AC72" s="712" t="str">
        <f>IF(AB72="","",IF(I72=1,VLOOKUP(AB72,男子種目コード!$D$2:$E$16,2,FALSE),IF(I72=2,VLOOKUP(AB72,女子種目コード!$D$2:$E$16,2,FALSE))))</f>
        <v/>
      </c>
      <c r="AD72" s="705"/>
      <c r="AE72" s="635"/>
      <c r="AF72" s="712"/>
      <c r="AG72" s="706"/>
      <c r="AH72" s="657"/>
      <c r="AI72" s="657"/>
      <c r="AK72" s="730"/>
      <c r="AL72" s="652" t="str">
        <f t="shared" ref="AL72:AL116" si="30">IF(O72="","",1)</f>
        <v/>
      </c>
      <c r="AM72" s="662"/>
      <c r="AN72" s="662"/>
      <c r="AO72" s="662"/>
      <c r="AP72" s="662"/>
      <c r="AQ72" s="662"/>
      <c r="AR72" s="662"/>
      <c r="AS72" s="662"/>
      <c r="AT72" s="707">
        <f t="shared" si="21"/>
        <v>0</v>
      </c>
      <c r="AU72" s="662"/>
      <c r="AV72" s="652">
        <f t="shared" si="22"/>
        <v>0</v>
      </c>
      <c r="AW72" s="652" t="str">
        <f t="shared" si="23"/>
        <v/>
      </c>
      <c r="AX72" s="652" t="str">
        <f t="shared" si="24"/>
        <v/>
      </c>
      <c r="AY72" s="662"/>
      <c r="AZ72" s="662"/>
      <c r="BA72" s="662"/>
      <c r="BB72" s="662"/>
      <c r="BG72" s="662"/>
      <c r="BH72" s="1037"/>
      <c r="BI72" s="1037"/>
      <c r="BJ72" s="1037"/>
      <c r="BK72" s="1037"/>
      <c r="BL72" s="1037"/>
    </row>
    <row r="73" spans="1:64">
      <c r="A73" s="698">
        <f t="shared" si="25"/>
        <v>0</v>
      </c>
      <c r="B73" s="704" t="str">
        <f>前年度登録!P70</f>
        <v/>
      </c>
      <c r="C73" s="708"/>
      <c r="D73" s="708"/>
      <c r="E73" s="709">
        <f>前年度登録!E70</f>
        <v>0</v>
      </c>
      <c r="F73" s="557" t="str">
        <f>前年度登録!CM70</f>
        <v/>
      </c>
      <c r="G73" s="993" t="str">
        <f>前年度登録!Z70</f>
        <v/>
      </c>
      <c r="H73" s="534" t="str">
        <f>前年度登録!CM70</f>
        <v/>
      </c>
      <c r="I73" s="257" t="str">
        <f>前年度登録!Y70</f>
        <v/>
      </c>
      <c r="J73" s="323" t="str">
        <f>前年度登録!CN70</f>
        <v/>
      </c>
      <c r="K73" s="1288">
        <f>前年度登録!CP70</f>
        <v>0</v>
      </c>
      <c r="L73" s="896" t="str">
        <f>前年度登録!CU70</f>
        <v>00</v>
      </c>
      <c r="M73" s="704" t="str">
        <f>前年度登録!Q70</f>
        <v/>
      </c>
      <c r="N73" s="1289">
        <f>前年度登録!D70</f>
        <v>0</v>
      </c>
      <c r="O73" s="1282"/>
      <c r="P73" s="258" t="str">
        <f>IF(O73="","",IF(I73=1,VLOOKUP(O73,男子種目コード!$J$1:$K$16,2,FALSE),IF(I73=2,VLOOKUP(O73,女子種目コード!$J$1:$K$16,2,FALSE))))</f>
        <v/>
      </c>
      <c r="Q73" s="494" t="str">
        <f>IF(O73="","",HLOOKUP(O73,前年度登録!$AH$3:$CH$118,68,FALSE))</f>
        <v/>
      </c>
      <c r="R73" s="624" t="str">
        <f t="shared" si="26"/>
        <v/>
      </c>
      <c r="S73" s="625" t="str">
        <f t="shared" si="27"/>
        <v/>
      </c>
      <c r="T73" s="259"/>
      <c r="U73" s="710" t="str">
        <f>IF(T73="","",IF(I73=1,VLOOKUP(T73,男子種目コード!$J$17:$K$19,2,FALSE),IF(I73=2,VLOOKUP(T73,女子種目コード!$J$17:$K$19,2,FALSE))))</f>
        <v/>
      </c>
      <c r="V73" s="628"/>
      <c r="W73" s="624" t="str">
        <f t="shared" si="28"/>
        <v/>
      </c>
      <c r="X73" s="625" t="str">
        <f t="shared" si="29"/>
        <v/>
      </c>
      <c r="Y73" s="633"/>
      <c r="Z73" s="711" t="str">
        <f>IF(Y73="","",IF(I73=1,VLOOKUP(Y73,男子種目コード!$D$2:$E$16,2,FALSE),IF(I73=2,VLOOKUP(Y73,女子種目コード!$D$2:$E$16,2,FALSE))))</f>
        <v/>
      </c>
      <c r="AA73" s="630"/>
      <c r="AB73" s="634"/>
      <c r="AC73" s="712" t="str">
        <f>IF(AB73="","",IF(I73=1,VLOOKUP(AB73,男子種目コード!$D$2:$E$16,2,FALSE),IF(I73=2,VLOOKUP(AB73,女子種目コード!$D$2:$E$16,2,FALSE))))</f>
        <v/>
      </c>
      <c r="AD73" s="705"/>
      <c r="AE73" s="635"/>
      <c r="AF73" s="712"/>
      <c r="AG73" s="706"/>
      <c r="AH73" s="657"/>
      <c r="AI73" s="657"/>
      <c r="AK73" s="730"/>
      <c r="AL73" s="652" t="str">
        <f t="shared" si="30"/>
        <v/>
      </c>
      <c r="AM73" s="662"/>
      <c r="AN73" s="662"/>
      <c r="AO73" s="662"/>
      <c r="AP73" s="662"/>
      <c r="AQ73" s="662"/>
      <c r="AR73" s="662"/>
      <c r="AS73" s="662"/>
      <c r="AT73" s="707">
        <f t="shared" si="21"/>
        <v>0</v>
      </c>
      <c r="AU73" s="662"/>
      <c r="AV73" s="652">
        <f t="shared" si="22"/>
        <v>0</v>
      </c>
      <c r="AW73" s="652" t="str">
        <f t="shared" si="23"/>
        <v/>
      </c>
      <c r="AX73" s="652" t="str">
        <f t="shared" si="24"/>
        <v/>
      </c>
      <c r="AY73" s="662"/>
      <c r="AZ73" s="662"/>
      <c r="BA73" s="662"/>
      <c r="BB73" s="662"/>
      <c r="BG73" s="662"/>
      <c r="BH73" s="1037"/>
      <c r="BI73" s="1037"/>
      <c r="BJ73" s="1037"/>
      <c r="BK73" s="1037"/>
      <c r="BL73" s="1037"/>
    </row>
    <row r="74" spans="1:64">
      <c r="A74" s="698">
        <f t="shared" si="25"/>
        <v>0</v>
      </c>
      <c r="B74" s="704" t="str">
        <f>前年度登録!P71</f>
        <v/>
      </c>
      <c r="C74" s="708"/>
      <c r="D74" s="708"/>
      <c r="E74" s="709">
        <f>前年度登録!E71</f>
        <v>0</v>
      </c>
      <c r="F74" s="557" t="str">
        <f>前年度登録!CM71</f>
        <v/>
      </c>
      <c r="G74" s="993" t="str">
        <f>前年度登録!Z71</f>
        <v/>
      </c>
      <c r="H74" s="534" t="str">
        <f>前年度登録!CM71</f>
        <v/>
      </c>
      <c r="I74" s="257" t="str">
        <f>前年度登録!Y71</f>
        <v/>
      </c>
      <c r="J74" s="323" t="str">
        <f>前年度登録!CN71</f>
        <v/>
      </c>
      <c r="K74" s="1288">
        <f>前年度登録!CP71</f>
        <v>0</v>
      </c>
      <c r="L74" s="896" t="str">
        <f>前年度登録!CU71</f>
        <v>00</v>
      </c>
      <c r="M74" s="704" t="str">
        <f>前年度登録!Q71</f>
        <v/>
      </c>
      <c r="N74" s="1289">
        <f>前年度登録!D71</f>
        <v>0</v>
      </c>
      <c r="O74" s="1282"/>
      <c r="P74" s="258" t="str">
        <f>IF(O74="","",IF(I74=1,VLOOKUP(O74,男子種目コード!$J$1:$K$16,2,FALSE),IF(I74=2,VLOOKUP(O74,女子種目コード!$J$1:$K$16,2,FALSE))))</f>
        <v/>
      </c>
      <c r="Q74" s="494" t="str">
        <f>IF(O74="","",HLOOKUP(O74,前年度登録!$AH$3:$CH$118,69,FALSE))</f>
        <v/>
      </c>
      <c r="R74" s="624" t="str">
        <f t="shared" si="26"/>
        <v/>
      </c>
      <c r="S74" s="625" t="str">
        <f t="shared" si="27"/>
        <v/>
      </c>
      <c r="T74" s="259"/>
      <c r="U74" s="710" t="str">
        <f>IF(T74="","",IF(I74=1,VLOOKUP(T74,男子種目コード!$J$17:$K$19,2,FALSE),IF(I74=2,VLOOKUP(T74,女子種目コード!$J$17:$K$19,2,FALSE))))</f>
        <v/>
      </c>
      <c r="V74" s="628"/>
      <c r="W74" s="624" t="str">
        <f t="shared" si="28"/>
        <v/>
      </c>
      <c r="X74" s="625" t="str">
        <f t="shared" si="29"/>
        <v/>
      </c>
      <c r="Y74" s="633"/>
      <c r="Z74" s="711" t="str">
        <f>IF(Y74="","",IF(I74=1,VLOOKUP(Y74,男子種目コード!$D$2:$E$16,2,FALSE),IF(I74=2,VLOOKUP(Y74,女子種目コード!$D$2:$E$16,2,FALSE))))</f>
        <v/>
      </c>
      <c r="AA74" s="630"/>
      <c r="AB74" s="634"/>
      <c r="AC74" s="712" t="str">
        <f>IF(AB74="","",IF(I74=1,VLOOKUP(AB74,男子種目コード!$D$2:$E$16,2,FALSE),IF(I74=2,VLOOKUP(AB74,女子種目コード!$D$2:$E$16,2,FALSE))))</f>
        <v/>
      </c>
      <c r="AD74" s="705"/>
      <c r="AE74" s="635"/>
      <c r="AF74" s="712"/>
      <c r="AG74" s="706"/>
      <c r="AH74" s="657"/>
      <c r="AI74" s="657"/>
      <c r="AK74" s="730"/>
      <c r="AL74" s="652" t="str">
        <f t="shared" si="30"/>
        <v/>
      </c>
      <c r="AM74" s="662"/>
      <c r="AN74" s="662"/>
      <c r="AO74" s="662"/>
      <c r="AP74" s="662"/>
      <c r="AQ74" s="662"/>
      <c r="AR74" s="662"/>
      <c r="AS74" s="662"/>
      <c r="AT74" s="707">
        <f t="shared" si="21"/>
        <v>0</v>
      </c>
      <c r="AU74" s="662"/>
      <c r="AV74" s="652">
        <f t="shared" si="22"/>
        <v>0</v>
      </c>
      <c r="AW74" s="652" t="str">
        <f t="shared" si="23"/>
        <v/>
      </c>
      <c r="AX74" s="652" t="str">
        <f t="shared" si="24"/>
        <v/>
      </c>
      <c r="AY74" s="662"/>
      <c r="AZ74" s="662"/>
      <c r="BA74" s="662"/>
      <c r="BB74" s="662"/>
      <c r="BG74" s="662"/>
      <c r="BH74" s="1037"/>
      <c r="BI74" s="1037"/>
      <c r="BJ74" s="1037"/>
      <c r="BK74" s="1037"/>
      <c r="BL74" s="1037"/>
    </row>
    <row r="75" spans="1:64">
      <c r="A75" s="698">
        <f t="shared" si="25"/>
        <v>0</v>
      </c>
      <c r="B75" s="704" t="str">
        <f>前年度登録!P72</f>
        <v/>
      </c>
      <c r="C75" s="708"/>
      <c r="D75" s="708"/>
      <c r="E75" s="709">
        <f>前年度登録!E72</f>
        <v>0</v>
      </c>
      <c r="F75" s="557" t="str">
        <f>前年度登録!CM72</f>
        <v/>
      </c>
      <c r="G75" s="993" t="str">
        <f>前年度登録!Z72</f>
        <v/>
      </c>
      <c r="H75" s="534" t="str">
        <f>前年度登録!CM72</f>
        <v/>
      </c>
      <c r="I75" s="257" t="str">
        <f>前年度登録!Y72</f>
        <v/>
      </c>
      <c r="J75" s="323" t="str">
        <f>前年度登録!CN72</f>
        <v/>
      </c>
      <c r="K75" s="1288">
        <f>前年度登録!CP72</f>
        <v>0</v>
      </c>
      <c r="L75" s="896" t="str">
        <f>前年度登録!CU72</f>
        <v>00</v>
      </c>
      <c r="M75" s="704" t="str">
        <f>前年度登録!Q72</f>
        <v/>
      </c>
      <c r="N75" s="1289">
        <f>前年度登録!D72</f>
        <v>0</v>
      </c>
      <c r="O75" s="1282"/>
      <c r="P75" s="258" t="str">
        <f>IF(O75="","",IF(I75=1,VLOOKUP(O75,男子種目コード!$J$1:$K$16,2,FALSE),IF(I75=2,VLOOKUP(O75,女子種目コード!$J$1:$K$16,2,FALSE))))</f>
        <v/>
      </c>
      <c r="Q75" s="494" t="str">
        <f>IF(O75="","",HLOOKUP(O75,前年度登録!$AH$3:$CH$118,70,FALSE))</f>
        <v/>
      </c>
      <c r="R75" s="624" t="str">
        <f t="shared" si="26"/>
        <v/>
      </c>
      <c r="S75" s="625" t="str">
        <f t="shared" si="27"/>
        <v/>
      </c>
      <c r="T75" s="259"/>
      <c r="U75" s="710" t="str">
        <f>IF(T75="","",IF(I75=1,VLOOKUP(T75,男子種目コード!$J$17:$K$19,2,FALSE),IF(I75=2,VLOOKUP(T75,女子種目コード!$J$17:$K$19,2,FALSE))))</f>
        <v/>
      </c>
      <c r="V75" s="628"/>
      <c r="W75" s="624" t="str">
        <f t="shared" si="28"/>
        <v/>
      </c>
      <c r="X75" s="625" t="str">
        <f t="shared" si="29"/>
        <v/>
      </c>
      <c r="Y75" s="633"/>
      <c r="Z75" s="711" t="str">
        <f>IF(Y75="","",IF(I75=1,VLOOKUP(Y75,男子種目コード!$D$2:$E$16,2,FALSE),IF(I75=2,VLOOKUP(Y75,女子種目コード!$D$2:$E$16,2,FALSE))))</f>
        <v/>
      </c>
      <c r="AA75" s="630"/>
      <c r="AB75" s="634"/>
      <c r="AC75" s="712" t="str">
        <f>IF(AB75="","",IF(I75=1,VLOOKUP(AB75,男子種目コード!$D$2:$E$16,2,FALSE),IF(I75=2,VLOOKUP(AB75,女子種目コード!$D$2:$E$16,2,FALSE))))</f>
        <v/>
      </c>
      <c r="AD75" s="705"/>
      <c r="AE75" s="635"/>
      <c r="AF75" s="712"/>
      <c r="AG75" s="706"/>
      <c r="AH75" s="657"/>
      <c r="AI75" s="657"/>
      <c r="AK75" s="730"/>
      <c r="AL75" s="652" t="str">
        <f t="shared" si="30"/>
        <v/>
      </c>
      <c r="AM75" s="662"/>
      <c r="AN75" s="662"/>
      <c r="AO75" s="662"/>
      <c r="AP75" s="662"/>
      <c r="AQ75" s="662"/>
      <c r="AR75" s="662"/>
      <c r="AS75" s="662"/>
      <c r="AT75" s="707">
        <f t="shared" si="21"/>
        <v>0</v>
      </c>
      <c r="AU75" s="662"/>
      <c r="AV75" s="652">
        <f t="shared" si="22"/>
        <v>0</v>
      </c>
      <c r="AW75" s="652" t="str">
        <f t="shared" si="23"/>
        <v/>
      </c>
      <c r="AX75" s="652" t="str">
        <f t="shared" si="24"/>
        <v/>
      </c>
      <c r="AY75" s="662"/>
      <c r="AZ75" s="662"/>
      <c r="BA75" s="662"/>
      <c r="BB75" s="662"/>
      <c r="BG75" s="662"/>
      <c r="BH75" s="1037"/>
      <c r="BI75" s="1037"/>
      <c r="BJ75" s="1037"/>
      <c r="BK75" s="1037"/>
      <c r="BL75" s="1037"/>
    </row>
    <row r="76" spans="1:64">
      <c r="A76" s="698">
        <f t="shared" si="25"/>
        <v>0</v>
      </c>
      <c r="B76" s="704" t="str">
        <f>前年度登録!P73</f>
        <v/>
      </c>
      <c r="C76" s="708"/>
      <c r="D76" s="708"/>
      <c r="E76" s="709">
        <f>前年度登録!E73</f>
        <v>0</v>
      </c>
      <c r="F76" s="557" t="str">
        <f>前年度登録!CM73</f>
        <v/>
      </c>
      <c r="G76" s="993" t="str">
        <f>前年度登録!Z73</f>
        <v/>
      </c>
      <c r="H76" s="534" t="str">
        <f>前年度登録!CM73</f>
        <v/>
      </c>
      <c r="I76" s="257" t="str">
        <f>前年度登録!Y73</f>
        <v/>
      </c>
      <c r="J76" s="323" t="str">
        <f>前年度登録!CN73</f>
        <v/>
      </c>
      <c r="K76" s="1288">
        <f>前年度登録!CP73</f>
        <v>0</v>
      </c>
      <c r="L76" s="896" t="str">
        <f>前年度登録!CU73</f>
        <v>00</v>
      </c>
      <c r="M76" s="704" t="str">
        <f>前年度登録!Q73</f>
        <v/>
      </c>
      <c r="N76" s="1289">
        <f>前年度登録!D73</f>
        <v>0</v>
      </c>
      <c r="O76" s="1282"/>
      <c r="P76" s="258" t="str">
        <f>IF(O76="","",IF(I76=1,VLOOKUP(O76,男子種目コード!$J$1:$K$16,2,FALSE),IF(I76=2,VLOOKUP(O76,女子種目コード!$J$1:$K$16,2,FALSE))))</f>
        <v/>
      </c>
      <c r="Q76" s="494" t="str">
        <f>IF(O76="","",HLOOKUP(O76,前年度登録!$AH$3:$CH$118,71,FALSE))</f>
        <v/>
      </c>
      <c r="R76" s="624" t="str">
        <f t="shared" si="26"/>
        <v/>
      </c>
      <c r="S76" s="625" t="str">
        <f t="shared" si="27"/>
        <v/>
      </c>
      <c r="T76" s="259"/>
      <c r="U76" s="710" t="str">
        <f>IF(T76="","",IF(I76=1,VLOOKUP(T76,男子種目コード!$J$17:$K$19,2,FALSE),IF(I76=2,VLOOKUP(T76,女子種目コード!$J$17:$K$19,2,FALSE))))</f>
        <v/>
      </c>
      <c r="V76" s="628"/>
      <c r="W76" s="624" t="str">
        <f t="shared" si="28"/>
        <v/>
      </c>
      <c r="X76" s="625" t="str">
        <f t="shared" si="29"/>
        <v/>
      </c>
      <c r="Y76" s="633"/>
      <c r="Z76" s="711" t="str">
        <f>IF(Y76="","",IF(I76=1,VLOOKUP(Y76,男子種目コード!$D$2:$E$16,2,FALSE),IF(I76=2,VLOOKUP(Y76,女子種目コード!$D$2:$E$16,2,FALSE))))</f>
        <v/>
      </c>
      <c r="AA76" s="630"/>
      <c r="AB76" s="634"/>
      <c r="AC76" s="712" t="str">
        <f>IF(AB76="","",IF(I76=1,VLOOKUP(AB76,男子種目コード!$D$2:$E$16,2,FALSE),IF(I76=2,VLOOKUP(AB76,女子種目コード!$D$2:$E$16,2,FALSE))))</f>
        <v/>
      </c>
      <c r="AD76" s="705"/>
      <c r="AE76" s="635"/>
      <c r="AF76" s="712"/>
      <c r="AG76" s="706"/>
      <c r="AH76" s="657"/>
      <c r="AI76" s="657"/>
      <c r="AK76" s="730"/>
      <c r="AL76" s="652" t="str">
        <f t="shared" si="30"/>
        <v/>
      </c>
      <c r="AM76" s="662"/>
      <c r="AN76" s="662"/>
      <c r="AO76" s="662"/>
      <c r="AP76" s="662"/>
      <c r="AQ76" s="662"/>
      <c r="AR76" s="662"/>
      <c r="AS76" s="662"/>
      <c r="AT76" s="707">
        <f t="shared" si="21"/>
        <v>0</v>
      </c>
      <c r="AU76" s="662"/>
      <c r="AV76" s="652">
        <f t="shared" si="22"/>
        <v>0</v>
      </c>
      <c r="AW76" s="652" t="str">
        <f t="shared" si="23"/>
        <v/>
      </c>
      <c r="AX76" s="652" t="str">
        <f t="shared" si="24"/>
        <v/>
      </c>
      <c r="AY76" s="662"/>
      <c r="AZ76" s="662"/>
      <c r="BA76" s="662"/>
      <c r="BB76" s="662"/>
      <c r="BG76" s="662"/>
      <c r="BH76" s="1037"/>
      <c r="BI76" s="1037"/>
      <c r="BJ76" s="1037"/>
      <c r="BK76" s="1037"/>
      <c r="BL76" s="1037"/>
    </row>
    <row r="77" spans="1:64">
      <c r="A77" s="698">
        <f t="shared" si="25"/>
        <v>0</v>
      </c>
      <c r="B77" s="704" t="str">
        <f>前年度登録!P74</f>
        <v/>
      </c>
      <c r="C77" s="708"/>
      <c r="D77" s="708"/>
      <c r="E77" s="709">
        <f>前年度登録!E74</f>
        <v>0</v>
      </c>
      <c r="F77" s="557" t="str">
        <f>前年度登録!CM74</f>
        <v/>
      </c>
      <c r="G77" s="993" t="str">
        <f>前年度登録!Z74</f>
        <v/>
      </c>
      <c r="H77" s="534" t="str">
        <f>前年度登録!CM74</f>
        <v/>
      </c>
      <c r="I77" s="257" t="str">
        <f>前年度登録!Y74</f>
        <v/>
      </c>
      <c r="J77" s="323" t="str">
        <f>前年度登録!CN74</f>
        <v/>
      </c>
      <c r="K77" s="1288">
        <f>前年度登録!CP74</f>
        <v>0</v>
      </c>
      <c r="L77" s="896" t="str">
        <f>前年度登録!CU74</f>
        <v>00</v>
      </c>
      <c r="M77" s="704" t="str">
        <f>前年度登録!Q74</f>
        <v/>
      </c>
      <c r="N77" s="1289">
        <f>前年度登録!D74</f>
        <v>0</v>
      </c>
      <c r="O77" s="1282"/>
      <c r="P77" s="258" t="str">
        <f>IF(O77="","",IF(I77=1,VLOOKUP(O77,男子種目コード!$J$1:$K$16,2,FALSE),IF(I77=2,VLOOKUP(O77,女子種目コード!$J$1:$K$16,2,FALSE))))</f>
        <v/>
      </c>
      <c r="Q77" s="494" t="str">
        <f>IF(O77="","",HLOOKUP(O77,前年度登録!$AH$3:$CH$118,72,FALSE))</f>
        <v/>
      </c>
      <c r="R77" s="624" t="str">
        <f t="shared" si="26"/>
        <v/>
      </c>
      <c r="S77" s="625" t="str">
        <f t="shared" si="27"/>
        <v/>
      </c>
      <c r="T77" s="259"/>
      <c r="U77" s="710" t="str">
        <f>IF(T77="","",IF(I77=1,VLOOKUP(T77,男子種目コード!$J$17:$K$19,2,FALSE),IF(I77=2,VLOOKUP(T77,女子種目コード!$J$17:$K$19,2,FALSE))))</f>
        <v/>
      </c>
      <c r="V77" s="628"/>
      <c r="W77" s="624" t="str">
        <f t="shared" si="28"/>
        <v/>
      </c>
      <c r="X77" s="625" t="str">
        <f t="shared" si="29"/>
        <v/>
      </c>
      <c r="Y77" s="633"/>
      <c r="Z77" s="711" t="str">
        <f>IF(Y77="","",IF(I77=1,VLOOKUP(Y77,男子種目コード!$D$2:$E$16,2,FALSE),IF(I77=2,VLOOKUP(Y77,女子種目コード!$D$2:$E$16,2,FALSE))))</f>
        <v/>
      </c>
      <c r="AA77" s="630"/>
      <c r="AB77" s="634"/>
      <c r="AC77" s="712" t="str">
        <f>IF(AB77="","",IF(I77=1,VLOOKUP(AB77,男子種目コード!$D$2:$E$16,2,FALSE),IF(I77=2,VLOOKUP(AB77,女子種目コード!$D$2:$E$16,2,FALSE))))</f>
        <v/>
      </c>
      <c r="AD77" s="705"/>
      <c r="AE77" s="635"/>
      <c r="AF77" s="712"/>
      <c r="AG77" s="706"/>
      <c r="AH77" s="657"/>
      <c r="AI77" s="657"/>
      <c r="AK77" s="730"/>
      <c r="AL77" s="652" t="str">
        <f t="shared" si="30"/>
        <v/>
      </c>
      <c r="AM77" s="662"/>
      <c r="AN77" s="662"/>
      <c r="AO77" s="662"/>
      <c r="AP77" s="662"/>
      <c r="AQ77" s="662"/>
      <c r="AR77" s="662"/>
      <c r="AS77" s="662"/>
      <c r="AT77" s="707">
        <f t="shared" si="21"/>
        <v>0</v>
      </c>
      <c r="AU77" s="662"/>
      <c r="AV77" s="652">
        <f t="shared" si="22"/>
        <v>0</v>
      </c>
      <c r="AW77" s="652" t="str">
        <f t="shared" si="23"/>
        <v/>
      </c>
      <c r="AX77" s="652" t="str">
        <f t="shared" si="24"/>
        <v/>
      </c>
      <c r="AY77" s="662"/>
      <c r="AZ77" s="662"/>
      <c r="BA77" s="662"/>
      <c r="BB77" s="662"/>
      <c r="BG77" s="662"/>
      <c r="BH77" s="1037"/>
      <c r="BI77" s="1037"/>
      <c r="BJ77" s="1037"/>
      <c r="BK77" s="1037"/>
      <c r="BL77" s="1037"/>
    </row>
    <row r="78" spans="1:64">
      <c r="A78" s="698">
        <f t="shared" si="25"/>
        <v>0</v>
      </c>
      <c r="B78" s="704" t="str">
        <f>前年度登録!P75</f>
        <v/>
      </c>
      <c r="C78" s="708"/>
      <c r="D78" s="708"/>
      <c r="E78" s="709">
        <f>前年度登録!E75</f>
        <v>0</v>
      </c>
      <c r="F78" s="557" t="str">
        <f>前年度登録!CM75</f>
        <v/>
      </c>
      <c r="G78" s="993" t="str">
        <f>前年度登録!Z75</f>
        <v/>
      </c>
      <c r="H78" s="534" t="str">
        <f>前年度登録!CM75</f>
        <v/>
      </c>
      <c r="I78" s="257" t="str">
        <f>前年度登録!Y75</f>
        <v/>
      </c>
      <c r="J78" s="323" t="str">
        <f>前年度登録!CN75</f>
        <v/>
      </c>
      <c r="K78" s="1288">
        <f>前年度登録!CP75</f>
        <v>0</v>
      </c>
      <c r="L78" s="896" t="str">
        <f>前年度登録!CU75</f>
        <v>00</v>
      </c>
      <c r="M78" s="704" t="str">
        <f>前年度登録!Q75</f>
        <v/>
      </c>
      <c r="N78" s="1289">
        <f>前年度登録!D75</f>
        <v>0</v>
      </c>
      <c r="O78" s="1282"/>
      <c r="P78" s="258" t="str">
        <f>IF(O78="","",IF(I78=1,VLOOKUP(O78,男子種目コード!$J$1:$K$16,2,FALSE),IF(I78=2,VLOOKUP(O78,女子種目コード!$J$1:$K$16,2,FALSE))))</f>
        <v/>
      </c>
      <c r="Q78" s="494" t="str">
        <f>IF(O78="","",HLOOKUP(O78,前年度登録!$AH$3:$CH$118,73,FALSE))</f>
        <v/>
      </c>
      <c r="R78" s="624" t="str">
        <f t="shared" si="26"/>
        <v/>
      </c>
      <c r="S78" s="625" t="str">
        <f t="shared" si="27"/>
        <v/>
      </c>
      <c r="T78" s="259"/>
      <c r="U78" s="710" t="str">
        <f>IF(T78="","",IF(I78=1,VLOOKUP(T78,男子種目コード!$J$17:$K$19,2,FALSE),IF(I78=2,VLOOKUP(T78,女子種目コード!$J$17:$K$19,2,FALSE))))</f>
        <v/>
      </c>
      <c r="V78" s="628"/>
      <c r="W78" s="624" t="str">
        <f t="shared" si="28"/>
        <v/>
      </c>
      <c r="X78" s="625" t="str">
        <f t="shared" si="29"/>
        <v/>
      </c>
      <c r="Y78" s="633"/>
      <c r="Z78" s="711" t="str">
        <f>IF(Y78="","",IF(I78=1,VLOOKUP(Y78,男子種目コード!$D$2:$E$16,2,FALSE),IF(I78=2,VLOOKUP(Y78,女子種目コード!$D$2:$E$16,2,FALSE))))</f>
        <v/>
      </c>
      <c r="AA78" s="630"/>
      <c r="AB78" s="634"/>
      <c r="AC78" s="712" t="str">
        <f>IF(AB78="","",IF(I78=1,VLOOKUP(AB78,男子種目コード!$D$2:$E$16,2,FALSE),IF(I78=2,VLOOKUP(AB78,女子種目コード!$D$2:$E$16,2,FALSE))))</f>
        <v/>
      </c>
      <c r="AD78" s="705"/>
      <c r="AE78" s="635"/>
      <c r="AF78" s="712"/>
      <c r="AG78" s="706"/>
      <c r="AH78" s="657"/>
      <c r="AI78" s="657"/>
      <c r="AK78" s="730"/>
      <c r="AL78" s="652" t="str">
        <f t="shared" si="30"/>
        <v/>
      </c>
      <c r="AM78" s="662"/>
      <c r="AN78" s="662"/>
      <c r="AO78" s="662"/>
      <c r="AP78" s="662"/>
      <c r="AQ78" s="662"/>
      <c r="AR78" s="662"/>
      <c r="AS78" s="662"/>
      <c r="AT78" s="707">
        <f t="shared" si="21"/>
        <v>0</v>
      </c>
      <c r="AU78" s="662"/>
      <c r="AV78" s="652">
        <f t="shared" si="22"/>
        <v>0</v>
      </c>
      <c r="AW78" s="652" t="str">
        <f t="shared" si="23"/>
        <v/>
      </c>
      <c r="AX78" s="652" t="str">
        <f t="shared" si="24"/>
        <v/>
      </c>
      <c r="AY78" s="662"/>
      <c r="AZ78" s="662"/>
      <c r="BA78" s="662"/>
      <c r="BB78" s="662"/>
      <c r="BG78" s="662"/>
      <c r="BH78" s="1037"/>
      <c r="BI78" s="1037"/>
      <c r="BJ78" s="1037"/>
      <c r="BK78" s="1037"/>
      <c r="BL78" s="1037"/>
    </row>
    <row r="79" spans="1:64">
      <c r="A79" s="698">
        <f t="shared" si="25"/>
        <v>0</v>
      </c>
      <c r="B79" s="704" t="str">
        <f>前年度登録!P76</f>
        <v/>
      </c>
      <c r="C79" s="708"/>
      <c r="D79" s="708"/>
      <c r="E79" s="709">
        <f>前年度登録!E76</f>
        <v>0</v>
      </c>
      <c r="F79" s="557" t="str">
        <f>前年度登録!CM76</f>
        <v/>
      </c>
      <c r="G79" s="993" t="str">
        <f>前年度登録!Z76</f>
        <v/>
      </c>
      <c r="H79" s="534" t="str">
        <f>前年度登録!CM76</f>
        <v/>
      </c>
      <c r="I79" s="257" t="str">
        <f>前年度登録!Y76</f>
        <v/>
      </c>
      <c r="J79" s="323" t="str">
        <f>前年度登録!CN76</f>
        <v/>
      </c>
      <c r="K79" s="1288">
        <f>前年度登録!CP76</f>
        <v>0</v>
      </c>
      <c r="L79" s="896" t="str">
        <f>前年度登録!CU76</f>
        <v>00</v>
      </c>
      <c r="M79" s="704" t="str">
        <f>前年度登録!Q76</f>
        <v/>
      </c>
      <c r="N79" s="1289">
        <f>前年度登録!D76</f>
        <v>0</v>
      </c>
      <c r="O79" s="1282"/>
      <c r="P79" s="258" t="str">
        <f>IF(O79="","",IF(I79=1,VLOOKUP(O79,男子種目コード!$J$1:$K$16,2,FALSE),IF(I79=2,VLOOKUP(O79,女子種目コード!$J$1:$K$16,2,FALSE))))</f>
        <v/>
      </c>
      <c r="Q79" s="494" t="str">
        <f>IF(O79="","",HLOOKUP(O79,前年度登録!$AH$3:$CH$118,74,FALSE))</f>
        <v/>
      </c>
      <c r="R79" s="624" t="str">
        <f t="shared" si="26"/>
        <v/>
      </c>
      <c r="S79" s="625" t="str">
        <f t="shared" si="27"/>
        <v/>
      </c>
      <c r="T79" s="259"/>
      <c r="U79" s="710" t="str">
        <f>IF(T79="","",IF(I79=1,VLOOKUP(T79,男子種目コード!$J$17:$K$19,2,FALSE),IF(I79=2,VLOOKUP(T79,女子種目コード!$J$17:$K$19,2,FALSE))))</f>
        <v/>
      </c>
      <c r="V79" s="628"/>
      <c r="W79" s="624" t="str">
        <f t="shared" si="28"/>
        <v/>
      </c>
      <c r="X79" s="625" t="str">
        <f t="shared" si="29"/>
        <v/>
      </c>
      <c r="Y79" s="633"/>
      <c r="Z79" s="711" t="str">
        <f>IF(Y79="","",IF(I79=1,VLOOKUP(Y79,男子種目コード!$D$2:$E$16,2,FALSE),IF(I79=2,VLOOKUP(Y79,女子種目コード!$D$2:$E$16,2,FALSE))))</f>
        <v/>
      </c>
      <c r="AA79" s="630"/>
      <c r="AB79" s="634"/>
      <c r="AC79" s="712" t="str">
        <f>IF(AB79="","",IF(I79=1,VLOOKUP(AB79,男子種目コード!$D$2:$E$16,2,FALSE),IF(I79=2,VLOOKUP(AB79,女子種目コード!$D$2:$E$16,2,FALSE))))</f>
        <v/>
      </c>
      <c r="AD79" s="705"/>
      <c r="AE79" s="635"/>
      <c r="AF79" s="712"/>
      <c r="AG79" s="706"/>
      <c r="AH79" s="657"/>
      <c r="AI79" s="657"/>
      <c r="AK79" s="730"/>
      <c r="AL79" s="652" t="str">
        <f t="shared" si="30"/>
        <v/>
      </c>
      <c r="AM79" s="662"/>
      <c r="AN79" s="662"/>
      <c r="AO79" s="662"/>
      <c r="AP79" s="662"/>
      <c r="AQ79" s="662"/>
      <c r="AR79" s="662"/>
      <c r="AS79" s="662"/>
      <c r="AT79" s="707">
        <f t="shared" si="21"/>
        <v>0</v>
      </c>
      <c r="AU79" s="662"/>
      <c r="AV79" s="652">
        <f t="shared" si="22"/>
        <v>0</v>
      </c>
      <c r="AW79" s="652" t="str">
        <f t="shared" si="23"/>
        <v/>
      </c>
      <c r="AX79" s="652" t="str">
        <f t="shared" si="24"/>
        <v/>
      </c>
      <c r="AY79" s="662"/>
      <c r="AZ79" s="662"/>
      <c r="BA79" s="662"/>
      <c r="BB79" s="662"/>
      <c r="BG79" s="662"/>
      <c r="BH79" s="1037"/>
      <c r="BI79" s="1037"/>
      <c r="BJ79" s="1037"/>
      <c r="BK79" s="1037"/>
      <c r="BL79" s="1037"/>
    </row>
    <row r="80" spans="1:64">
      <c r="A80" s="698">
        <f t="shared" si="25"/>
        <v>0</v>
      </c>
      <c r="B80" s="704" t="str">
        <f>前年度登録!P77</f>
        <v/>
      </c>
      <c r="C80" s="708"/>
      <c r="D80" s="708"/>
      <c r="E80" s="709">
        <f>前年度登録!E77</f>
        <v>0</v>
      </c>
      <c r="F80" s="557" t="str">
        <f>前年度登録!CM77</f>
        <v/>
      </c>
      <c r="G80" s="993" t="str">
        <f>前年度登録!Z77</f>
        <v/>
      </c>
      <c r="H80" s="534" t="str">
        <f>前年度登録!CM77</f>
        <v/>
      </c>
      <c r="I80" s="257" t="str">
        <f>前年度登録!Y77</f>
        <v/>
      </c>
      <c r="J80" s="323" t="str">
        <f>前年度登録!CN77</f>
        <v/>
      </c>
      <c r="K80" s="1288">
        <f>前年度登録!CP77</f>
        <v>0</v>
      </c>
      <c r="L80" s="896" t="str">
        <f>前年度登録!CU77</f>
        <v>00</v>
      </c>
      <c r="M80" s="704" t="str">
        <f>前年度登録!Q77</f>
        <v/>
      </c>
      <c r="N80" s="1289">
        <f>前年度登録!D77</f>
        <v>0</v>
      </c>
      <c r="O80" s="1282"/>
      <c r="P80" s="258" t="str">
        <f>IF(O80="","",IF(I80=1,VLOOKUP(O80,男子種目コード!$J$1:$K$16,2,FALSE),IF(I80=2,VLOOKUP(O80,女子種目コード!$J$1:$K$16,2,FALSE))))</f>
        <v/>
      </c>
      <c r="Q80" s="494" t="str">
        <f>IF(O80="","",HLOOKUP(O80,前年度登録!$AH$3:$CH$118,75,FALSE))</f>
        <v/>
      </c>
      <c r="R80" s="624" t="str">
        <f t="shared" si="26"/>
        <v/>
      </c>
      <c r="S80" s="625" t="str">
        <f t="shared" si="27"/>
        <v/>
      </c>
      <c r="T80" s="259"/>
      <c r="U80" s="710" t="str">
        <f>IF(T80="","",IF(I80=1,VLOOKUP(T80,男子種目コード!$J$17:$K$19,2,FALSE),IF(I80=2,VLOOKUP(T80,女子種目コード!$J$17:$K$19,2,FALSE))))</f>
        <v/>
      </c>
      <c r="V80" s="628"/>
      <c r="W80" s="624" t="str">
        <f t="shared" si="28"/>
        <v/>
      </c>
      <c r="X80" s="625" t="str">
        <f t="shared" si="29"/>
        <v/>
      </c>
      <c r="Y80" s="633"/>
      <c r="Z80" s="711" t="str">
        <f>IF(Y80="","",IF(I80=1,VLOOKUP(Y80,男子種目コード!$D$2:$E$16,2,FALSE),IF(I80=2,VLOOKUP(Y80,女子種目コード!$D$2:$E$16,2,FALSE))))</f>
        <v/>
      </c>
      <c r="AA80" s="630"/>
      <c r="AB80" s="634"/>
      <c r="AC80" s="712" t="str">
        <f>IF(AB80="","",IF(I80=1,VLOOKUP(AB80,男子種目コード!$D$2:$E$16,2,FALSE),IF(I80=2,VLOOKUP(AB80,女子種目コード!$D$2:$E$16,2,FALSE))))</f>
        <v/>
      </c>
      <c r="AD80" s="705"/>
      <c r="AE80" s="635"/>
      <c r="AF80" s="712"/>
      <c r="AG80" s="706"/>
      <c r="AH80" s="657"/>
      <c r="AI80" s="657"/>
      <c r="AK80" s="730"/>
      <c r="AL80" s="652" t="str">
        <f t="shared" si="30"/>
        <v/>
      </c>
      <c r="AM80" s="662"/>
      <c r="AN80" s="662"/>
      <c r="AO80" s="662"/>
      <c r="AP80" s="662"/>
      <c r="AQ80" s="662"/>
      <c r="AR80" s="662"/>
      <c r="AS80" s="662"/>
      <c r="AT80" s="707">
        <f t="shared" si="21"/>
        <v>0</v>
      </c>
      <c r="AU80" s="662"/>
      <c r="AV80" s="652">
        <f t="shared" si="22"/>
        <v>0</v>
      </c>
      <c r="AW80" s="652" t="str">
        <f t="shared" si="23"/>
        <v/>
      </c>
      <c r="AX80" s="652" t="str">
        <f t="shared" si="24"/>
        <v/>
      </c>
      <c r="AY80" s="662"/>
      <c r="AZ80" s="662"/>
      <c r="BA80" s="662"/>
      <c r="BB80" s="662"/>
      <c r="BG80" s="662"/>
      <c r="BH80" s="1037"/>
      <c r="BI80" s="1037"/>
      <c r="BJ80" s="1037"/>
      <c r="BK80" s="1037"/>
      <c r="BL80" s="1037"/>
    </row>
    <row r="81" spans="1:64">
      <c r="A81" s="698">
        <f t="shared" si="25"/>
        <v>0</v>
      </c>
      <c r="B81" s="704" t="str">
        <f>前年度登録!P78</f>
        <v/>
      </c>
      <c r="C81" s="708"/>
      <c r="D81" s="708"/>
      <c r="E81" s="709">
        <f>前年度登録!E78</f>
        <v>0</v>
      </c>
      <c r="F81" s="557" t="str">
        <f>前年度登録!CM78</f>
        <v/>
      </c>
      <c r="G81" s="993" t="str">
        <f>前年度登録!Z78</f>
        <v/>
      </c>
      <c r="H81" s="534" t="str">
        <f>前年度登録!CM78</f>
        <v/>
      </c>
      <c r="I81" s="257" t="str">
        <f>前年度登録!Y78</f>
        <v/>
      </c>
      <c r="J81" s="323" t="str">
        <f>前年度登録!CN78</f>
        <v/>
      </c>
      <c r="K81" s="1288">
        <f>前年度登録!CP78</f>
        <v>0</v>
      </c>
      <c r="L81" s="896" t="str">
        <f>前年度登録!CU78</f>
        <v>00</v>
      </c>
      <c r="M81" s="704" t="str">
        <f>前年度登録!Q78</f>
        <v/>
      </c>
      <c r="N81" s="1289">
        <f>前年度登録!D78</f>
        <v>0</v>
      </c>
      <c r="O81" s="1282"/>
      <c r="P81" s="258" t="str">
        <f>IF(O81="","",IF(I81=1,VLOOKUP(O81,男子種目コード!$J$1:$K$16,2,FALSE),IF(I81=2,VLOOKUP(O81,女子種目コード!$J$1:$K$16,2,FALSE))))</f>
        <v/>
      </c>
      <c r="Q81" s="494" t="str">
        <f>IF(O81="","",HLOOKUP(O81,前年度登録!$AH$3:$CH$118,76,FALSE))</f>
        <v/>
      </c>
      <c r="R81" s="624" t="str">
        <f t="shared" si="26"/>
        <v/>
      </c>
      <c r="S81" s="625" t="str">
        <f t="shared" si="27"/>
        <v/>
      </c>
      <c r="T81" s="259"/>
      <c r="U81" s="710" t="str">
        <f>IF(T81="","",IF(I81=1,VLOOKUP(T81,男子種目コード!$J$17:$K$19,2,FALSE),IF(I81=2,VLOOKUP(T81,女子種目コード!$J$17:$K$19,2,FALSE))))</f>
        <v/>
      </c>
      <c r="V81" s="628"/>
      <c r="W81" s="624" t="str">
        <f t="shared" si="28"/>
        <v/>
      </c>
      <c r="X81" s="625" t="str">
        <f t="shared" si="29"/>
        <v/>
      </c>
      <c r="Y81" s="633"/>
      <c r="Z81" s="711" t="str">
        <f>IF(Y81="","",IF(I81=1,VLOOKUP(Y81,男子種目コード!$D$2:$E$16,2,FALSE),IF(I81=2,VLOOKUP(Y81,女子種目コード!$D$2:$E$16,2,FALSE))))</f>
        <v/>
      </c>
      <c r="AA81" s="630"/>
      <c r="AB81" s="634"/>
      <c r="AC81" s="712" t="str">
        <f>IF(AB81="","",IF(I81=1,VLOOKUP(AB81,男子種目コード!$D$2:$E$16,2,FALSE),IF(I81=2,VLOOKUP(AB81,女子種目コード!$D$2:$E$16,2,FALSE))))</f>
        <v/>
      </c>
      <c r="AD81" s="705"/>
      <c r="AE81" s="635"/>
      <c r="AF81" s="712"/>
      <c r="AG81" s="706"/>
      <c r="AH81" s="657"/>
      <c r="AI81" s="657"/>
      <c r="AK81" s="730"/>
      <c r="AL81" s="652" t="str">
        <f t="shared" si="30"/>
        <v/>
      </c>
      <c r="AM81" s="662"/>
      <c r="AN81" s="662"/>
      <c r="AO81" s="662"/>
      <c r="AP81" s="662"/>
      <c r="AQ81" s="662"/>
      <c r="AR81" s="662"/>
      <c r="AS81" s="662"/>
      <c r="AT81" s="707">
        <f t="shared" si="21"/>
        <v>0</v>
      </c>
      <c r="AU81" s="662"/>
      <c r="AV81" s="652">
        <f t="shared" si="22"/>
        <v>0</v>
      </c>
      <c r="AW81" s="652" t="str">
        <f t="shared" si="23"/>
        <v/>
      </c>
      <c r="AX81" s="652" t="str">
        <f t="shared" si="24"/>
        <v/>
      </c>
      <c r="AY81" s="662"/>
      <c r="AZ81" s="662"/>
      <c r="BA81" s="662"/>
      <c r="BB81" s="662"/>
      <c r="BG81" s="662"/>
      <c r="BH81" s="1037"/>
      <c r="BI81" s="1037"/>
      <c r="BJ81" s="1037"/>
      <c r="BK81" s="1037"/>
      <c r="BL81" s="1037"/>
    </row>
    <row r="82" spans="1:64">
      <c r="A82" s="698">
        <f t="shared" si="25"/>
        <v>0</v>
      </c>
      <c r="B82" s="704" t="str">
        <f>前年度登録!P79</f>
        <v/>
      </c>
      <c r="C82" s="708"/>
      <c r="D82" s="708"/>
      <c r="E82" s="709">
        <f>前年度登録!E79</f>
        <v>0</v>
      </c>
      <c r="F82" s="557" t="str">
        <f>前年度登録!CM79</f>
        <v/>
      </c>
      <c r="G82" s="993" t="str">
        <f>前年度登録!Z79</f>
        <v/>
      </c>
      <c r="H82" s="534" t="str">
        <f>前年度登録!CM79</f>
        <v/>
      </c>
      <c r="I82" s="257" t="str">
        <f>前年度登録!Y79</f>
        <v/>
      </c>
      <c r="J82" s="323" t="str">
        <f>前年度登録!CN79</f>
        <v/>
      </c>
      <c r="K82" s="1288">
        <f>前年度登録!CP79</f>
        <v>0</v>
      </c>
      <c r="L82" s="896" t="str">
        <f>前年度登録!CU79</f>
        <v>00</v>
      </c>
      <c r="M82" s="704" t="str">
        <f>前年度登録!Q79</f>
        <v/>
      </c>
      <c r="N82" s="1289">
        <f>前年度登録!D79</f>
        <v>0</v>
      </c>
      <c r="O82" s="1282"/>
      <c r="P82" s="258" t="str">
        <f>IF(O82="","",IF(I82=1,VLOOKUP(O82,男子種目コード!$J$1:$K$16,2,FALSE),IF(I82=2,VLOOKUP(O82,女子種目コード!$J$1:$K$16,2,FALSE))))</f>
        <v/>
      </c>
      <c r="Q82" s="494" t="str">
        <f>IF(O82="","",HLOOKUP(O82,前年度登録!$AH$3:$CH$118,77,FALSE))</f>
        <v/>
      </c>
      <c r="R82" s="624" t="str">
        <f t="shared" si="26"/>
        <v/>
      </c>
      <c r="S82" s="625" t="str">
        <f t="shared" si="27"/>
        <v/>
      </c>
      <c r="T82" s="259"/>
      <c r="U82" s="710" t="str">
        <f>IF(T82="","",IF(I82=1,VLOOKUP(T82,男子種目コード!$J$17:$K$19,2,FALSE),IF(I82=2,VLOOKUP(T82,女子種目コード!$J$17:$K$19,2,FALSE))))</f>
        <v/>
      </c>
      <c r="V82" s="628"/>
      <c r="W82" s="624" t="str">
        <f t="shared" si="28"/>
        <v/>
      </c>
      <c r="X82" s="625" t="str">
        <f t="shared" si="29"/>
        <v/>
      </c>
      <c r="Y82" s="633"/>
      <c r="Z82" s="711" t="str">
        <f>IF(Y82="","",IF(I82=1,VLOOKUP(Y82,男子種目コード!$D$2:$E$16,2,FALSE),IF(I82=2,VLOOKUP(Y82,女子種目コード!$D$2:$E$16,2,FALSE))))</f>
        <v/>
      </c>
      <c r="AA82" s="630"/>
      <c r="AB82" s="634"/>
      <c r="AC82" s="712" t="str">
        <f>IF(AB82="","",IF(I82=1,VLOOKUP(AB82,男子種目コード!$D$2:$E$16,2,FALSE),IF(I82=2,VLOOKUP(AB82,女子種目コード!$D$2:$E$16,2,FALSE))))</f>
        <v/>
      </c>
      <c r="AD82" s="705"/>
      <c r="AE82" s="635"/>
      <c r="AF82" s="712"/>
      <c r="AG82" s="706"/>
      <c r="AH82" s="657"/>
      <c r="AI82" s="657"/>
      <c r="AK82" s="730"/>
      <c r="AL82" s="652" t="str">
        <f t="shared" si="30"/>
        <v/>
      </c>
      <c r="AM82" s="662"/>
      <c r="AN82" s="662"/>
      <c r="AO82" s="662"/>
      <c r="AP82" s="662"/>
      <c r="AQ82" s="662"/>
      <c r="AR82" s="662"/>
      <c r="AS82" s="662"/>
      <c r="AT82" s="707">
        <f t="shared" si="21"/>
        <v>0</v>
      </c>
      <c r="AU82" s="662"/>
      <c r="AV82" s="652">
        <f t="shared" si="22"/>
        <v>0</v>
      </c>
      <c r="AW82" s="652" t="str">
        <f t="shared" si="23"/>
        <v/>
      </c>
      <c r="AX82" s="652" t="str">
        <f t="shared" si="24"/>
        <v/>
      </c>
      <c r="AY82" s="662"/>
      <c r="AZ82" s="662"/>
      <c r="BA82" s="662"/>
      <c r="BB82" s="662"/>
      <c r="BG82" s="662"/>
      <c r="BH82" s="1037"/>
      <c r="BI82" s="1037"/>
      <c r="BJ82" s="1037"/>
      <c r="BK82" s="1037"/>
      <c r="BL82" s="1037"/>
    </row>
    <row r="83" spans="1:64">
      <c r="A83" s="698">
        <f t="shared" si="25"/>
        <v>0</v>
      </c>
      <c r="B83" s="704" t="str">
        <f>前年度登録!P80</f>
        <v/>
      </c>
      <c r="C83" s="708"/>
      <c r="D83" s="708"/>
      <c r="E83" s="709">
        <f>前年度登録!E80</f>
        <v>0</v>
      </c>
      <c r="F83" s="557" t="str">
        <f>前年度登録!CM80</f>
        <v/>
      </c>
      <c r="G83" s="993" t="str">
        <f>前年度登録!Z80</f>
        <v/>
      </c>
      <c r="H83" s="534" t="str">
        <f>前年度登録!CM80</f>
        <v/>
      </c>
      <c r="I83" s="257" t="str">
        <f>前年度登録!Y80</f>
        <v/>
      </c>
      <c r="J83" s="323" t="str">
        <f>前年度登録!CN80</f>
        <v/>
      </c>
      <c r="K83" s="1288">
        <f>前年度登録!CP80</f>
        <v>0</v>
      </c>
      <c r="L83" s="896" t="str">
        <f>前年度登録!CU80</f>
        <v>00</v>
      </c>
      <c r="M83" s="704" t="str">
        <f>前年度登録!Q80</f>
        <v/>
      </c>
      <c r="N83" s="1289">
        <f>前年度登録!D80</f>
        <v>0</v>
      </c>
      <c r="O83" s="1282"/>
      <c r="P83" s="258" t="str">
        <f>IF(O83="","",IF(I83=1,VLOOKUP(O83,男子種目コード!$J$1:$K$16,2,FALSE),IF(I83=2,VLOOKUP(O83,女子種目コード!$J$1:$K$16,2,FALSE))))</f>
        <v/>
      </c>
      <c r="Q83" s="494" t="str">
        <f>IF(O83="","",HLOOKUP(O83,前年度登録!$AH$3:$CH$118,78,FALSE))</f>
        <v/>
      </c>
      <c r="R83" s="624" t="str">
        <f t="shared" si="26"/>
        <v/>
      </c>
      <c r="S83" s="625" t="str">
        <f t="shared" si="27"/>
        <v/>
      </c>
      <c r="T83" s="259"/>
      <c r="U83" s="710" t="str">
        <f>IF(T83="","",IF(I83=1,VLOOKUP(T83,男子種目コード!$J$17:$K$19,2,FALSE),IF(I83=2,VLOOKUP(T83,女子種目コード!$J$17:$K$19,2,FALSE))))</f>
        <v/>
      </c>
      <c r="V83" s="628"/>
      <c r="W83" s="624" t="str">
        <f t="shared" si="28"/>
        <v/>
      </c>
      <c r="X83" s="625" t="str">
        <f t="shared" si="29"/>
        <v/>
      </c>
      <c r="Y83" s="633"/>
      <c r="Z83" s="711" t="str">
        <f>IF(Y83="","",IF(I83=1,VLOOKUP(Y83,男子種目コード!$D$2:$E$16,2,FALSE),IF(I83=2,VLOOKUP(Y83,女子種目コード!$D$2:$E$16,2,FALSE))))</f>
        <v/>
      </c>
      <c r="AA83" s="630"/>
      <c r="AB83" s="634"/>
      <c r="AC83" s="712" t="str">
        <f>IF(AB83="","",IF(I83=1,VLOOKUP(AB83,男子種目コード!$D$2:$E$16,2,FALSE),IF(I83=2,VLOOKUP(AB83,女子種目コード!$D$2:$E$16,2,FALSE))))</f>
        <v/>
      </c>
      <c r="AD83" s="705"/>
      <c r="AE83" s="635"/>
      <c r="AF83" s="712"/>
      <c r="AG83" s="706"/>
      <c r="AH83" s="657"/>
      <c r="AI83" s="657"/>
      <c r="AK83" s="730"/>
      <c r="AL83" s="652" t="str">
        <f t="shared" si="30"/>
        <v/>
      </c>
      <c r="AM83" s="662"/>
      <c r="AN83" s="662"/>
      <c r="AO83" s="662"/>
      <c r="AP83" s="662"/>
      <c r="AQ83" s="662"/>
      <c r="AR83" s="662"/>
      <c r="AS83" s="662"/>
      <c r="AT83" s="707">
        <f t="shared" si="21"/>
        <v>0</v>
      </c>
      <c r="AU83" s="662"/>
      <c r="AV83" s="652">
        <f t="shared" si="22"/>
        <v>0</v>
      </c>
      <c r="AW83" s="652" t="str">
        <f t="shared" si="23"/>
        <v/>
      </c>
      <c r="AX83" s="652" t="str">
        <f t="shared" si="24"/>
        <v/>
      </c>
      <c r="AY83" s="662"/>
      <c r="AZ83" s="662"/>
      <c r="BA83" s="662"/>
      <c r="BB83" s="662"/>
      <c r="BG83" s="662"/>
      <c r="BH83" s="1037"/>
      <c r="BI83" s="1037"/>
      <c r="BJ83" s="1037"/>
      <c r="BK83" s="1037"/>
      <c r="BL83" s="1037"/>
    </row>
    <row r="84" spans="1:64">
      <c r="A84" s="698">
        <f t="shared" si="25"/>
        <v>0</v>
      </c>
      <c r="B84" s="704" t="str">
        <f>前年度登録!P81</f>
        <v/>
      </c>
      <c r="C84" s="708"/>
      <c r="D84" s="708"/>
      <c r="E84" s="709">
        <f>前年度登録!E81</f>
        <v>0</v>
      </c>
      <c r="F84" s="557" t="str">
        <f>前年度登録!CM81</f>
        <v/>
      </c>
      <c r="G84" s="993" t="str">
        <f>前年度登録!Z81</f>
        <v/>
      </c>
      <c r="H84" s="534" t="str">
        <f>前年度登録!CM81</f>
        <v/>
      </c>
      <c r="I84" s="257" t="str">
        <f>前年度登録!Y81</f>
        <v/>
      </c>
      <c r="J84" s="323" t="str">
        <f>前年度登録!CN81</f>
        <v/>
      </c>
      <c r="K84" s="1288">
        <f>前年度登録!CP81</f>
        <v>0</v>
      </c>
      <c r="L84" s="896" t="str">
        <f>前年度登録!CU81</f>
        <v>00</v>
      </c>
      <c r="M84" s="704" t="str">
        <f>前年度登録!Q81</f>
        <v/>
      </c>
      <c r="N84" s="1289">
        <f>前年度登録!D81</f>
        <v>0</v>
      </c>
      <c r="O84" s="1282"/>
      <c r="P84" s="258" t="str">
        <f>IF(O84="","",IF(I84=1,VLOOKUP(O84,男子種目コード!$J$1:$K$16,2,FALSE),IF(I84=2,VLOOKUP(O84,女子種目コード!$J$1:$K$16,2,FALSE))))</f>
        <v/>
      </c>
      <c r="Q84" s="494" t="str">
        <f>IF(O84="","",HLOOKUP(O84,前年度登録!$AH$3:$CH$118,79,FALSE))</f>
        <v/>
      </c>
      <c r="R84" s="624" t="str">
        <f t="shared" si="26"/>
        <v/>
      </c>
      <c r="S84" s="625" t="str">
        <f t="shared" si="27"/>
        <v/>
      </c>
      <c r="T84" s="259"/>
      <c r="U84" s="710" t="str">
        <f>IF(T84="","",IF(I84=1,VLOOKUP(T84,男子種目コード!$J$17:$K$19,2,FALSE),IF(I84=2,VLOOKUP(T84,女子種目コード!$J$17:$K$19,2,FALSE))))</f>
        <v/>
      </c>
      <c r="V84" s="628"/>
      <c r="W84" s="624" t="str">
        <f t="shared" si="28"/>
        <v/>
      </c>
      <c r="X84" s="625" t="str">
        <f t="shared" si="29"/>
        <v/>
      </c>
      <c r="Y84" s="633"/>
      <c r="Z84" s="711" t="str">
        <f>IF(Y84="","",IF(I84=1,VLOOKUP(Y84,男子種目コード!$D$2:$E$16,2,FALSE),IF(I84=2,VLOOKUP(Y84,女子種目コード!$D$2:$E$16,2,FALSE))))</f>
        <v/>
      </c>
      <c r="AA84" s="630"/>
      <c r="AB84" s="634"/>
      <c r="AC84" s="712" t="str">
        <f>IF(AB84="","",IF(I84=1,VLOOKUP(AB84,男子種目コード!$D$2:$E$16,2,FALSE),IF(I84=2,VLOOKUP(AB84,女子種目コード!$D$2:$E$16,2,FALSE))))</f>
        <v/>
      </c>
      <c r="AD84" s="705"/>
      <c r="AE84" s="635"/>
      <c r="AF84" s="712"/>
      <c r="AG84" s="706"/>
      <c r="AH84" s="657"/>
      <c r="AI84" s="657"/>
      <c r="AK84" s="730"/>
      <c r="AL84" s="652" t="str">
        <f t="shared" si="30"/>
        <v/>
      </c>
      <c r="AM84" s="662"/>
      <c r="AN84" s="662"/>
      <c r="AO84" s="662"/>
      <c r="AP84" s="662"/>
      <c r="AQ84" s="662"/>
      <c r="AR84" s="662"/>
      <c r="AS84" s="662"/>
      <c r="AT84" s="707">
        <f t="shared" si="21"/>
        <v>0</v>
      </c>
      <c r="AU84" s="662"/>
      <c r="AV84" s="652">
        <f t="shared" si="22"/>
        <v>0</v>
      </c>
      <c r="AW84" s="652" t="str">
        <f t="shared" si="23"/>
        <v/>
      </c>
      <c r="AX84" s="652" t="str">
        <f t="shared" si="24"/>
        <v/>
      </c>
      <c r="AY84" s="662"/>
      <c r="AZ84" s="662"/>
      <c r="BA84" s="662"/>
      <c r="BB84" s="662"/>
      <c r="BG84" s="662"/>
      <c r="BH84" s="1037"/>
      <c r="BI84" s="1037"/>
      <c r="BJ84" s="1037"/>
      <c r="BK84" s="1037"/>
      <c r="BL84" s="1037"/>
    </row>
    <row r="85" spans="1:64">
      <c r="A85" s="698">
        <f t="shared" si="25"/>
        <v>0</v>
      </c>
      <c r="B85" s="704" t="str">
        <f>前年度登録!P82</f>
        <v/>
      </c>
      <c r="C85" s="708"/>
      <c r="D85" s="708"/>
      <c r="E85" s="709">
        <f>前年度登録!E82</f>
        <v>0</v>
      </c>
      <c r="F85" s="557" t="str">
        <f>前年度登録!CM82</f>
        <v/>
      </c>
      <c r="G85" s="993" t="str">
        <f>前年度登録!Z82</f>
        <v/>
      </c>
      <c r="H85" s="534" t="str">
        <f>前年度登録!CM82</f>
        <v/>
      </c>
      <c r="I85" s="257" t="str">
        <f>前年度登録!Y82</f>
        <v/>
      </c>
      <c r="J85" s="323" t="str">
        <f>前年度登録!CN82</f>
        <v/>
      </c>
      <c r="K85" s="1288">
        <f>前年度登録!CP82</f>
        <v>0</v>
      </c>
      <c r="L85" s="896" t="str">
        <f>前年度登録!CU82</f>
        <v>00</v>
      </c>
      <c r="M85" s="704" t="str">
        <f>前年度登録!Q82</f>
        <v/>
      </c>
      <c r="N85" s="1289">
        <f>前年度登録!D82</f>
        <v>0</v>
      </c>
      <c r="O85" s="1282"/>
      <c r="P85" s="258" t="str">
        <f>IF(O85="","",IF(I85=1,VLOOKUP(O85,男子種目コード!$J$1:$K$16,2,FALSE),IF(I85=2,VLOOKUP(O85,女子種目コード!$J$1:$K$16,2,FALSE))))</f>
        <v/>
      </c>
      <c r="Q85" s="494" t="str">
        <f>IF(O85="","",HLOOKUP(O85,前年度登録!$AH$3:$CH$118,80,FALSE))</f>
        <v/>
      </c>
      <c r="R85" s="624" t="str">
        <f t="shared" si="26"/>
        <v/>
      </c>
      <c r="S85" s="625" t="str">
        <f t="shared" si="27"/>
        <v/>
      </c>
      <c r="T85" s="259"/>
      <c r="U85" s="710" t="str">
        <f>IF(T85="","",IF(I85=1,VLOOKUP(T85,男子種目コード!$J$17:$K$19,2,FALSE),IF(I85=2,VLOOKUP(T85,女子種目コード!$J$17:$K$19,2,FALSE))))</f>
        <v/>
      </c>
      <c r="V85" s="628"/>
      <c r="W85" s="624" t="str">
        <f t="shared" si="28"/>
        <v/>
      </c>
      <c r="X85" s="625" t="str">
        <f t="shared" si="29"/>
        <v/>
      </c>
      <c r="Y85" s="633"/>
      <c r="Z85" s="711" t="str">
        <f>IF(Y85="","",IF(I85=1,VLOOKUP(Y85,男子種目コード!$D$2:$E$16,2,FALSE),IF(I85=2,VLOOKUP(Y85,女子種目コード!$D$2:$E$16,2,FALSE))))</f>
        <v/>
      </c>
      <c r="AA85" s="630"/>
      <c r="AB85" s="634"/>
      <c r="AC85" s="712" t="str">
        <f>IF(AB85="","",IF(I85=1,VLOOKUP(AB85,男子種目コード!$D$2:$E$16,2,FALSE),IF(I85=2,VLOOKUP(AB85,女子種目コード!$D$2:$E$16,2,FALSE))))</f>
        <v/>
      </c>
      <c r="AD85" s="705"/>
      <c r="AE85" s="635"/>
      <c r="AF85" s="712"/>
      <c r="AG85" s="706"/>
      <c r="AH85" s="657"/>
      <c r="AI85" s="657"/>
      <c r="AK85" s="730"/>
      <c r="AL85" s="652" t="str">
        <f t="shared" si="30"/>
        <v/>
      </c>
      <c r="AM85" s="662"/>
      <c r="AN85" s="662"/>
      <c r="AO85" s="662"/>
      <c r="AP85" s="662"/>
      <c r="AQ85" s="662"/>
      <c r="AR85" s="662"/>
      <c r="AS85" s="662"/>
      <c r="AT85" s="707">
        <f t="shared" si="21"/>
        <v>0</v>
      </c>
      <c r="AU85" s="662"/>
      <c r="AV85" s="652">
        <f t="shared" si="22"/>
        <v>0</v>
      </c>
      <c r="AW85" s="652" t="str">
        <f t="shared" si="23"/>
        <v/>
      </c>
      <c r="AX85" s="652" t="str">
        <f t="shared" si="24"/>
        <v/>
      </c>
      <c r="AY85" s="662"/>
      <c r="AZ85" s="662"/>
      <c r="BA85" s="662"/>
      <c r="BB85" s="662"/>
      <c r="BG85" s="662"/>
      <c r="BH85" s="1037"/>
      <c r="BI85" s="1037"/>
      <c r="BJ85" s="1037"/>
      <c r="BK85" s="1037"/>
      <c r="BL85" s="1037"/>
    </row>
    <row r="86" spans="1:64">
      <c r="A86" s="698">
        <f t="shared" si="25"/>
        <v>0</v>
      </c>
      <c r="B86" s="704" t="str">
        <f>前年度登録!P83</f>
        <v/>
      </c>
      <c r="C86" s="708"/>
      <c r="D86" s="708"/>
      <c r="E86" s="709">
        <f>前年度登録!E83</f>
        <v>0</v>
      </c>
      <c r="F86" s="557" t="str">
        <f>前年度登録!CM83</f>
        <v/>
      </c>
      <c r="G86" s="993" t="str">
        <f>前年度登録!Z83</f>
        <v/>
      </c>
      <c r="H86" s="534" t="str">
        <f>前年度登録!CM83</f>
        <v/>
      </c>
      <c r="I86" s="257" t="str">
        <f>前年度登録!Y83</f>
        <v/>
      </c>
      <c r="J86" s="323" t="str">
        <f>前年度登録!CN83</f>
        <v/>
      </c>
      <c r="K86" s="1288">
        <f>前年度登録!CP83</f>
        <v>0</v>
      </c>
      <c r="L86" s="896" t="str">
        <f>前年度登録!CU83</f>
        <v>00</v>
      </c>
      <c r="M86" s="704" t="str">
        <f>前年度登録!Q83</f>
        <v/>
      </c>
      <c r="N86" s="1289">
        <f>前年度登録!D83</f>
        <v>0</v>
      </c>
      <c r="O86" s="1282"/>
      <c r="P86" s="258" t="str">
        <f>IF(O86="","",IF(I86=1,VLOOKUP(O86,男子種目コード!$J$1:$K$16,2,FALSE),IF(I86=2,VLOOKUP(O86,女子種目コード!$J$1:$K$16,2,FALSE))))</f>
        <v/>
      </c>
      <c r="Q86" s="494" t="str">
        <f>IF(O86="","",HLOOKUP(O86,前年度登録!$AH$3:$CH$118,81,FALSE))</f>
        <v/>
      </c>
      <c r="R86" s="624" t="str">
        <f t="shared" si="26"/>
        <v/>
      </c>
      <c r="S86" s="625" t="str">
        <f t="shared" si="27"/>
        <v/>
      </c>
      <c r="T86" s="259"/>
      <c r="U86" s="710" t="str">
        <f>IF(T86="","",IF(I86=1,VLOOKUP(T86,男子種目コード!$J$17:$K$19,2,FALSE),IF(I86=2,VLOOKUP(T86,女子種目コード!$J$17:$K$19,2,FALSE))))</f>
        <v/>
      </c>
      <c r="V86" s="628"/>
      <c r="W86" s="624" t="str">
        <f t="shared" si="28"/>
        <v/>
      </c>
      <c r="X86" s="625" t="str">
        <f t="shared" si="29"/>
        <v/>
      </c>
      <c r="Y86" s="633"/>
      <c r="Z86" s="711" t="str">
        <f>IF(Y86="","",IF(I86=1,VLOOKUP(Y86,男子種目コード!$D$2:$E$16,2,FALSE),IF(I86=2,VLOOKUP(Y86,女子種目コード!$D$2:$E$16,2,FALSE))))</f>
        <v/>
      </c>
      <c r="AA86" s="630"/>
      <c r="AB86" s="634"/>
      <c r="AC86" s="712" t="str">
        <f>IF(AB86="","",IF(I86=1,VLOOKUP(AB86,男子種目コード!$D$2:$E$16,2,FALSE),IF(I86=2,VLOOKUP(AB86,女子種目コード!$D$2:$E$16,2,FALSE))))</f>
        <v/>
      </c>
      <c r="AD86" s="705"/>
      <c r="AE86" s="635"/>
      <c r="AF86" s="712"/>
      <c r="AG86" s="706"/>
      <c r="AH86" s="657"/>
      <c r="AI86" s="657"/>
      <c r="AK86" s="730"/>
      <c r="AL86" s="652" t="str">
        <f t="shared" si="30"/>
        <v/>
      </c>
      <c r="AM86" s="662"/>
      <c r="AN86" s="662"/>
      <c r="AO86" s="662"/>
      <c r="AP86" s="662"/>
      <c r="AQ86" s="662"/>
      <c r="AR86" s="662"/>
      <c r="AS86" s="662"/>
      <c r="AT86" s="707">
        <f t="shared" si="21"/>
        <v>0</v>
      </c>
      <c r="AU86" s="662"/>
      <c r="AV86" s="652">
        <f t="shared" si="22"/>
        <v>0</v>
      </c>
      <c r="AW86" s="652" t="str">
        <f t="shared" si="23"/>
        <v/>
      </c>
      <c r="AX86" s="652" t="str">
        <f t="shared" si="24"/>
        <v/>
      </c>
      <c r="AY86" s="662"/>
      <c r="AZ86" s="662"/>
      <c r="BA86" s="662"/>
      <c r="BB86" s="662"/>
      <c r="BG86" s="662"/>
      <c r="BH86" s="1037"/>
      <c r="BI86" s="1037"/>
      <c r="BJ86" s="1037"/>
      <c r="BK86" s="1037"/>
      <c r="BL86" s="1037"/>
    </row>
    <row r="87" spans="1:64">
      <c r="A87" s="698">
        <f t="shared" si="25"/>
        <v>0</v>
      </c>
      <c r="B87" s="704" t="str">
        <f>前年度登録!P84</f>
        <v/>
      </c>
      <c r="C87" s="708"/>
      <c r="D87" s="708"/>
      <c r="E87" s="709">
        <f>前年度登録!E84</f>
        <v>0</v>
      </c>
      <c r="F87" s="557" t="str">
        <f>前年度登録!CM84</f>
        <v/>
      </c>
      <c r="G87" s="993" t="str">
        <f>前年度登録!Z84</f>
        <v/>
      </c>
      <c r="H87" s="534" t="str">
        <f>前年度登録!CM84</f>
        <v/>
      </c>
      <c r="I87" s="257" t="str">
        <f>前年度登録!Y84</f>
        <v/>
      </c>
      <c r="J87" s="323" t="str">
        <f>前年度登録!CN84</f>
        <v/>
      </c>
      <c r="K87" s="1288">
        <f>前年度登録!CP84</f>
        <v>0</v>
      </c>
      <c r="L87" s="896" t="str">
        <f>前年度登録!CU84</f>
        <v>00</v>
      </c>
      <c r="M87" s="704" t="str">
        <f>前年度登録!Q84</f>
        <v/>
      </c>
      <c r="N87" s="1289">
        <f>前年度登録!D84</f>
        <v>0</v>
      </c>
      <c r="O87" s="1282"/>
      <c r="P87" s="258" t="str">
        <f>IF(O87="","",IF(I87=1,VLOOKUP(O87,男子種目コード!$J$1:$K$16,2,FALSE),IF(I87=2,VLOOKUP(O87,女子種目コード!$J$1:$K$16,2,FALSE))))</f>
        <v/>
      </c>
      <c r="Q87" s="494" t="str">
        <f>IF(O87="","",HLOOKUP(O87,前年度登録!$AH$3:$CH$118,82,FALSE))</f>
        <v/>
      </c>
      <c r="R87" s="624" t="str">
        <f t="shared" si="26"/>
        <v/>
      </c>
      <c r="S87" s="625" t="str">
        <f t="shared" si="27"/>
        <v/>
      </c>
      <c r="T87" s="259"/>
      <c r="U87" s="710" t="str">
        <f>IF(T87="","",IF(I87=1,VLOOKUP(T87,男子種目コード!$J$17:$K$19,2,FALSE),IF(I87=2,VLOOKUP(T87,女子種目コード!$J$17:$K$19,2,FALSE))))</f>
        <v/>
      </c>
      <c r="V87" s="628"/>
      <c r="W87" s="624" t="str">
        <f t="shared" si="28"/>
        <v/>
      </c>
      <c r="X87" s="625" t="str">
        <f t="shared" si="29"/>
        <v/>
      </c>
      <c r="Y87" s="633"/>
      <c r="Z87" s="711" t="str">
        <f>IF(Y87="","",IF(I87=1,VLOOKUP(Y87,男子種目コード!$D$2:$E$16,2,FALSE),IF(I87=2,VLOOKUP(Y87,女子種目コード!$D$2:$E$16,2,FALSE))))</f>
        <v/>
      </c>
      <c r="AA87" s="630"/>
      <c r="AB87" s="634"/>
      <c r="AC87" s="712" t="str">
        <f>IF(AB87="","",IF(I87=1,VLOOKUP(AB87,男子種目コード!$D$2:$E$16,2,FALSE),IF(I87=2,VLOOKUP(AB87,女子種目コード!$D$2:$E$16,2,FALSE))))</f>
        <v/>
      </c>
      <c r="AD87" s="705"/>
      <c r="AE87" s="635"/>
      <c r="AF87" s="712"/>
      <c r="AG87" s="706"/>
      <c r="AH87" s="657"/>
      <c r="AI87" s="657"/>
      <c r="AK87" s="730"/>
      <c r="AL87" s="652" t="str">
        <f t="shared" si="30"/>
        <v/>
      </c>
      <c r="AM87" s="662"/>
      <c r="AN87" s="662"/>
      <c r="AO87" s="662"/>
      <c r="AP87" s="662"/>
      <c r="AQ87" s="662"/>
      <c r="AR87" s="662"/>
      <c r="AS87" s="662"/>
      <c r="AT87" s="707">
        <f t="shared" si="21"/>
        <v>0</v>
      </c>
      <c r="AU87" s="662"/>
      <c r="AV87" s="652">
        <f t="shared" si="22"/>
        <v>0</v>
      </c>
      <c r="AW87" s="652" t="str">
        <f t="shared" si="23"/>
        <v/>
      </c>
      <c r="AX87" s="652" t="str">
        <f t="shared" si="24"/>
        <v/>
      </c>
      <c r="AY87" s="662"/>
      <c r="AZ87" s="662"/>
      <c r="BA87" s="662"/>
      <c r="BB87" s="662"/>
      <c r="BG87" s="662"/>
      <c r="BH87" s="1037"/>
      <c r="BI87" s="1037"/>
      <c r="BJ87" s="1037"/>
      <c r="BK87" s="1037"/>
      <c r="BL87" s="1037"/>
    </row>
    <row r="88" spans="1:64">
      <c r="A88" s="698">
        <f t="shared" si="25"/>
        <v>0</v>
      </c>
      <c r="B88" s="704" t="str">
        <f>前年度登録!P85</f>
        <v/>
      </c>
      <c r="C88" s="708"/>
      <c r="D88" s="708"/>
      <c r="E88" s="709">
        <f>前年度登録!E85</f>
        <v>0</v>
      </c>
      <c r="F88" s="557" t="str">
        <f>前年度登録!CM85</f>
        <v/>
      </c>
      <c r="G88" s="993" t="str">
        <f>前年度登録!Z85</f>
        <v/>
      </c>
      <c r="H88" s="534" t="str">
        <f>前年度登録!CM85</f>
        <v/>
      </c>
      <c r="I88" s="257" t="str">
        <f>前年度登録!Y85</f>
        <v/>
      </c>
      <c r="J88" s="323" t="str">
        <f>前年度登録!CN85</f>
        <v/>
      </c>
      <c r="K88" s="1288">
        <f>前年度登録!CP85</f>
        <v>0</v>
      </c>
      <c r="L88" s="896" t="str">
        <f>前年度登録!CU85</f>
        <v>00</v>
      </c>
      <c r="M88" s="704" t="str">
        <f>前年度登録!Q85</f>
        <v/>
      </c>
      <c r="N88" s="1289">
        <f>前年度登録!D85</f>
        <v>0</v>
      </c>
      <c r="O88" s="1282"/>
      <c r="P88" s="258" t="str">
        <f>IF(O88="","",IF(I88=1,VLOOKUP(O88,男子種目コード!$J$1:$K$16,2,FALSE),IF(I88=2,VLOOKUP(O88,女子種目コード!$J$1:$K$16,2,FALSE))))</f>
        <v/>
      </c>
      <c r="Q88" s="494" t="str">
        <f>IF(O88="","",HLOOKUP(O88,前年度登録!$AH$3:$CH$118,83,FALSE))</f>
        <v/>
      </c>
      <c r="R88" s="624" t="str">
        <f t="shared" si="26"/>
        <v/>
      </c>
      <c r="S88" s="625" t="str">
        <f t="shared" si="27"/>
        <v/>
      </c>
      <c r="T88" s="259"/>
      <c r="U88" s="710" t="str">
        <f>IF(T88="","",IF(I88=1,VLOOKUP(T88,男子種目コード!$J$17:$K$19,2,FALSE),IF(I88=2,VLOOKUP(T88,女子種目コード!$J$17:$K$19,2,FALSE))))</f>
        <v/>
      </c>
      <c r="V88" s="628"/>
      <c r="W88" s="624" t="str">
        <f t="shared" si="28"/>
        <v/>
      </c>
      <c r="X88" s="625" t="str">
        <f t="shared" si="29"/>
        <v/>
      </c>
      <c r="Y88" s="633"/>
      <c r="Z88" s="711" t="str">
        <f>IF(Y88="","",IF(I88=1,VLOOKUP(Y88,男子種目コード!$D$2:$E$16,2,FALSE),IF(I88=2,VLOOKUP(Y88,女子種目コード!$D$2:$E$16,2,FALSE))))</f>
        <v/>
      </c>
      <c r="AA88" s="630"/>
      <c r="AB88" s="634"/>
      <c r="AC88" s="712" t="str">
        <f>IF(AB88="","",IF(I88=1,VLOOKUP(AB88,男子種目コード!$D$2:$E$16,2,FALSE),IF(I88=2,VLOOKUP(AB88,女子種目コード!$D$2:$E$16,2,FALSE))))</f>
        <v/>
      </c>
      <c r="AD88" s="705"/>
      <c r="AE88" s="635"/>
      <c r="AF88" s="712"/>
      <c r="AG88" s="706"/>
      <c r="AH88" s="657"/>
      <c r="AI88" s="657"/>
      <c r="AK88" s="730"/>
      <c r="AL88" s="652" t="str">
        <f t="shared" si="30"/>
        <v/>
      </c>
      <c r="AM88" s="662"/>
      <c r="AN88" s="662"/>
      <c r="AO88" s="662"/>
      <c r="AP88" s="662"/>
      <c r="AQ88" s="662"/>
      <c r="AR88" s="662"/>
      <c r="AS88" s="662"/>
      <c r="AT88" s="707">
        <f t="shared" si="21"/>
        <v>0</v>
      </c>
      <c r="AU88" s="662"/>
      <c r="AV88" s="652">
        <f t="shared" si="22"/>
        <v>0</v>
      </c>
      <c r="AW88" s="652" t="str">
        <f t="shared" si="23"/>
        <v/>
      </c>
      <c r="AX88" s="652" t="str">
        <f t="shared" si="24"/>
        <v/>
      </c>
      <c r="AY88" s="662"/>
      <c r="AZ88" s="662"/>
      <c r="BA88" s="662"/>
      <c r="BB88" s="662"/>
      <c r="BG88" s="662"/>
      <c r="BH88" s="1037"/>
      <c r="BI88" s="1037"/>
      <c r="BJ88" s="1037"/>
      <c r="BK88" s="1037"/>
      <c r="BL88" s="1037"/>
    </row>
    <row r="89" spans="1:64">
      <c r="A89" s="698">
        <f t="shared" si="25"/>
        <v>0</v>
      </c>
      <c r="B89" s="704" t="str">
        <f>前年度登録!P86</f>
        <v/>
      </c>
      <c r="C89" s="708"/>
      <c r="D89" s="708"/>
      <c r="E89" s="709">
        <f>前年度登録!E86</f>
        <v>0</v>
      </c>
      <c r="F89" s="557" t="str">
        <f>前年度登録!CM86</f>
        <v/>
      </c>
      <c r="G89" s="993" t="str">
        <f>前年度登録!Z86</f>
        <v/>
      </c>
      <c r="H89" s="534" t="str">
        <f>前年度登録!CM86</f>
        <v/>
      </c>
      <c r="I89" s="257" t="str">
        <f>前年度登録!Y86</f>
        <v/>
      </c>
      <c r="J89" s="323" t="str">
        <f>前年度登録!CN86</f>
        <v/>
      </c>
      <c r="K89" s="1288">
        <f>前年度登録!CP86</f>
        <v>0</v>
      </c>
      <c r="L89" s="896" t="str">
        <f>前年度登録!CU86</f>
        <v>00</v>
      </c>
      <c r="M89" s="704" t="str">
        <f>前年度登録!Q86</f>
        <v/>
      </c>
      <c r="N89" s="1289">
        <f>前年度登録!D86</f>
        <v>0</v>
      </c>
      <c r="O89" s="1282"/>
      <c r="P89" s="258" t="str">
        <f>IF(O89="","",IF(I89=1,VLOOKUP(O89,男子種目コード!$J$1:$K$16,2,FALSE),IF(I89=2,VLOOKUP(O89,女子種目コード!$J$1:$K$16,2,FALSE))))</f>
        <v/>
      </c>
      <c r="Q89" s="494" t="str">
        <f>IF(O89="","",HLOOKUP(O89,前年度登録!$AH$3:$CH$118,84,FALSE))</f>
        <v/>
      </c>
      <c r="R89" s="624" t="str">
        <f t="shared" si="26"/>
        <v/>
      </c>
      <c r="S89" s="625" t="str">
        <f t="shared" si="27"/>
        <v/>
      </c>
      <c r="T89" s="259"/>
      <c r="U89" s="710" t="str">
        <f>IF(T89="","",IF(I89=1,VLOOKUP(T89,男子種目コード!$J$17:$K$19,2,FALSE),IF(I89=2,VLOOKUP(T89,女子種目コード!$J$17:$K$19,2,FALSE))))</f>
        <v/>
      </c>
      <c r="V89" s="628"/>
      <c r="W89" s="624" t="str">
        <f t="shared" si="28"/>
        <v/>
      </c>
      <c r="X89" s="625" t="str">
        <f t="shared" si="29"/>
        <v/>
      </c>
      <c r="Y89" s="633"/>
      <c r="Z89" s="711" t="str">
        <f>IF(Y89="","",IF(I89=1,VLOOKUP(Y89,男子種目コード!$D$2:$E$16,2,FALSE),IF(I89=2,VLOOKUP(Y89,女子種目コード!$D$2:$E$16,2,FALSE))))</f>
        <v/>
      </c>
      <c r="AA89" s="630"/>
      <c r="AB89" s="634"/>
      <c r="AC89" s="712" t="str">
        <f>IF(AB89="","",IF(I89=1,VLOOKUP(AB89,男子種目コード!$D$2:$E$16,2,FALSE),IF(I89=2,VLOOKUP(AB89,女子種目コード!$D$2:$E$16,2,FALSE))))</f>
        <v/>
      </c>
      <c r="AD89" s="705"/>
      <c r="AE89" s="635"/>
      <c r="AF89" s="712"/>
      <c r="AG89" s="706"/>
      <c r="AH89" s="657"/>
      <c r="AI89" s="657"/>
      <c r="AK89" s="730"/>
      <c r="AL89" s="652" t="str">
        <f t="shared" si="30"/>
        <v/>
      </c>
      <c r="AM89" s="662"/>
      <c r="AN89" s="662"/>
      <c r="AO89" s="662"/>
      <c r="AP89" s="662"/>
      <c r="AQ89" s="662"/>
      <c r="AR89" s="662"/>
      <c r="AS89" s="662"/>
      <c r="AT89" s="707">
        <f t="shared" si="21"/>
        <v>0</v>
      </c>
      <c r="AU89" s="662"/>
      <c r="AV89" s="652">
        <f t="shared" si="22"/>
        <v>0</v>
      </c>
      <c r="AW89" s="652" t="str">
        <f t="shared" si="23"/>
        <v/>
      </c>
      <c r="AX89" s="652" t="str">
        <f t="shared" si="24"/>
        <v/>
      </c>
      <c r="AY89" s="662"/>
      <c r="AZ89" s="662"/>
      <c r="BA89" s="662"/>
      <c r="BB89" s="662"/>
      <c r="BG89" s="662"/>
      <c r="BH89" s="1037"/>
      <c r="BI89" s="1037"/>
      <c r="BJ89" s="1037"/>
      <c r="BK89" s="1037"/>
      <c r="BL89" s="1037"/>
    </row>
    <row r="90" spans="1:64">
      <c r="A90" s="698">
        <f t="shared" si="25"/>
        <v>0</v>
      </c>
      <c r="B90" s="704" t="str">
        <f>前年度登録!P87</f>
        <v/>
      </c>
      <c r="C90" s="708"/>
      <c r="D90" s="708"/>
      <c r="E90" s="709">
        <f>前年度登録!E87</f>
        <v>0</v>
      </c>
      <c r="F90" s="557" t="str">
        <f>前年度登録!CM87</f>
        <v/>
      </c>
      <c r="G90" s="993" t="str">
        <f>前年度登録!Z87</f>
        <v/>
      </c>
      <c r="H90" s="534" t="str">
        <f>前年度登録!CM87</f>
        <v/>
      </c>
      <c r="I90" s="257" t="str">
        <f>前年度登録!Y87</f>
        <v/>
      </c>
      <c r="J90" s="323" t="str">
        <f>前年度登録!CN87</f>
        <v/>
      </c>
      <c r="K90" s="1288">
        <f>前年度登録!CP87</f>
        <v>0</v>
      </c>
      <c r="L90" s="896" t="str">
        <f>前年度登録!CU87</f>
        <v>00</v>
      </c>
      <c r="M90" s="704" t="str">
        <f>前年度登録!Q87</f>
        <v/>
      </c>
      <c r="N90" s="1289">
        <f>前年度登録!D87</f>
        <v>0</v>
      </c>
      <c r="O90" s="1282"/>
      <c r="P90" s="258" t="str">
        <f>IF(O90="","",IF(I90=1,VLOOKUP(O90,男子種目コード!$J$1:$K$16,2,FALSE),IF(I90=2,VLOOKUP(O90,女子種目コード!$J$1:$K$16,2,FALSE))))</f>
        <v/>
      </c>
      <c r="Q90" s="494" t="str">
        <f>IF(O90="","",HLOOKUP(O90,前年度登録!$AH$3:$CH$118,85,FALSE))</f>
        <v/>
      </c>
      <c r="R90" s="624" t="str">
        <f t="shared" si="26"/>
        <v/>
      </c>
      <c r="S90" s="625" t="str">
        <f t="shared" si="27"/>
        <v/>
      </c>
      <c r="T90" s="259"/>
      <c r="U90" s="710" t="str">
        <f>IF(T90="","",IF(I90=1,VLOOKUP(T90,男子種目コード!$J$17:$K$19,2,FALSE),IF(I90=2,VLOOKUP(T90,女子種目コード!$J$17:$K$19,2,FALSE))))</f>
        <v/>
      </c>
      <c r="V90" s="628"/>
      <c r="W90" s="624" t="str">
        <f t="shared" si="28"/>
        <v/>
      </c>
      <c r="X90" s="625" t="str">
        <f t="shared" si="29"/>
        <v/>
      </c>
      <c r="Y90" s="633"/>
      <c r="Z90" s="711" t="str">
        <f>IF(Y90="","",IF(I90=1,VLOOKUP(Y90,男子種目コード!$D$2:$E$16,2,FALSE),IF(I90=2,VLOOKUP(Y90,女子種目コード!$D$2:$E$16,2,FALSE))))</f>
        <v/>
      </c>
      <c r="AA90" s="630"/>
      <c r="AB90" s="634"/>
      <c r="AC90" s="712" t="str">
        <f>IF(AB90="","",IF(I90=1,VLOOKUP(AB90,男子種目コード!$D$2:$E$16,2,FALSE),IF(I90=2,VLOOKUP(AB90,女子種目コード!$D$2:$E$16,2,FALSE))))</f>
        <v/>
      </c>
      <c r="AD90" s="705"/>
      <c r="AE90" s="635"/>
      <c r="AF90" s="712"/>
      <c r="AG90" s="706"/>
      <c r="AH90" s="657"/>
      <c r="AI90" s="657"/>
      <c r="AK90" s="730"/>
      <c r="AL90" s="652" t="str">
        <f t="shared" si="30"/>
        <v/>
      </c>
      <c r="AM90" s="662"/>
      <c r="AN90" s="662"/>
      <c r="AO90" s="662"/>
      <c r="AP90" s="662"/>
      <c r="AQ90" s="662"/>
      <c r="AR90" s="662"/>
      <c r="AS90" s="662"/>
      <c r="AT90" s="707">
        <f t="shared" si="21"/>
        <v>0</v>
      </c>
      <c r="AU90" s="662"/>
      <c r="AV90" s="652">
        <f t="shared" si="22"/>
        <v>0</v>
      </c>
      <c r="AW90" s="652" t="str">
        <f t="shared" si="23"/>
        <v/>
      </c>
      <c r="AX90" s="652" t="str">
        <f t="shared" si="24"/>
        <v/>
      </c>
      <c r="AY90" s="662"/>
      <c r="AZ90" s="662"/>
      <c r="BA90" s="662"/>
      <c r="BB90" s="662"/>
      <c r="BG90" s="662"/>
      <c r="BH90" s="1037"/>
      <c r="BI90" s="1037"/>
      <c r="BJ90" s="1037"/>
      <c r="BK90" s="1037"/>
      <c r="BL90" s="1037"/>
    </row>
    <row r="91" spans="1:64">
      <c r="A91" s="698">
        <f t="shared" si="25"/>
        <v>0</v>
      </c>
      <c r="B91" s="704" t="str">
        <f>前年度登録!P88</f>
        <v/>
      </c>
      <c r="C91" s="708"/>
      <c r="D91" s="708"/>
      <c r="E91" s="709">
        <f>前年度登録!E88</f>
        <v>0</v>
      </c>
      <c r="F91" s="557" t="str">
        <f>前年度登録!CM88</f>
        <v/>
      </c>
      <c r="G91" s="993" t="str">
        <f>前年度登録!Z88</f>
        <v/>
      </c>
      <c r="H91" s="534" t="str">
        <f>前年度登録!CM88</f>
        <v/>
      </c>
      <c r="I91" s="257" t="str">
        <f>前年度登録!Y88</f>
        <v/>
      </c>
      <c r="J91" s="323" t="str">
        <f>前年度登録!CN88</f>
        <v/>
      </c>
      <c r="K91" s="1288">
        <f>前年度登録!CP88</f>
        <v>0</v>
      </c>
      <c r="L91" s="896" t="str">
        <f>前年度登録!CU88</f>
        <v>00</v>
      </c>
      <c r="M91" s="704" t="str">
        <f>前年度登録!Q88</f>
        <v/>
      </c>
      <c r="N91" s="1289">
        <f>前年度登録!D88</f>
        <v>0</v>
      </c>
      <c r="O91" s="1282"/>
      <c r="P91" s="258" t="str">
        <f>IF(O91="","",IF(I91=1,VLOOKUP(O91,男子種目コード!$J$1:$K$16,2,FALSE),IF(I91=2,VLOOKUP(O91,女子種目コード!$J$1:$K$16,2,FALSE))))</f>
        <v/>
      </c>
      <c r="Q91" s="494" t="str">
        <f>IF(O91="","",HLOOKUP(O91,前年度登録!$AH$3:$CH$118,86,FALSE))</f>
        <v/>
      </c>
      <c r="R91" s="624" t="str">
        <f t="shared" si="26"/>
        <v/>
      </c>
      <c r="S91" s="625" t="str">
        <f t="shared" si="27"/>
        <v/>
      </c>
      <c r="T91" s="259"/>
      <c r="U91" s="710" t="str">
        <f>IF(T91="","",IF(I91=1,VLOOKUP(T91,男子種目コード!$J$17:$K$19,2,FALSE),IF(I91=2,VLOOKUP(T91,女子種目コード!$J$17:$K$19,2,FALSE))))</f>
        <v/>
      </c>
      <c r="V91" s="628"/>
      <c r="W91" s="624" t="str">
        <f t="shared" si="28"/>
        <v/>
      </c>
      <c r="X91" s="625" t="str">
        <f t="shared" si="29"/>
        <v/>
      </c>
      <c r="Y91" s="633"/>
      <c r="Z91" s="711" t="str">
        <f>IF(Y91="","",IF(I91=1,VLOOKUP(Y91,男子種目コード!$D$2:$E$16,2,FALSE),IF(I91=2,VLOOKUP(Y91,女子種目コード!$D$2:$E$16,2,FALSE))))</f>
        <v/>
      </c>
      <c r="AA91" s="630"/>
      <c r="AB91" s="634"/>
      <c r="AC91" s="712" t="str">
        <f>IF(AB91="","",IF(I91=1,VLOOKUP(AB91,男子種目コード!$D$2:$E$16,2,FALSE),IF(I91=2,VLOOKUP(AB91,女子種目コード!$D$2:$E$16,2,FALSE))))</f>
        <v/>
      </c>
      <c r="AD91" s="705"/>
      <c r="AE91" s="635"/>
      <c r="AF91" s="712"/>
      <c r="AG91" s="706"/>
      <c r="AH91" s="657"/>
      <c r="AI91" s="657"/>
      <c r="AK91" s="730"/>
      <c r="AL91" s="652" t="str">
        <f t="shared" si="30"/>
        <v/>
      </c>
      <c r="AM91" s="662"/>
      <c r="AN91" s="662"/>
      <c r="AO91" s="662"/>
      <c r="AP91" s="662"/>
      <c r="AQ91" s="662"/>
      <c r="AR91" s="662"/>
      <c r="AS91" s="662"/>
      <c r="AT91" s="707">
        <f t="shared" si="21"/>
        <v>0</v>
      </c>
      <c r="AU91" s="662"/>
      <c r="AV91" s="652">
        <f t="shared" si="22"/>
        <v>0</v>
      </c>
      <c r="AW91" s="652" t="str">
        <f t="shared" si="23"/>
        <v/>
      </c>
      <c r="AX91" s="652" t="str">
        <f t="shared" si="24"/>
        <v/>
      </c>
      <c r="AY91" s="662"/>
      <c r="AZ91" s="662"/>
      <c r="BA91" s="662"/>
      <c r="BB91" s="662"/>
      <c r="BG91" s="662"/>
      <c r="BH91" s="1037"/>
      <c r="BI91" s="1037"/>
      <c r="BJ91" s="1037"/>
      <c r="BK91" s="1037"/>
      <c r="BL91" s="1037"/>
    </row>
    <row r="92" spans="1:64">
      <c r="A92" s="698">
        <f t="shared" si="25"/>
        <v>0</v>
      </c>
      <c r="B92" s="704" t="str">
        <f>前年度登録!P89</f>
        <v/>
      </c>
      <c r="C92" s="708"/>
      <c r="D92" s="708"/>
      <c r="E92" s="709">
        <f>前年度登録!E89</f>
        <v>0</v>
      </c>
      <c r="F92" s="557" t="str">
        <f>前年度登録!CM89</f>
        <v/>
      </c>
      <c r="G92" s="993" t="str">
        <f>前年度登録!Z89</f>
        <v/>
      </c>
      <c r="H92" s="534" t="str">
        <f>前年度登録!CM89</f>
        <v/>
      </c>
      <c r="I92" s="257" t="str">
        <f>前年度登録!Y89</f>
        <v/>
      </c>
      <c r="J92" s="323" t="str">
        <f>前年度登録!CN89</f>
        <v/>
      </c>
      <c r="K92" s="1288">
        <f>前年度登録!CP89</f>
        <v>0</v>
      </c>
      <c r="L92" s="896" t="str">
        <f>前年度登録!CU89</f>
        <v>00</v>
      </c>
      <c r="M92" s="704" t="str">
        <f>前年度登録!Q89</f>
        <v/>
      </c>
      <c r="N92" s="1289">
        <f>前年度登録!D89</f>
        <v>0</v>
      </c>
      <c r="O92" s="1282"/>
      <c r="P92" s="258" t="str">
        <f>IF(O92="","",IF(I92=1,VLOOKUP(O92,男子種目コード!$J$1:$K$16,2,FALSE),IF(I92=2,VLOOKUP(O92,女子種目コード!$J$1:$K$16,2,FALSE))))</f>
        <v/>
      </c>
      <c r="Q92" s="494" t="str">
        <f>IF(O92="","",HLOOKUP(O92,前年度登録!$AH$3:$CH$118,87,FALSE))</f>
        <v/>
      </c>
      <c r="R92" s="624" t="str">
        <f t="shared" si="26"/>
        <v/>
      </c>
      <c r="S92" s="625" t="str">
        <f t="shared" si="27"/>
        <v/>
      </c>
      <c r="T92" s="259"/>
      <c r="U92" s="710" t="str">
        <f>IF(T92="","",IF(I92=1,VLOOKUP(T92,男子種目コード!$J$17:$K$19,2,FALSE),IF(I92=2,VLOOKUP(T92,女子種目コード!$J$17:$K$19,2,FALSE))))</f>
        <v/>
      </c>
      <c r="V92" s="628"/>
      <c r="W92" s="624" t="str">
        <f t="shared" si="28"/>
        <v/>
      </c>
      <c r="X92" s="625" t="str">
        <f t="shared" si="29"/>
        <v/>
      </c>
      <c r="Y92" s="633"/>
      <c r="Z92" s="711" t="str">
        <f>IF(Y92="","",IF(I92=1,VLOOKUP(Y92,男子種目コード!$D$2:$E$16,2,FALSE),IF(I92=2,VLOOKUP(Y92,女子種目コード!$D$2:$E$16,2,FALSE))))</f>
        <v/>
      </c>
      <c r="AA92" s="630"/>
      <c r="AB92" s="634"/>
      <c r="AC92" s="712" t="str">
        <f>IF(AB92="","",IF(I92=1,VLOOKUP(AB92,男子種目コード!$D$2:$E$16,2,FALSE),IF(I92=2,VLOOKUP(AB92,女子種目コード!$D$2:$E$16,2,FALSE))))</f>
        <v/>
      </c>
      <c r="AD92" s="705"/>
      <c r="AE92" s="635"/>
      <c r="AF92" s="712"/>
      <c r="AG92" s="706"/>
      <c r="AH92" s="657"/>
      <c r="AI92" s="657"/>
      <c r="AK92" s="730"/>
      <c r="AL92" s="652" t="str">
        <f t="shared" si="30"/>
        <v/>
      </c>
      <c r="AM92" s="662"/>
      <c r="AN92" s="662"/>
      <c r="AO92" s="662"/>
      <c r="AP92" s="662"/>
      <c r="AQ92" s="662"/>
      <c r="AR92" s="662"/>
      <c r="AS92" s="662"/>
      <c r="AT92" s="707">
        <f t="shared" si="21"/>
        <v>0</v>
      </c>
      <c r="AU92" s="662"/>
      <c r="AV92" s="652">
        <f t="shared" si="22"/>
        <v>0</v>
      </c>
      <c r="AW92" s="652" t="str">
        <f t="shared" si="23"/>
        <v/>
      </c>
      <c r="AX92" s="652" t="str">
        <f t="shared" si="24"/>
        <v/>
      </c>
      <c r="AY92" s="662"/>
      <c r="AZ92" s="662"/>
      <c r="BA92" s="662"/>
      <c r="BB92" s="662"/>
      <c r="BG92" s="662"/>
      <c r="BH92" s="1037"/>
      <c r="BI92" s="1037"/>
      <c r="BJ92" s="1037"/>
      <c r="BK92" s="1037"/>
      <c r="BL92" s="1037"/>
    </row>
    <row r="93" spans="1:64">
      <c r="A93" s="698">
        <f t="shared" si="25"/>
        <v>0</v>
      </c>
      <c r="B93" s="704" t="str">
        <f>前年度登録!P90</f>
        <v/>
      </c>
      <c r="C93" s="708"/>
      <c r="D93" s="708"/>
      <c r="E93" s="709">
        <f>前年度登録!E90</f>
        <v>0</v>
      </c>
      <c r="F93" s="557" t="str">
        <f>前年度登録!CM90</f>
        <v/>
      </c>
      <c r="G93" s="993" t="str">
        <f>前年度登録!Z90</f>
        <v/>
      </c>
      <c r="H93" s="534" t="str">
        <f>前年度登録!CM90</f>
        <v/>
      </c>
      <c r="I93" s="257" t="str">
        <f>前年度登録!Y90</f>
        <v/>
      </c>
      <c r="J93" s="323" t="str">
        <f>前年度登録!CN90</f>
        <v/>
      </c>
      <c r="K93" s="1288">
        <f>前年度登録!CP90</f>
        <v>0</v>
      </c>
      <c r="L93" s="896" t="str">
        <f>前年度登録!CU90</f>
        <v>00</v>
      </c>
      <c r="M93" s="704" t="str">
        <f>前年度登録!Q90</f>
        <v/>
      </c>
      <c r="N93" s="1289">
        <f>前年度登録!D90</f>
        <v>0</v>
      </c>
      <c r="O93" s="1282"/>
      <c r="P93" s="258" t="str">
        <f>IF(O93="","",IF(I93=1,VLOOKUP(O93,男子種目コード!$J$1:$K$16,2,FALSE),IF(I93=2,VLOOKUP(O93,女子種目コード!$J$1:$K$16,2,FALSE))))</f>
        <v/>
      </c>
      <c r="Q93" s="494" t="str">
        <f>IF(O93="","",HLOOKUP(O93,前年度登録!$AH$3:$CH$118,88,FALSE))</f>
        <v/>
      </c>
      <c r="R93" s="624" t="str">
        <f t="shared" si="26"/>
        <v/>
      </c>
      <c r="S93" s="625" t="str">
        <f t="shared" si="27"/>
        <v/>
      </c>
      <c r="T93" s="259"/>
      <c r="U93" s="710" t="str">
        <f>IF(T93="","",IF(I93=1,VLOOKUP(T93,男子種目コード!$J$17:$K$19,2,FALSE),IF(I93=2,VLOOKUP(T93,女子種目コード!$J$17:$K$19,2,FALSE))))</f>
        <v/>
      </c>
      <c r="V93" s="628"/>
      <c r="W93" s="624" t="str">
        <f t="shared" si="28"/>
        <v/>
      </c>
      <c r="X93" s="625" t="str">
        <f t="shared" si="29"/>
        <v/>
      </c>
      <c r="Y93" s="633"/>
      <c r="Z93" s="711" t="str">
        <f>IF(Y93="","",IF(I93=1,VLOOKUP(Y93,男子種目コード!$D$2:$E$16,2,FALSE),IF(I93=2,VLOOKUP(Y93,女子種目コード!$D$2:$E$16,2,FALSE))))</f>
        <v/>
      </c>
      <c r="AA93" s="630"/>
      <c r="AB93" s="634"/>
      <c r="AC93" s="712" t="str">
        <f>IF(AB93="","",IF(I93=1,VLOOKUP(AB93,男子種目コード!$D$2:$E$16,2,FALSE),IF(I93=2,VLOOKUP(AB93,女子種目コード!$D$2:$E$16,2,FALSE))))</f>
        <v/>
      </c>
      <c r="AD93" s="705"/>
      <c r="AE93" s="635"/>
      <c r="AF93" s="712"/>
      <c r="AG93" s="706"/>
      <c r="AH93" s="657"/>
      <c r="AI93" s="657"/>
      <c r="AK93" s="730"/>
      <c r="AL93" s="652" t="str">
        <f t="shared" si="30"/>
        <v/>
      </c>
      <c r="AM93" s="662"/>
      <c r="AN93" s="662"/>
      <c r="AO93" s="662"/>
      <c r="AP93" s="662"/>
      <c r="AQ93" s="662"/>
      <c r="AR93" s="662"/>
      <c r="AS93" s="662"/>
      <c r="AT93" s="707">
        <f t="shared" si="21"/>
        <v>0</v>
      </c>
      <c r="AU93" s="662"/>
      <c r="AV93" s="652">
        <f t="shared" si="22"/>
        <v>0</v>
      </c>
      <c r="AW93" s="652" t="str">
        <f t="shared" si="23"/>
        <v/>
      </c>
      <c r="AX93" s="652" t="str">
        <f t="shared" si="24"/>
        <v/>
      </c>
      <c r="AY93" s="662"/>
      <c r="AZ93" s="662"/>
      <c r="BA93" s="662"/>
      <c r="BB93" s="662"/>
      <c r="BG93" s="662"/>
      <c r="BH93" s="1037"/>
      <c r="BI93" s="1037"/>
      <c r="BJ93" s="1037"/>
      <c r="BK93" s="1037"/>
      <c r="BL93" s="1037"/>
    </row>
    <row r="94" spans="1:64">
      <c r="A94" s="698">
        <f t="shared" si="25"/>
        <v>0</v>
      </c>
      <c r="B94" s="704" t="str">
        <f>前年度登録!P91</f>
        <v/>
      </c>
      <c r="C94" s="708"/>
      <c r="D94" s="708"/>
      <c r="E94" s="709">
        <f>前年度登録!E91</f>
        <v>0</v>
      </c>
      <c r="F94" s="557" t="str">
        <f>前年度登録!CM91</f>
        <v/>
      </c>
      <c r="G94" s="993" t="str">
        <f>前年度登録!Z91</f>
        <v/>
      </c>
      <c r="H94" s="534" t="str">
        <f>前年度登録!CM91</f>
        <v/>
      </c>
      <c r="I94" s="257" t="str">
        <f>前年度登録!Y91</f>
        <v/>
      </c>
      <c r="J94" s="323" t="str">
        <f>前年度登録!CN91</f>
        <v/>
      </c>
      <c r="K94" s="1288">
        <f>前年度登録!CP91</f>
        <v>0</v>
      </c>
      <c r="L94" s="896" t="str">
        <f>前年度登録!CU91</f>
        <v>00</v>
      </c>
      <c r="M94" s="704" t="str">
        <f>前年度登録!Q91</f>
        <v/>
      </c>
      <c r="N94" s="1289">
        <f>前年度登録!D91</f>
        <v>0</v>
      </c>
      <c r="O94" s="1282"/>
      <c r="P94" s="258" t="str">
        <f>IF(O94="","",IF(I94=1,VLOOKUP(O94,男子種目コード!$J$1:$K$16,2,FALSE),IF(I94=2,VLOOKUP(O94,女子種目コード!$J$1:$K$16,2,FALSE))))</f>
        <v/>
      </c>
      <c r="Q94" s="494" t="str">
        <f>IF(O94="","",HLOOKUP(O94,前年度登録!$AH$3:$CH$118,89,FALSE))</f>
        <v/>
      </c>
      <c r="R94" s="624" t="str">
        <f t="shared" si="26"/>
        <v/>
      </c>
      <c r="S94" s="625" t="str">
        <f t="shared" si="27"/>
        <v/>
      </c>
      <c r="T94" s="259"/>
      <c r="U94" s="710" t="str">
        <f>IF(T94="","",IF(I94=1,VLOOKUP(T94,男子種目コード!$J$17:$K$19,2,FALSE),IF(I94=2,VLOOKUP(T94,女子種目コード!$J$17:$K$19,2,FALSE))))</f>
        <v/>
      </c>
      <c r="V94" s="628"/>
      <c r="W94" s="624" t="str">
        <f t="shared" si="28"/>
        <v/>
      </c>
      <c r="X94" s="625" t="str">
        <f t="shared" si="29"/>
        <v/>
      </c>
      <c r="Y94" s="633"/>
      <c r="Z94" s="711" t="str">
        <f>IF(Y94="","",IF(I94=1,VLOOKUP(Y94,男子種目コード!$D$2:$E$16,2,FALSE),IF(I94=2,VLOOKUP(Y94,女子種目コード!$D$2:$E$16,2,FALSE))))</f>
        <v/>
      </c>
      <c r="AA94" s="630"/>
      <c r="AB94" s="634"/>
      <c r="AC94" s="712" t="str">
        <f>IF(AB94="","",IF(I94=1,VLOOKUP(AB94,男子種目コード!$D$2:$E$16,2,FALSE),IF(I94=2,VLOOKUP(AB94,女子種目コード!$D$2:$E$16,2,FALSE))))</f>
        <v/>
      </c>
      <c r="AD94" s="705"/>
      <c r="AE94" s="635"/>
      <c r="AF94" s="712"/>
      <c r="AG94" s="706"/>
      <c r="AH94" s="657"/>
      <c r="AI94" s="657"/>
      <c r="AK94" s="730"/>
      <c r="AL94" s="652" t="str">
        <f t="shared" si="30"/>
        <v/>
      </c>
      <c r="AM94" s="662"/>
      <c r="AN94" s="662"/>
      <c r="AO94" s="662"/>
      <c r="AP94" s="662"/>
      <c r="AQ94" s="662"/>
      <c r="AR94" s="662"/>
      <c r="AS94" s="662"/>
      <c r="AT94" s="707">
        <f t="shared" si="21"/>
        <v>0</v>
      </c>
      <c r="AU94" s="662"/>
      <c r="AV94" s="652">
        <f t="shared" si="22"/>
        <v>0</v>
      </c>
      <c r="AW94" s="652" t="str">
        <f t="shared" si="23"/>
        <v/>
      </c>
      <c r="AX94" s="652" t="str">
        <f t="shared" si="24"/>
        <v/>
      </c>
      <c r="AY94" s="662"/>
      <c r="AZ94" s="662"/>
      <c r="BA94" s="662"/>
      <c r="BB94" s="662"/>
      <c r="BG94" s="662"/>
      <c r="BH94" s="1037"/>
      <c r="BI94" s="1037"/>
      <c r="BJ94" s="1037"/>
      <c r="BK94" s="1037"/>
      <c r="BL94" s="1037"/>
    </row>
    <row r="95" spans="1:64">
      <c r="A95" s="698">
        <f t="shared" si="25"/>
        <v>0</v>
      </c>
      <c r="B95" s="704" t="str">
        <f>前年度登録!P92</f>
        <v/>
      </c>
      <c r="C95" s="708"/>
      <c r="D95" s="708"/>
      <c r="E95" s="709">
        <f>前年度登録!E92</f>
        <v>0</v>
      </c>
      <c r="F95" s="557" t="str">
        <f>前年度登録!CM92</f>
        <v/>
      </c>
      <c r="G95" s="993" t="str">
        <f>前年度登録!Z92</f>
        <v/>
      </c>
      <c r="H95" s="534" t="str">
        <f>前年度登録!CM92</f>
        <v/>
      </c>
      <c r="I95" s="257" t="str">
        <f>前年度登録!Y92</f>
        <v/>
      </c>
      <c r="J95" s="323" t="str">
        <f>前年度登録!CN92</f>
        <v/>
      </c>
      <c r="K95" s="1288">
        <f>前年度登録!CP92</f>
        <v>0</v>
      </c>
      <c r="L95" s="896" t="str">
        <f>前年度登録!CU92</f>
        <v>00</v>
      </c>
      <c r="M95" s="704" t="str">
        <f>前年度登録!Q92</f>
        <v/>
      </c>
      <c r="N95" s="1289">
        <f>前年度登録!D92</f>
        <v>0</v>
      </c>
      <c r="O95" s="1282"/>
      <c r="P95" s="258" t="str">
        <f>IF(O95="","",IF(I95=1,VLOOKUP(O95,男子種目コード!$J$1:$K$16,2,FALSE),IF(I95=2,VLOOKUP(O95,女子種目コード!$J$1:$K$16,2,FALSE))))</f>
        <v/>
      </c>
      <c r="Q95" s="494" t="str">
        <f>IF(O95="","",HLOOKUP(O95,前年度登録!$AH$3:$CH$118,90,FALSE))</f>
        <v/>
      </c>
      <c r="R95" s="624" t="str">
        <f t="shared" si="26"/>
        <v/>
      </c>
      <c r="S95" s="625" t="str">
        <f t="shared" si="27"/>
        <v/>
      </c>
      <c r="T95" s="259"/>
      <c r="U95" s="710" t="str">
        <f>IF(T95="","",IF(I95=1,VLOOKUP(T95,男子種目コード!$J$17:$K$19,2,FALSE),IF(I95=2,VLOOKUP(T95,女子種目コード!$J$17:$K$19,2,FALSE))))</f>
        <v/>
      </c>
      <c r="V95" s="628"/>
      <c r="W95" s="624" t="str">
        <f t="shared" si="28"/>
        <v/>
      </c>
      <c r="X95" s="625" t="str">
        <f t="shared" si="29"/>
        <v/>
      </c>
      <c r="Y95" s="633"/>
      <c r="Z95" s="711" t="str">
        <f>IF(Y95="","",IF(I95=1,VLOOKUP(Y95,男子種目コード!$D$2:$E$16,2,FALSE),IF(I95=2,VLOOKUP(Y95,女子種目コード!$D$2:$E$16,2,FALSE))))</f>
        <v/>
      </c>
      <c r="AA95" s="630"/>
      <c r="AB95" s="634"/>
      <c r="AC95" s="712" t="str">
        <f>IF(AB95="","",IF(I95=1,VLOOKUP(AB95,男子種目コード!$D$2:$E$16,2,FALSE),IF(I95=2,VLOOKUP(AB95,女子種目コード!$D$2:$E$16,2,FALSE))))</f>
        <v/>
      </c>
      <c r="AD95" s="705"/>
      <c r="AE95" s="635"/>
      <c r="AF95" s="712"/>
      <c r="AG95" s="706"/>
      <c r="AH95" s="657"/>
      <c r="AI95" s="657"/>
      <c r="AK95" s="730"/>
      <c r="AL95" s="652" t="str">
        <f t="shared" si="30"/>
        <v/>
      </c>
      <c r="AM95" s="662"/>
      <c r="AN95" s="662"/>
      <c r="AO95" s="662"/>
      <c r="AP95" s="662"/>
      <c r="AQ95" s="662"/>
      <c r="AR95" s="662"/>
      <c r="AS95" s="662"/>
      <c r="AT95" s="707">
        <f t="shared" si="21"/>
        <v>0</v>
      </c>
      <c r="AU95" s="662"/>
      <c r="AV95" s="652">
        <f t="shared" si="22"/>
        <v>0</v>
      </c>
      <c r="AW95" s="652" t="str">
        <f t="shared" si="23"/>
        <v/>
      </c>
      <c r="AX95" s="652" t="str">
        <f t="shared" si="24"/>
        <v/>
      </c>
      <c r="AY95" s="662"/>
      <c r="AZ95" s="662"/>
      <c r="BA95" s="662"/>
      <c r="BB95" s="662"/>
      <c r="BG95" s="662"/>
      <c r="BH95" s="1037"/>
      <c r="BI95" s="1037"/>
      <c r="BJ95" s="1037"/>
      <c r="BK95" s="1037"/>
      <c r="BL95" s="1037"/>
    </row>
    <row r="96" spans="1:64">
      <c r="A96" s="698">
        <f t="shared" si="25"/>
        <v>0</v>
      </c>
      <c r="B96" s="704" t="str">
        <f>前年度登録!P93</f>
        <v/>
      </c>
      <c r="C96" s="708"/>
      <c r="D96" s="708"/>
      <c r="E96" s="709">
        <f>前年度登録!E93</f>
        <v>0</v>
      </c>
      <c r="F96" s="557" t="str">
        <f>前年度登録!CM93</f>
        <v/>
      </c>
      <c r="G96" s="993" t="str">
        <f>前年度登録!Z93</f>
        <v/>
      </c>
      <c r="H96" s="534" t="str">
        <f>前年度登録!CM93</f>
        <v/>
      </c>
      <c r="I96" s="257" t="str">
        <f>前年度登録!Y93</f>
        <v/>
      </c>
      <c r="J96" s="323" t="str">
        <f>前年度登録!CN93</f>
        <v/>
      </c>
      <c r="K96" s="1288">
        <f>前年度登録!CP93</f>
        <v>0</v>
      </c>
      <c r="L96" s="896" t="str">
        <f>前年度登録!CU93</f>
        <v>00</v>
      </c>
      <c r="M96" s="704" t="str">
        <f>前年度登録!Q93</f>
        <v/>
      </c>
      <c r="N96" s="1289">
        <f>前年度登録!D93</f>
        <v>0</v>
      </c>
      <c r="O96" s="1282"/>
      <c r="P96" s="258" t="str">
        <f>IF(O96="","",IF(I96=1,VLOOKUP(O96,男子種目コード!$J$1:$K$16,2,FALSE),IF(I96=2,VLOOKUP(O96,女子種目コード!$J$1:$K$16,2,FALSE))))</f>
        <v/>
      </c>
      <c r="Q96" s="494" t="str">
        <f>IF(O96="","",HLOOKUP(O96,前年度登録!$AH$3:$CH$118,91,FALSE))</f>
        <v/>
      </c>
      <c r="R96" s="624" t="str">
        <f t="shared" si="26"/>
        <v/>
      </c>
      <c r="S96" s="625" t="str">
        <f t="shared" si="27"/>
        <v/>
      </c>
      <c r="T96" s="259"/>
      <c r="U96" s="710" t="str">
        <f>IF(T96="","",IF(I96=1,VLOOKUP(T96,男子種目コード!$J$17:$K$19,2,FALSE),IF(I96=2,VLOOKUP(T96,女子種目コード!$J$17:$K$19,2,FALSE))))</f>
        <v/>
      </c>
      <c r="V96" s="628"/>
      <c r="W96" s="624" t="str">
        <f t="shared" si="28"/>
        <v/>
      </c>
      <c r="X96" s="625" t="str">
        <f t="shared" si="29"/>
        <v/>
      </c>
      <c r="Y96" s="633"/>
      <c r="Z96" s="711" t="str">
        <f>IF(Y96="","",IF(I96=1,VLOOKUP(Y96,男子種目コード!$D$2:$E$16,2,FALSE),IF(I96=2,VLOOKUP(Y96,女子種目コード!$D$2:$E$16,2,FALSE))))</f>
        <v/>
      </c>
      <c r="AA96" s="630"/>
      <c r="AB96" s="634"/>
      <c r="AC96" s="712" t="str">
        <f>IF(AB96="","",IF(I96=1,VLOOKUP(AB96,男子種目コード!$D$2:$E$16,2,FALSE),IF(I96=2,VLOOKUP(AB96,女子種目コード!$D$2:$E$16,2,FALSE))))</f>
        <v/>
      </c>
      <c r="AD96" s="705"/>
      <c r="AE96" s="635"/>
      <c r="AF96" s="712"/>
      <c r="AG96" s="706"/>
      <c r="AH96" s="657"/>
      <c r="AI96" s="657"/>
      <c r="AK96" s="730"/>
      <c r="AL96" s="652" t="str">
        <f t="shared" si="30"/>
        <v/>
      </c>
      <c r="AM96" s="662"/>
      <c r="AN96" s="662"/>
      <c r="AO96" s="662"/>
      <c r="AP96" s="662"/>
      <c r="AQ96" s="662"/>
      <c r="AR96" s="662"/>
      <c r="AS96" s="662"/>
      <c r="AT96" s="707">
        <f t="shared" si="21"/>
        <v>0</v>
      </c>
      <c r="AU96" s="662"/>
      <c r="AV96" s="652">
        <f t="shared" si="22"/>
        <v>0</v>
      </c>
      <c r="AW96" s="652" t="str">
        <f t="shared" si="23"/>
        <v/>
      </c>
      <c r="AX96" s="652" t="str">
        <f t="shared" si="24"/>
        <v/>
      </c>
      <c r="AY96" s="662"/>
      <c r="AZ96" s="662"/>
      <c r="BA96" s="662"/>
      <c r="BB96" s="662"/>
      <c r="BG96" s="662"/>
      <c r="BH96" s="1037"/>
      <c r="BI96" s="1037"/>
      <c r="BJ96" s="1037"/>
      <c r="BK96" s="1037"/>
      <c r="BL96" s="1037"/>
    </row>
    <row r="97" spans="1:64">
      <c r="A97" s="698">
        <f t="shared" si="25"/>
        <v>0</v>
      </c>
      <c r="B97" s="704" t="str">
        <f>前年度登録!P94</f>
        <v/>
      </c>
      <c r="C97" s="708"/>
      <c r="D97" s="708"/>
      <c r="E97" s="709">
        <f>前年度登録!E94</f>
        <v>0</v>
      </c>
      <c r="F97" s="557" t="str">
        <f>前年度登録!CM94</f>
        <v/>
      </c>
      <c r="G97" s="993" t="str">
        <f>前年度登録!Z94</f>
        <v/>
      </c>
      <c r="H97" s="534" t="str">
        <f>前年度登録!CM94</f>
        <v/>
      </c>
      <c r="I97" s="257" t="str">
        <f>前年度登録!Y94</f>
        <v/>
      </c>
      <c r="J97" s="323" t="str">
        <f>前年度登録!CN94</f>
        <v/>
      </c>
      <c r="K97" s="1288">
        <f>前年度登録!CP94</f>
        <v>0</v>
      </c>
      <c r="L97" s="896" t="str">
        <f>前年度登録!CU94</f>
        <v>00</v>
      </c>
      <c r="M97" s="704" t="str">
        <f>前年度登録!Q94</f>
        <v/>
      </c>
      <c r="N97" s="1289">
        <f>前年度登録!D94</f>
        <v>0</v>
      </c>
      <c r="O97" s="1282"/>
      <c r="P97" s="258" t="str">
        <f>IF(O97="","",IF(I97=1,VLOOKUP(O97,男子種目コード!$J$1:$K$16,2,FALSE),IF(I97=2,VLOOKUP(O97,女子種目コード!$J$1:$K$16,2,FALSE))))</f>
        <v/>
      </c>
      <c r="Q97" s="494" t="str">
        <f>IF(O97="","",HLOOKUP(O97,前年度登録!$AH$3:$CH$118,92,FALSE))</f>
        <v/>
      </c>
      <c r="R97" s="624" t="str">
        <f t="shared" si="26"/>
        <v/>
      </c>
      <c r="S97" s="625" t="str">
        <f t="shared" si="27"/>
        <v/>
      </c>
      <c r="T97" s="259"/>
      <c r="U97" s="710" t="str">
        <f>IF(T97="","",IF(I97=1,VLOOKUP(T97,男子種目コード!$J$17:$K$19,2,FALSE),IF(I97=2,VLOOKUP(T97,女子種目コード!$J$17:$K$19,2,FALSE))))</f>
        <v/>
      </c>
      <c r="V97" s="628"/>
      <c r="W97" s="624" t="str">
        <f t="shared" si="28"/>
        <v/>
      </c>
      <c r="X97" s="625" t="str">
        <f t="shared" si="29"/>
        <v/>
      </c>
      <c r="Y97" s="633"/>
      <c r="Z97" s="711" t="str">
        <f>IF(Y97="","",IF(I97=1,VLOOKUP(Y97,男子種目コード!$D$2:$E$16,2,FALSE),IF(I97=2,VLOOKUP(Y97,女子種目コード!$D$2:$E$16,2,FALSE))))</f>
        <v/>
      </c>
      <c r="AA97" s="630"/>
      <c r="AB97" s="634"/>
      <c r="AC97" s="712" t="str">
        <f>IF(AB97="","",IF(I97=1,VLOOKUP(AB97,男子種目コード!$D$2:$E$16,2,FALSE),IF(I97=2,VLOOKUP(AB97,女子種目コード!$D$2:$E$16,2,FALSE))))</f>
        <v/>
      </c>
      <c r="AD97" s="705"/>
      <c r="AE97" s="635"/>
      <c r="AF97" s="712"/>
      <c r="AG97" s="706"/>
      <c r="AH97" s="657"/>
      <c r="AI97" s="657"/>
      <c r="AK97" s="730"/>
      <c r="AL97" s="652" t="str">
        <f t="shared" si="30"/>
        <v/>
      </c>
      <c r="AM97" s="662"/>
      <c r="AN97" s="662"/>
      <c r="AO97" s="662"/>
      <c r="AP97" s="662"/>
      <c r="AQ97" s="662"/>
      <c r="AR97" s="662"/>
      <c r="AS97" s="662"/>
      <c r="AT97" s="707">
        <f t="shared" si="21"/>
        <v>0</v>
      </c>
      <c r="AU97" s="662"/>
      <c r="AV97" s="652">
        <f t="shared" si="22"/>
        <v>0</v>
      </c>
      <c r="AW97" s="652" t="str">
        <f t="shared" si="23"/>
        <v/>
      </c>
      <c r="AX97" s="652" t="str">
        <f t="shared" si="24"/>
        <v/>
      </c>
      <c r="AY97" s="662"/>
      <c r="AZ97" s="662"/>
      <c r="BA97" s="662"/>
      <c r="BB97" s="662"/>
      <c r="BG97" s="662"/>
      <c r="BH97" s="1037"/>
      <c r="BI97" s="1037"/>
      <c r="BJ97" s="1037"/>
      <c r="BK97" s="1037"/>
      <c r="BL97" s="1037"/>
    </row>
    <row r="98" spans="1:64">
      <c r="A98" s="698">
        <f t="shared" si="25"/>
        <v>0</v>
      </c>
      <c r="B98" s="704" t="str">
        <f>前年度登録!P95</f>
        <v/>
      </c>
      <c r="C98" s="708"/>
      <c r="D98" s="708"/>
      <c r="E98" s="709">
        <f>前年度登録!E95</f>
        <v>0</v>
      </c>
      <c r="F98" s="557" t="str">
        <f>前年度登録!CM95</f>
        <v/>
      </c>
      <c r="G98" s="993" t="str">
        <f>前年度登録!Z95</f>
        <v/>
      </c>
      <c r="H98" s="534" t="str">
        <f>前年度登録!CM95</f>
        <v/>
      </c>
      <c r="I98" s="257" t="str">
        <f>前年度登録!Y95</f>
        <v/>
      </c>
      <c r="J98" s="323" t="str">
        <f>前年度登録!CN95</f>
        <v/>
      </c>
      <c r="K98" s="1288">
        <f>前年度登録!CP95</f>
        <v>0</v>
      </c>
      <c r="L98" s="896" t="str">
        <f>前年度登録!CU95</f>
        <v>00</v>
      </c>
      <c r="M98" s="704" t="str">
        <f>前年度登録!Q95</f>
        <v/>
      </c>
      <c r="N98" s="1289">
        <f>前年度登録!D95</f>
        <v>0</v>
      </c>
      <c r="O98" s="1282"/>
      <c r="P98" s="258" t="str">
        <f>IF(O98="","",IF(I98=1,VLOOKUP(O98,男子種目コード!$J$1:$K$16,2,FALSE),IF(I98=2,VLOOKUP(O98,女子種目コード!$J$1:$K$16,2,FALSE))))</f>
        <v/>
      </c>
      <c r="Q98" s="494" t="str">
        <f>IF(O98="","",HLOOKUP(O98,前年度登録!$AH$3:$CH$118,93,FALSE))</f>
        <v/>
      </c>
      <c r="R98" s="624" t="str">
        <f t="shared" si="26"/>
        <v/>
      </c>
      <c r="S98" s="625" t="str">
        <f t="shared" si="27"/>
        <v/>
      </c>
      <c r="T98" s="259"/>
      <c r="U98" s="710" t="str">
        <f>IF(T98="","",IF(I98=1,VLOOKUP(T98,男子種目コード!$J$17:$K$19,2,FALSE),IF(I98=2,VLOOKUP(T98,女子種目コード!$J$17:$K$19,2,FALSE))))</f>
        <v/>
      </c>
      <c r="V98" s="628"/>
      <c r="W98" s="624" t="str">
        <f t="shared" si="28"/>
        <v/>
      </c>
      <c r="X98" s="625" t="str">
        <f t="shared" si="29"/>
        <v/>
      </c>
      <c r="Y98" s="633"/>
      <c r="Z98" s="711" t="str">
        <f>IF(Y98="","",IF(I98=1,VLOOKUP(Y98,男子種目コード!$D$2:$E$16,2,FALSE),IF(I98=2,VLOOKUP(Y98,女子種目コード!$D$2:$E$16,2,FALSE))))</f>
        <v/>
      </c>
      <c r="AA98" s="630"/>
      <c r="AB98" s="634"/>
      <c r="AC98" s="712" t="str">
        <f>IF(AB98="","",IF(I98=1,VLOOKUP(AB98,男子種目コード!$D$2:$E$16,2,FALSE),IF(I98=2,VLOOKUP(AB98,女子種目コード!$D$2:$E$16,2,FALSE))))</f>
        <v/>
      </c>
      <c r="AD98" s="705"/>
      <c r="AE98" s="635"/>
      <c r="AF98" s="712"/>
      <c r="AG98" s="706"/>
      <c r="AH98" s="657"/>
      <c r="AI98" s="657"/>
      <c r="AK98" s="730"/>
      <c r="AL98" s="652" t="str">
        <f t="shared" si="30"/>
        <v/>
      </c>
      <c r="AM98" s="662"/>
      <c r="AN98" s="662"/>
      <c r="AO98" s="662"/>
      <c r="AP98" s="662"/>
      <c r="AQ98" s="662"/>
      <c r="AR98" s="662"/>
      <c r="AS98" s="662"/>
      <c r="AT98" s="707">
        <f t="shared" si="21"/>
        <v>0</v>
      </c>
      <c r="AU98" s="662"/>
      <c r="AV98" s="652">
        <f t="shared" si="22"/>
        <v>0</v>
      </c>
      <c r="AW98" s="652" t="str">
        <f t="shared" si="23"/>
        <v/>
      </c>
      <c r="AX98" s="652" t="str">
        <f t="shared" si="24"/>
        <v/>
      </c>
      <c r="AY98" s="662"/>
      <c r="AZ98" s="662"/>
      <c r="BA98" s="662"/>
      <c r="BB98" s="662"/>
      <c r="BG98" s="662"/>
      <c r="BH98" s="1037"/>
      <c r="BI98" s="1037"/>
      <c r="BJ98" s="1037"/>
      <c r="BK98" s="1037"/>
      <c r="BL98" s="1037"/>
    </row>
    <row r="99" spans="1:64">
      <c r="A99" s="698">
        <f t="shared" si="25"/>
        <v>0</v>
      </c>
      <c r="B99" s="704" t="str">
        <f>前年度登録!P96</f>
        <v/>
      </c>
      <c r="C99" s="708"/>
      <c r="D99" s="708"/>
      <c r="E99" s="709">
        <f>前年度登録!E96</f>
        <v>0</v>
      </c>
      <c r="F99" s="557" t="str">
        <f>前年度登録!CM96</f>
        <v/>
      </c>
      <c r="G99" s="993" t="str">
        <f>前年度登録!Z96</f>
        <v/>
      </c>
      <c r="H99" s="534" t="str">
        <f>前年度登録!CM96</f>
        <v/>
      </c>
      <c r="I99" s="257" t="str">
        <f>前年度登録!Y96</f>
        <v/>
      </c>
      <c r="J99" s="323" t="str">
        <f>前年度登録!CN96</f>
        <v/>
      </c>
      <c r="K99" s="1288">
        <f>前年度登録!CP96</f>
        <v>0</v>
      </c>
      <c r="L99" s="896" t="str">
        <f>前年度登録!CU96</f>
        <v>00</v>
      </c>
      <c r="M99" s="704" t="str">
        <f>前年度登録!Q96</f>
        <v/>
      </c>
      <c r="N99" s="1289">
        <f>前年度登録!D96</f>
        <v>0</v>
      </c>
      <c r="O99" s="1282"/>
      <c r="P99" s="258" t="str">
        <f>IF(O99="","",IF(I99=1,VLOOKUP(O99,男子種目コード!$J$1:$K$16,2,FALSE),IF(I99=2,VLOOKUP(O99,女子種目コード!$J$1:$K$16,2,FALSE))))</f>
        <v/>
      </c>
      <c r="Q99" s="494" t="str">
        <f>IF(O99="","",HLOOKUP(O99,前年度登録!$AH$3:$CH$118,94,FALSE))</f>
        <v/>
      </c>
      <c r="R99" s="624" t="str">
        <f t="shared" si="26"/>
        <v/>
      </c>
      <c r="S99" s="625" t="str">
        <f t="shared" si="27"/>
        <v/>
      </c>
      <c r="T99" s="259"/>
      <c r="U99" s="710" t="str">
        <f>IF(T99="","",IF(I99=1,VLOOKUP(T99,男子種目コード!$J$17:$K$19,2,FALSE),IF(I99=2,VLOOKUP(T99,女子種目コード!$J$17:$K$19,2,FALSE))))</f>
        <v/>
      </c>
      <c r="V99" s="628"/>
      <c r="W99" s="624" t="str">
        <f t="shared" si="28"/>
        <v/>
      </c>
      <c r="X99" s="625" t="str">
        <f t="shared" si="29"/>
        <v/>
      </c>
      <c r="Y99" s="633"/>
      <c r="Z99" s="711" t="str">
        <f>IF(Y99="","",IF(I99=1,VLOOKUP(Y99,男子種目コード!$D$2:$E$16,2,FALSE),IF(I99=2,VLOOKUP(Y99,女子種目コード!$D$2:$E$16,2,FALSE))))</f>
        <v/>
      </c>
      <c r="AA99" s="630"/>
      <c r="AB99" s="634"/>
      <c r="AC99" s="712" t="str">
        <f>IF(AB99="","",IF(I99=1,VLOOKUP(AB99,男子種目コード!$D$2:$E$16,2,FALSE),IF(I99=2,VLOOKUP(AB99,女子種目コード!$D$2:$E$16,2,FALSE))))</f>
        <v/>
      </c>
      <c r="AD99" s="705"/>
      <c r="AE99" s="635"/>
      <c r="AF99" s="712"/>
      <c r="AG99" s="706"/>
      <c r="AH99" s="657"/>
      <c r="AI99" s="657"/>
      <c r="AK99" s="730"/>
      <c r="AL99" s="652" t="str">
        <f t="shared" si="30"/>
        <v/>
      </c>
      <c r="AM99" s="662"/>
      <c r="AN99" s="662"/>
      <c r="AO99" s="662"/>
      <c r="AP99" s="662"/>
      <c r="AQ99" s="662"/>
      <c r="AR99" s="662"/>
      <c r="AS99" s="662"/>
      <c r="AT99" s="707">
        <f t="shared" si="21"/>
        <v>0</v>
      </c>
      <c r="AU99" s="662"/>
      <c r="AV99" s="652">
        <f t="shared" si="22"/>
        <v>0</v>
      </c>
      <c r="AW99" s="652" t="str">
        <f t="shared" si="23"/>
        <v/>
      </c>
      <c r="AX99" s="652" t="str">
        <f t="shared" si="24"/>
        <v/>
      </c>
      <c r="AY99" s="662"/>
      <c r="AZ99" s="662"/>
      <c r="BA99" s="662"/>
      <c r="BB99" s="662"/>
      <c r="BG99" s="662"/>
      <c r="BH99" s="1037"/>
      <c r="BI99" s="1037"/>
      <c r="BJ99" s="1037"/>
      <c r="BK99" s="1037"/>
      <c r="BL99" s="1037"/>
    </row>
    <row r="100" spans="1:64">
      <c r="A100" s="698">
        <f t="shared" si="25"/>
        <v>0</v>
      </c>
      <c r="B100" s="704" t="str">
        <f>前年度登録!P97</f>
        <v/>
      </c>
      <c r="C100" s="708"/>
      <c r="D100" s="708"/>
      <c r="E100" s="709">
        <f>前年度登録!E97</f>
        <v>0</v>
      </c>
      <c r="F100" s="557" t="str">
        <f>前年度登録!CM97</f>
        <v/>
      </c>
      <c r="G100" s="993" t="str">
        <f>前年度登録!Z97</f>
        <v/>
      </c>
      <c r="H100" s="534" t="str">
        <f>前年度登録!CM97</f>
        <v/>
      </c>
      <c r="I100" s="257" t="str">
        <f>前年度登録!Y97</f>
        <v/>
      </c>
      <c r="J100" s="323" t="str">
        <f>前年度登録!CN97</f>
        <v/>
      </c>
      <c r="K100" s="1288">
        <f>前年度登録!CP97</f>
        <v>0</v>
      </c>
      <c r="L100" s="896" t="str">
        <f>前年度登録!CU97</f>
        <v>00</v>
      </c>
      <c r="M100" s="704" t="str">
        <f>前年度登録!Q97</f>
        <v/>
      </c>
      <c r="N100" s="1289">
        <f>前年度登録!D97</f>
        <v>0</v>
      </c>
      <c r="O100" s="1282"/>
      <c r="P100" s="258" t="str">
        <f>IF(O100="","",IF(I100=1,VLOOKUP(O100,男子種目コード!$J$1:$K$16,2,FALSE),IF(I100=2,VLOOKUP(O100,女子種目コード!$J$1:$K$16,2,FALSE))))</f>
        <v/>
      </c>
      <c r="Q100" s="494" t="str">
        <f>IF(O100="","",HLOOKUP(O100,前年度登録!$AH$3:$CH$118,95,FALSE))</f>
        <v/>
      </c>
      <c r="R100" s="624" t="str">
        <f t="shared" si="26"/>
        <v/>
      </c>
      <c r="S100" s="625" t="str">
        <f t="shared" si="27"/>
        <v/>
      </c>
      <c r="T100" s="259"/>
      <c r="U100" s="710" t="str">
        <f>IF(T100="","",IF(I100=1,VLOOKUP(T100,男子種目コード!$J$17:$K$19,2,FALSE),IF(I100=2,VLOOKUP(T100,女子種目コード!$J$17:$K$19,2,FALSE))))</f>
        <v/>
      </c>
      <c r="V100" s="628"/>
      <c r="W100" s="624" t="str">
        <f t="shared" si="28"/>
        <v/>
      </c>
      <c r="X100" s="625" t="str">
        <f t="shared" si="29"/>
        <v/>
      </c>
      <c r="Y100" s="633"/>
      <c r="Z100" s="711" t="str">
        <f>IF(Y100="","",IF(I100=1,VLOOKUP(Y100,男子種目コード!$D$2:$E$16,2,FALSE),IF(I100=2,VLOOKUP(Y100,女子種目コード!$D$2:$E$16,2,FALSE))))</f>
        <v/>
      </c>
      <c r="AA100" s="630"/>
      <c r="AB100" s="634"/>
      <c r="AC100" s="712" t="str">
        <f>IF(AB100="","",IF(I100=1,VLOOKUP(AB100,男子種目コード!$D$2:$E$16,2,FALSE),IF(I100=2,VLOOKUP(AB100,女子種目コード!$D$2:$E$16,2,FALSE))))</f>
        <v/>
      </c>
      <c r="AD100" s="705"/>
      <c r="AE100" s="635"/>
      <c r="AF100" s="712"/>
      <c r="AG100" s="706"/>
      <c r="AH100" s="657"/>
      <c r="AI100" s="657"/>
      <c r="AK100" s="730"/>
      <c r="AL100" s="652" t="str">
        <f t="shared" si="30"/>
        <v/>
      </c>
      <c r="AM100" s="662"/>
      <c r="AN100" s="662"/>
      <c r="AO100" s="662"/>
      <c r="AP100" s="662"/>
      <c r="AQ100" s="662"/>
      <c r="AR100" s="662"/>
      <c r="AS100" s="662"/>
      <c r="AT100" s="707">
        <f t="shared" si="21"/>
        <v>0</v>
      </c>
      <c r="AU100" s="662"/>
      <c r="AV100" s="652">
        <f t="shared" si="22"/>
        <v>0</v>
      </c>
      <c r="AW100" s="652" t="str">
        <f t="shared" si="23"/>
        <v/>
      </c>
      <c r="AX100" s="652" t="str">
        <f t="shared" si="24"/>
        <v/>
      </c>
      <c r="AY100" s="662"/>
      <c r="AZ100" s="662"/>
      <c r="BA100" s="662"/>
      <c r="BB100" s="662"/>
      <c r="BG100" s="662"/>
      <c r="BH100" s="1037"/>
      <c r="BI100" s="1037"/>
      <c r="BJ100" s="1037"/>
      <c r="BK100" s="1037"/>
      <c r="BL100" s="1037"/>
    </row>
    <row r="101" spans="1:64">
      <c r="A101" s="698">
        <f t="shared" si="25"/>
        <v>0</v>
      </c>
      <c r="B101" s="704" t="str">
        <f>前年度登録!P98</f>
        <v/>
      </c>
      <c r="C101" s="708"/>
      <c r="D101" s="708"/>
      <c r="E101" s="709">
        <f>前年度登録!E98</f>
        <v>0</v>
      </c>
      <c r="F101" s="557" t="str">
        <f>前年度登録!CM98</f>
        <v/>
      </c>
      <c r="G101" s="993" t="str">
        <f>前年度登録!Z98</f>
        <v/>
      </c>
      <c r="H101" s="534" t="str">
        <f>前年度登録!CM98</f>
        <v/>
      </c>
      <c r="I101" s="257" t="str">
        <f>前年度登録!Y98</f>
        <v/>
      </c>
      <c r="J101" s="323" t="str">
        <f>前年度登録!CN98</f>
        <v/>
      </c>
      <c r="K101" s="1288">
        <f>前年度登録!CP98</f>
        <v>0</v>
      </c>
      <c r="L101" s="896" t="str">
        <f>前年度登録!CU98</f>
        <v>00</v>
      </c>
      <c r="M101" s="704" t="str">
        <f>前年度登録!Q98</f>
        <v/>
      </c>
      <c r="N101" s="1289">
        <f>前年度登録!D98</f>
        <v>0</v>
      </c>
      <c r="O101" s="1282"/>
      <c r="P101" s="258" t="str">
        <f>IF(O101="","",IF(I101=1,VLOOKUP(O101,男子種目コード!$J$1:$K$16,2,FALSE),IF(I101=2,VLOOKUP(O101,女子種目コード!$J$1:$K$16,2,FALSE))))</f>
        <v/>
      </c>
      <c r="Q101" s="494" t="str">
        <f>IF(O101="","",HLOOKUP(O101,前年度登録!$AH$3:$CH$118,96,FALSE))</f>
        <v/>
      </c>
      <c r="R101" s="624" t="str">
        <f t="shared" si="26"/>
        <v/>
      </c>
      <c r="S101" s="625" t="str">
        <f t="shared" si="27"/>
        <v/>
      </c>
      <c r="T101" s="259"/>
      <c r="U101" s="710" t="str">
        <f>IF(T101="","",IF(I101=1,VLOOKUP(T101,男子種目コード!$J$17:$K$19,2,FALSE),IF(I101=2,VLOOKUP(T101,女子種目コード!$J$17:$K$19,2,FALSE))))</f>
        <v/>
      </c>
      <c r="V101" s="628"/>
      <c r="W101" s="624" t="str">
        <f t="shared" si="28"/>
        <v/>
      </c>
      <c r="X101" s="625" t="str">
        <f t="shared" si="29"/>
        <v/>
      </c>
      <c r="Y101" s="633"/>
      <c r="Z101" s="711" t="str">
        <f>IF(Y101="","",IF(I101=1,VLOOKUP(Y101,男子種目コード!$D$2:$E$16,2,FALSE),IF(I101=2,VLOOKUP(Y101,女子種目コード!$D$2:$E$16,2,FALSE))))</f>
        <v/>
      </c>
      <c r="AA101" s="630"/>
      <c r="AB101" s="634"/>
      <c r="AC101" s="712" t="str">
        <f>IF(AB101="","",IF(I101=1,VLOOKUP(AB101,男子種目コード!$D$2:$E$16,2,FALSE),IF(I101=2,VLOOKUP(AB101,女子種目コード!$D$2:$E$16,2,FALSE))))</f>
        <v/>
      </c>
      <c r="AD101" s="705"/>
      <c r="AE101" s="635"/>
      <c r="AF101" s="712"/>
      <c r="AG101" s="706"/>
      <c r="AH101" s="657"/>
      <c r="AI101" s="657"/>
      <c r="AK101" s="730"/>
      <c r="AL101" s="652" t="str">
        <f t="shared" si="30"/>
        <v/>
      </c>
      <c r="AM101" s="662"/>
      <c r="AN101" s="662"/>
      <c r="AO101" s="662"/>
      <c r="AP101" s="662"/>
      <c r="AQ101" s="662"/>
      <c r="AR101" s="662"/>
      <c r="AS101" s="662"/>
      <c r="AT101" s="707">
        <f t="shared" si="21"/>
        <v>0</v>
      </c>
      <c r="AU101" s="662"/>
      <c r="AV101" s="652">
        <f t="shared" si="22"/>
        <v>0</v>
      </c>
      <c r="AW101" s="652" t="str">
        <f t="shared" si="23"/>
        <v/>
      </c>
      <c r="AX101" s="652" t="str">
        <f t="shared" si="24"/>
        <v/>
      </c>
      <c r="AY101" s="662"/>
      <c r="AZ101" s="662"/>
      <c r="BA101" s="662"/>
      <c r="BB101" s="662"/>
      <c r="BG101" s="662"/>
      <c r="BH101" s="1037"/>
      <c r="BI101" s="1037"/>
      <c r="BJ101" s="1037"/>
      <c r="BK101" s="1037"/>
      <c r="BL101" s="1037"/>
    </row>
    <row r="102" spans="1:64">
      <c r="A102" s="698">
        <f t="shared" si="25"/>
        <v>0</v>
      </c>
      <c r="B102" s="704" t="str">
        <f>前年度登録!P99</f>
        <v/>
      </c>
      <c r="C102" s="708"/>
      <c r="D102" s="708"/>
      <c r="E102" s="709">
        <f>前年度登録!E99</f>
        <v>0</v>
      </c>
      <c r="F102" s="557" t="str">
        <f>前年度登録!CM99</f>
        <v/>
      </c>
      <c r="G102" s="993" t="str">
        <f>前年度登録!Z99</f>
        <v/>
      </c>
      <c r="H102" s="534" t="str">
        <f>前年度登録!CM99</f>
        <v/>
      </c>
      <c r="I102" s="257" t="str">
        <f>前年度登録!Y99</f>
        <v/>
      </c>
      <c r="J102" s="323" t="str">
        <f>前年度登録!CN99</f>
        <v/>
      </c>
      <c r="K102" s="1288">
        <f>前年度登録!CP99</f>
        <v>0</v>
      </c>
      <c r="L102" s="896" t="str">
        <f>前年度登録!CU99</f>
        <v>00</v>
      </c>
      <c r="M102" s="704" t="str">
        <f>前年度登録!Q99</f>
        <v/>
      </c>
      <c r="N102" s="1289">
        <f>前年度登録!D99</f>
        <v>0</v>
      </c>
      <c r="O102" s="1282"/>
      <c r="P102" s="258" t="str">
        <f>IF(O102="","",IF(I102=1,VLOOKUP(O102,男子種目コード!$J$1:$K$16,2,FALSE),IF(I102=2,VLOOKUP(O102,女子種目コード!$J$1:$K$16,2,FALSE))))</f>
        <v/>
      </c>
      <c r="Q102" s="494" t="str">
        <f>IF(O102="","",HLOOKUP(O102,前年度登録!$AH$3:$CH$118,97,FALSE))</f>
        <v/>
      </c>
      <c r="R102" s="624" t="str">
        <f t="shared" si="26"/>
        <v/>
      </c>
      <c r="S102" s="625" t="str">
        <f t="shared" si="27"/>
        <v/>
      </c>
      <c r="T102" s="259"/>
      <c r="U102" s="710" t="str">
        <f>IF(T102="","",IF(I102=1,VLOOKUP(T102,男子種目コード!$J$17:$K$19,2,FALSE),IF(I102=2,VLOOKUP(T102,女子種目コード!$J$17:$K$19,2,FALSE))))</f>
        <v/>
      </c>
      <c r="V102" s="628"/>
      <c r="W102" s="624" t="str">
        <f t="shared" si="28"/>
        <v/>
      </c>
      <c r="X102" s="625" t="str">
        <f t="shared" si="29"/>
        <v/>
      </c>
      <c r="Y102" s="633"/>
      <c r="Z102" s="711" t="str">
        <f>IF(Y102="","",IF(I102=1,VLOOKUP(Y102,男子種目コード!$D$2:$E$16,2,FALSE),IF(I102=2,VLOOKUP(Y102,女子種目コード!$D$2:$E$16,2,FALSE))))</f>
        <v/>
      </c>
      <c r="AA102" s="630"/>
      <c r="AB102" s="634"/>
      <c r="AC102" s="712" t="str">
        <f>IF(AB102="","",IF(I102=1,VLOOKUP(AB102,男子種目コード!$D$2:$E$16,2,FALSE),IF(I102=2,VLOOKUP(AB102,女子種目コード!$D$2:$E$16,2,FALSE))))</f>
        <v/>
      </c>
      <c r="AD102" s="705"/>
      <c r="AE102" s="635"/>
      <c r="AF102" s="712"/>
      <c r="AG102" s="706"/>
      <c r="AH102" s="657"/>
      <c r="AI102" s="657"/>
      <c r="AK102" s="730"/>
      <c r="AL102" s="652" t="str">
        <f t="shared" si="30"/>
        <v/>
      </c>
      <c r="AM102" s="662"/>
      <c r="AN102" s="662"/>
      <c r="AO102" s="662"/>
      <c r="AP102" s="662"/>
      <c r="AQ102" s="662"/>
      <c r="AR102" s="662"/>
      <c r="AS102" s="662"/>
      <c r="AT102" s="707">
        <f t="shared" si="21"/>
        <v>0</v>
      </c>
      <c r="AU102" s="662"/>
      <c r="AV102" s="652">
        <f t="shared" si="22"/>
        <v>0</v>
      </c>
      <c r="AW102" s="652" t="str">
        <f t="shared" si="23"/>
        <v/>
      </c>
      <c r="AX102" s="652" t="str">
        <f t="shared" si="24"/>
        <v/>
      </c>
      <c r="AY102" s="662"/>
      <c r="AZ102" s="662"/>
      <c r="BA102" s="662"/>
      <c r="BB102" s="662"/>
      <c r="BG102" s="662"/>
      <c r="BH102" s="1037"/>
      <c r="BI102" s="1037"/>
      <c r="BJ102" s="1037"/>
      <c r="BK102" s="1037"/>
      <c r="BL102" s="1037"/>
    </row>
    <row r="103" spans="1:64">
      <c r="A103" s="698">
        <f t="shared" si="25"/>
        <v>0</v>
      </c>
      <c r="B103" s="704" t="str">
        <f>前年度登録!P100</f>
        <v/>
      </c>
      <c r="C103" s="708"/>
      <c r="D103" s="708"/>
      <c r="E103" s="709">
        <f>前年度登録!E100</f>
        <v>0</v>
      </c>
      <c r="F103" s="557" t="str">
        <f>前年度登録!CM100</f>
        <v/>
      </c>
      <c r="G103" s="993" t="str">
        <f>前年度登録!Z100</f>
        <v/>
      </c>
      <c r="H103" s="534" t="str">
        <f>前年度登録!CM100</f>
        <v/>
      </c>
      <c r="I103" s="257" t="str">
        <f>前年度登録!Y100</f>
        <v/>
      </c>
      <c r="J103" s="323" t="str">
        <f>前年度登録!CN100</f>
        <v/>
      </c>
      <c r="K103" s="1288">
        <f>前年度登録!CP100</f>
        <v>0</v>
      </c>
      <c r="L103" s="896" t="str">
        <f>前年度登録!CU100</f>
        <v>00</v>
      </c>
      <c r="M103" s="704" t="str">
        <f>前年度登録!Q100</f>
        <v/>
      </c>
      <c r="N103" s="1289">
        <f>前年度登録!D100</f>
        <v>0</v>
      </c>
      <c r="O103" s="1282"/>
      <c r="P103" s="258" t="str">
        <f>IF(O103="","",IF(I103=1,VLOOKUP(O103,男子種目コード!$J$1:$K$16,2,FALSE),IF(I103=2,VLOOKUP(O103,女子種目コード!$J$1:$K$16,2,FALSE))))</f>
        <v/>
      </c>
      <c r="Q103" s="494" t="str">
        <f>IF(O103="","",HLOOKUP(O103,前年度登録!$AH$3:$CH$118,98,FALSE))</f>
        <v/>
      </c>
      <c r="R103" s="624" t="str">
        <f t="shared" si="26"/>
        <v/>
      </c>
      <c r="S103" s="625" t="str">
        <f t="shared" si="27"/>
        <v/>
      </c>
      <c r="T103" s="259"/>
      <c r="U103" s="710" t="str">
        <f>IF(T103="","",IF(I103=1,VLOOKUP(T103,男子種目コード!$J$17:$K$19,2,FALSE),IF(I103=2,VLOOKUP(T103,女子種目コード!$J$17:$K$19,2,FALSE))))</f>
        <v/>
      </c>
      <c r="V103" s="628"/>
      <c r="W103" s="624" t="str">
        <f t="shared" si="28"/>
        <v/>
      </c>
      <c r="X103" s="625" t="str">
        <f t="shared" si="29"/>
        <v/>
      </c>
      <c r="Y103" s="633"/>
      <c r="Z103" s="711" t="str">
        <f>IF(Y103="","",IF(I103=1,VLOOKUP(Y103,男子種目コード!$D$2:$E$16,2,FALSE),IF(I103=2,VLOOKUP(Y103,女子種目コード!$D$2:$E$16,2,FALSE))))</f>
        <v/>
      </c>
      <c r="AA103" s="630"/>
      <c r="AB103" s="634"/>
      <c r="AC103" s="712" t="str">
        <f>IF(AB103="","",IF(I103=1,VLOOKUP(AB103,男子種目コード!$D$2:$E$16,2,FALSE),IF(I103=2,VLOOKUP(AB103,女子種目コード!$D$2:$E$16,2,FALSE))))</f>
        <v/>
      </c>
      <c r="AD103" s="705"/>
      <c r="AE103" s="635"/>
      <c r="AF103" s="712"/>
      <c r="AG103" s="706"/>
      <c r="AH103" s="657"/>
      <c r="AI103" s="657"/>
      <c r="AK103" s="730"/>
      <c r="AL103" s="652" t="str">
        <f t="shared" si="30"/>
        <v/>
      </c>
      <c r="AM103" s="662"/>
      <c r="AN103" s="662"/>
      <c r="AO103" s="662"/>
      <c r="AP103" s="662"/>
      <c r="AQ103" s="662"/>
      <c r="AR103" s="662"/>
      <c r="AS103" s="662"/>
      <c r="AT103" s="707">
        <f t="shared" ref="AT103:AT116" si="31">IF(OR(AL103=1,T103=""),0,1)</f>
        <v>0</v>
      </c>
      <c r="AU103" s="662"/>
      <c r="AV103" s="652">
        <f t="shared" ref="AV103:AV116" si="32">COUNT(P103,U103)</f>
        <v>0</v>
      </c>
      <c r="AW103" s="652" t="str">
        <f t="shared" ref="AW103:AW116" si="33">IF(I103=1,AV103,"")</f>
        <v/>
      </c>
      <c r="AX103" s="652" t="str">
        <f t="shared" ref="AX103:AX116" si="34">IF(I103=2,AV103,"")</f>
        <v/>
      </c>
      <c r="AY103" s="662"/>
      <c r="AZ103" s="662"/>
      <c r="BA103" s="662"/>
      <c r="BB103" s="662"/>
      <c r="BG103" s="662"/>
      <c r="BH103" s="1037"/>
      <c r="BI103" s="1037"/>
      <c r="BJ103" s="1037"/>
      <c r="BK103" s="1037"/>
      <c r="BL103" s="1037"/>
    </row>
    <row r="104" spans="1:64">
      <c r="A104" s="698">
        <f t="shared" si="25"/>
        <v>0</v>
      </c>
      <c r="B104" s="704" t="str">
        <f>前年度登録!P101</f>
        <v/>
      </c>
      <c r="C104" s="708"/>
      <c r="D104" s="708"/>
      <c r="E104" s="709">
        <f>前年度登録!E101</f>
        <v>0</v>
      </c>
      <c r="F104" s="557" t="str">
        <f>前年度登録!CM101</f>
        <v/>
      </c>
      <c r="G104" s="993" t="str">
        <f>前年度登録!Z101</f>
        <v/>
      </c>
      <c r="H104" s="534" t="str">
        <f>前年度登録!CM101</f>
        <v/>
      </c>
      <c r="I104" s="257" t="str">
        <f>前年度登録!Y101</f>
        <v/>
      </c>
      <c r="J104" s="323" t="str">
        <f>前年度登録!CN101</f>
        <v/>
      </c>
      <c r="K104" s="1288">
        <f>前年度登録!CP101</f>
        <v>0</v>
      </c>
      <c r="L104" s="896" t="str">
        <f>前年度登録!CU101</f>
        <v>00</v>
      </c>
      <c r="M104" s="704" t="str">
        <f>前年度登録!Q101</f>
        <v/>
      </c>
      <c r="N104" s="1289">
        <f>前年度登録!D101</f>
        <v>0</v>
      </c>
      <c r="O104" s="1282"/>
      <c r="P104" s="258" t="str">
        <f>IF(O104="","",IF(I104=1,VLOOKUP(O104,男子種目コード!$J$1:$K$16,2,FALSE),IF(I104=2,VLOOKUP(O104,女子種目コード!$J$1:$K$16,2,FALSE))))</f>
        <v/>
      </c>
      <c r="Q104" s="494" t="str">
        <f>IF(O104="","",HLOOKUP(O104,前年度登録!$AH$3:$CH$118,99,FALSE))</f>
        <v/>
      </c>
      <c r="R104" s="624" t="str">
        <f t="shared" si="26"/>
        <v/>
      </c>
      <c r="S104" s="625" t="str">
        <f t="shared" si="27"/>
        <v/>
      </c>
      <c r="T104" s="259"/>
      <c r="U104" s="710" t="str">
        <f>IF(T104="","",IF(I104=1,VLOOKUP(T104,男子種目コード!$J$17:$K$19,2,FALSE),IF(I104=2,VLOOKUP(T104,女子種目コード!$J$17:$K$19,2,FALSE))))</f>
        <v/>
      </c>
      <c r="V104" s="628"/>
      <c r="W104" s="624" t="str">
        <f t="shared" si="28"/>
        <v/>
      </c>
      <c r="X104" s="625" t="str">
        <f t="shared" si="29"/>
        <v/>
      </c>
      <c r="Y104" s="633"/>
      <c r="Z104" s="711" t="str">
        <f>IF(Y104="","",IF(I104=1,VLOOKUP(Y104,男子種目コード!$D$2:$E$16,2,FALSE),IF(I104=2,VLOOKUP(Y104,女子種目コード!$D$2:$E$16,2,FALSE))))</f>
        <v/>
      </c>
      <c r="AA104" s="630"/>
      <c r="AB104" s="634"/>
      <c r="AC104" s="712" t="str">
        <f>IF(AB104="","",IF(I104=1,VLOOKUP(AB104,男子種目コード!$D$2:$E$16,2,FALSE),IF(I104=2,VLOOKUP(AB104,女子種目コード!$D$2:$E$16,2,FALSE))))</f>
        <v/>
      </c>
      <c r="AD104" s="705"/>
      <c r="AE104" s="635"/>
      <c r="AF104" s="712"/>
      <c r="AG104" s="706"/>
      <c r="AH104" s="657"/>
      <c r="AI104" s="657"/>
      <c r="AK104" s="730"/>
      <c r="AL104" s="652" t="str">
        <f t="shared" si="30"/>
        <v/>
      </c>
      <c r="AM104" s="662"/>
      <c r="AN104" s="662"/>
      <c r="AO104" s="662"/>
      <c r="AP104" s="662"/>
      <c r="AQ104" s="662"/>
      <c r="AR104" s="662"/>
      <c r="AS104" s="662"/>
      <c r="AT104" s="707">
        <f t="shared" si="31"/>
        <v>0</v>
      </c>
      <c r="AU104" s="662"/>
      <c r="AV104" s="652">
        <f t="shared" si="32"/>
        <v>0</v>
      </c>
      <c r="AW104" s="652" t="str">
        <f t="shared" si="33"/>
        <v/>
      </c>
      <c r="AX104" s="652" t="str">
        <f t="shared" si="34"/>
        <v/>
      </c>
      <c r="AY104" s="662"/>
      <c r="AZ104" s="662"/>
      <c r="BA104" s="662"/>
      <c r="BB104" s="662"/>
      <c r="BG104" s="662"/>
      <c r="BH104" s="1037"/>
      <c r="BI104" s="1037"/>
      <c r="BJ104" s="1037"/>
      <c r="BK104" s="1037"/>
      <c r="BL104" s="1037"/>
    </row>
    <row r="105" spans="1:64">
      <c r="A105" s="698">
        <f t="shared" si="25"/>
        <v>0</v>
      </c>
      <c r="B105" s="704" t="str">
        <f>前年度登録!P102</f>
        <v/>
      </c>
      <c r="C105" s="708"/>
      <c r="D105" s="708"/>
      <c r="E105" s="709">
        <f>前年度登録!E102</f>
        <v>0</v>
      </c>
      <c r="F105" s="557" t="str">
        <f>前年度登録!CM102</f>
        <v/>
      </c>
      <c r="G105" s="993" t="str">
        <f>前年度登録!Z102</f>
        <v/>
      </c>
      <c r="H105" s="534" t="str">
        <f>前年度登録!CM102</f>
        <v/>
      </c>
      <c r="I105" s="257" t="str">
        <f>前年度登録!Y102</f>
        <v/>
      </c>
      <c r="J105" s="323" t="str">
        <f>前年度登録!CN102</f>
        <v/>
      </c>
      <c r="K105" s="1288">
        <f>前年度登録!CP102</f>
        <v>0</v>
      </c>
      <c r="L105" s="896" t="str">
        <f>前年度登録!CU102</f>
        <v>00</v>
      </c>
      <c r="M105" s="704" t="str">
        <f>前年度登録!Q102</f>
        <v/>
      </c>
      <c r="N105" s="1289">
        <f>前年度登録!D102</f>
        <v>0</v>
      </c>
      <c r="O105" s="1282"/>
      <c r="P105" s="258" t="str">
        <f>IF(O105="","",IF(I105=1,VLOOKUP(O105,男子種目コード!$J$1:$K$16,2,FALSE),IF(I105=2,VLOOKUP(O105,女子種目コード!$J$1:$K$16,2,FALSE))))</f>
        <v/>
      </c>
      <c r="Q105" s="494" t="str">
        <f>IF(O105="","",HLOOKUP(O105,前年度登録!$AH$3:$CH$118,100,FALSE))</f>
        <v/>
      </c>
      <c r="R105" s="624" t="str">
        <f t="shared" si="26"/>
        <v/>
      </c>
      <c r="S105" s="625" t="str">
        <f t="shared" si="27"/>
        <v/>
      </c>
      <c r="T105" s="259"/>
      <c r="U105" s="710" t="str">
        <f>IF(T105="","",IF(I105=1,VLOOKUP(T105,男子種目コード!$J$17:$K$19,2,FALSE),IF(I105=2,VLOOKUP(T105,女子種目コード!$J$17:$K$19,2,FALSE))))</f>
        <v/>
      </c>
      <c r="V105" s="628"/>
      <c r="W105" s="624" t="str">
        <f t="shared" si="28"/>
        <v/>
      </c>
      <c r="X105" s="625" t="str">
        <f t="shared" si="29"/>
        <v/>
      </c>
      <c r="Y105" s="633"/>
      <c r="Z105" s="711" t="str">
        <f>IF(Y105="","",IF(I105=1,VLOOKUP(Y105,男子種目コード!$D$2:$E$16,2,FALSE),IF(I105=2,VLOOKUP(Y105,女子種目コード!$D$2:$E$16,2,FALSE))))</f>
        <v/>
      </c>
      <c r="AA105" s="630"/>
      <c r="AB105" s="634"/>
      <c r="AC105" s="712" t="str">
        <f>IF(AB105="","",IF(I105=1,VLOOKUP(AB105,男子種目コード!$D$2:$E$16,2,FALSE),IF(I105=2,VLOOKUP(AB105,女子種目コード!$D$2:$E$16,2,FALSE))))</f>
        <v/>
      </c>
      <c r="AD105" s="705"/>
      <c r="AE105" s="635"/>
      <c r="AF105" s="712"/>
      <c r="AG105" s="706"/>
      <c r="AH105" s="657"/>
      <c r="AI105" s="657"/>
      <c r="AK105" s="730"/>
      <c r="AL105" s="652" t="str">
        <f t="shared" si="30"/>
        <v/>
      </c>
      <c r="AM105" s="662"/>
      <c r="AN105" s="662"/>
      <c r="AO105" s="662"/>
      <c r="AP105" s="662"/>
      <c r="AQ105" s="662"/>
      <c r="AR105" s="662"/>
      <c r="AS105" s="662"/>
      <c r="AT105" s="707">
        <f t="shared" si="31"/>
        <v>0</v>
      </c>
      <c r="AU105" s="662"/>
      <c r="AV105" s="652">
        <f t="shared" si="32"/>
        <v>0</v>
      </c>
      <c r="AW105" s="652" t="str">
        <f t="shared" si="33"/>
        <v/>
      </c>
      <c r="AX105" s="652" t="str">
        <f t="shared" si="34"/>
        <v/>
      </c>
      <c r="AY105" s="662"/>
      <c r="AZ105" s="662"/>
      <c r="BA105" s="662"/>
      <c r="BB105" s="662"/>
      <c r="BG105" s="662"/>
      <c r="BH105" s="1037"/>
      <c r="BI105" s="1037"/>
      <c r="BJ105" s="1037"/>
      <c r="BK105" s="1037"/>
      <c r="BL105" s="1037"/>
    </row>
    <row r="106" spans="1:64">
      <c r="A106" s="698">
        <f t="shared" si="25"/>
        <v>0</v>
      </c>
      <c r="B106" s="704" t="str">
        <f>前年度登録!P103</f>
        <v/>
      </c>
      <c r="C106" s="708"/>
      <c r="D106" s="708"/>
      <c r="E106" s="709">
        <f>前年度登録!E103</f>
        <v>0</v>
      </c>
      <c r="F106" s="557" t="str">
        <f>前年度登録!CM103</f>
        <v/>
      </c>
      <c r="G106" s="993" t="str">
        <f>前年度登録!Z103</f>
        <v/>
      </c>
      <c r="H106" s="534" t="str">
        <f>前年度登録!CM103</f>
        <v/>
      </c>
      <c r="I106" s="257" t="str">
        <f>前年度登録!Y103</f>
        <v/>
      </c>
      <c r="J106" s="323" t="str">
        <f>前年度登録!CN103</f>
        <v/>
      </c>
      <c r="K106" s="1288">
        <f>前年度登録!CP103</f>
        <v>0</v>
      </c>
      <c r="L106" s="896" t="str">
        <f>前年度登録!CU103</f>
        <v>00</v>
      </c>
      <c r="M106" s="704" t="str">
        <f>前年度登録!Q103</f>
        <v/>
      </c>
      <c r="N106" s="1289">
        <f>前年度登録!D103</f>
        <v>0</v>
      </c>
      <c r="O106" s="1282"/>
      <c r="P106" s="258" t="str">
        <f>IF(O106="","",IF(I106=1,VLOOKUP(O106,男子種目コード!$J$1:$K$16,2,FALSE),IF(I106=2,VLOOKUP(O106,女子種目コード!$J$1:$K$16,2,FALSE))))</f>
        <v/>
      </c>
      <c r="Q106" s="494" t="str">
        <f>IF(O106="","",HLOOKUP(O106,前年度登録!$AH$3:$CH$118,101,FALSE))</f>
        <v/>
      </c>
      <c r="R106" s="624" t="str">
        <f t="shared" si="26"/>
        <v/>
      </c>
      <c r="S106" s="625" t="str">
        <f t="shared" si="27"/>
        <v/>
      </c>
      <c r="T106" s="259"/>
      <c r="U106" s="710" t="str">
        <f>IF(T106="","",IF(I106=1,VLOOKUP(T106,男子種目コード!$J$17:$K$19,2,FALSE),IF(I106=2,VLOOKUP(T106,女子種目コード!$J$17:$K$19,2,FALSE))))</f>
        <v/>
      </c>
      <c r="V106" s="628"/>
      <c r="W106" s="624" t="str">
        <f t="shared" si="28"/>
        <v/>
      </c>
      <c r="X106" s="625" t="str">
        <f t="shared" si="29"/>
        <v/>
      </c>
      <c r="Y106" s="633"/>
      <c r="Z106" s="711"/>
      <c r="AA106" s="630"/>
      <c r="AB106" s="634"/>
      <c r="AC106" s="712"/>
      <c r="AD106" s="705"/>
      <c r="AE106" s="635"/>
      <c r="AF106" s="712"/>
      <c r="AG106" s="706"/>
      <c r="AH106" s="657"/>
      <c r="AI106" s="657"/>
      <c r="AK106" s="730"/>
      <c r="AL106" s="652" t="str">
        <f t="shared" si="30"/>
        <v/>
      </c>
      <c r="AM106" s="662"/>
      <c r="AN106" s="662"/>
      <c r="AO106" s="662"/>
      <c r="AP106" s="662"/>
      <c r="AQ106" s="662"/>
      <c r="AR106" s="662"/>
      <c r="AS106" s="662"/>
      <c r="AT106" s="707">
        <f t="shared" si="31"/>
        <v>0</v>
      </c>
      <c r="AU106" s="662"/>
      <c r="AV106" s="652">
        <f t="shared" si="32"/>
        <v>0</v>
      </c>
      <c r="AW106" s="652" t="str">
        <f t="shared" si="33"/>
        <v/>
      </c>
      <c r="AX106" s="652" t="str">
        <f t="shared" si="34"/>
        <v/>
      </c>
      <c r="AY106" s="662"/>
      <c r="AZ106" s="662"/>
      <c r="BA106" s="662"/>
      <c r="BB106" s="662"/>
      <c r="BG106" s="662"/>
      <c r="BH106" s="1037"/>
      <c r="BI106" s="1037"/>
      <c r="BJ106" s="1037"/>
      <c r="BK106" s="1037"/>
      <c r="BL106" s="1037"/>
    </row>
    <row r="107" spans="1:64">
      <c r="A107" s="698">
        <f t="shared" si="25"/>
        <v>0</v>
      </c>
      <c r="B107" s="704" t="str">
        <f>前年度登録!P104</f>
        <v/>
      </c>
      <c r="C107" s="708"/>
      <c r="D107" s="708"/>
      <c r="E107" s="709">
        <f>前年度登録!E104</f>
        <v>0</v>
      </c>
      <c r="F107" s="557" t="str">
        <f>前年度登録!CM104</f>
        <v/>
      </c>
      <c r="G107" s="993" t="str">
        <f>前年度登録!Z104</f>
        <v/>
      </c>
      <c r="H107" s="534" t="str">
        <f>前年度登録!CM104</f>
        <v/>
      </c>
      <c r="I107" s="257" t="str">
        <f>前年度登録!Y104</f>
        <v/>
      </c>
      <c r="J107" s="323" t="str">
        <f>前年度登録!CN104</f>
        <v/>
      </c>
      <c r="K107" s="1288">
        <f>前年度登録!CP104</f>
        <v>0</v>
      </c>
      <c r="L107" s="896" t="str">
        <f>前年度登録!CU104</f>
        <v>00</v>
      </c>
      <c r="M107" s="704" t="str">
        <f>前年度登録!Q104</f>
        <v/>
      </c>
      <c r="N107" s="1289">
        <f>前年度登録!D104</f>
        <v>0</v>
      </c>
      <c r="O107" s="1282"/>
      <c r="P107" s="258" t="str">
        <f>IF(O107="","",IF(I107=1,VLOOKUP(O107,男子種目コード!$J$1:$K$16,2,FALSE),IF(I107=2,VLOOKUP(O107,女子種目コード!$J$1:$K$16,2,FALSE))))</f>
        <v/>
      </c>
      <c r="Q107" s="494" t="str">
        <f>IF(O107="","",HLOOKUP(O107,前年度登録!$AH$3:$CH$118,102,FALSE))</f>
        <v/>
      </c>
      <c r="R107" s="624" t="str">
        <f t="shared" si="26"/>
        <v/>
      </c>
      <c r="S107" s="625" t="str">
        <f t="shared" si="27"/>
        <v/>
      </c>
      <c r="T107" s="259"/>
      <c r="U107" s="710" t="str">
        <f>IF(T107="","",IF(I107=1,VLOOKUP(T107,男子種目コード!$J$17:$K$19,2,FALSE),IF(I107=2,VLOOKUP(T107,女子種目コード!$J$17:$K$19,2,FALSE))))</f>
        <v/>
      </c>
      <c r="V107" s="628"/>
      <c r="W107" s="624" t="str">
        <f t="shared" si="28"/>
        <v/>
      </c>
      <c r="X107" s="625" t="str">
        <f t="shared" si="29"/>
        <v/>
      </c>
      <c r="Y107" s="633"/>
      <c r="Z107" s="711"/>
      <c r="AA107" s="630"/>
      <c r="AB107" s="634"/>
      <c r="AC107" s="712"/>
      <c r="AD107" s="705"/>
      <c r="AE107" s="635"/>
      <c r="AF107" s="712"/>
      <c r="AG107" s="706"/>
      <c r="AH107" s="657"/>
      <c r="AI107" s="657"/>
      <c r="AK107" s="730"/>
      <c r="AL107" s="652" t="str">
        <f t="shared" si="30"/>
        <v/>
      </c>
      <c r="AM107" s="662"/>
      <c r="AN107" s="662"/>
      <c r="AO107" s="662"/>
      <c r="AP107" s="662"/>
      <c r="AQ107" s="662"/>
      <c r="AR107" s="662"/>
      <c r="AS107" s="662"/>
      <c r="AT107" s="707">
        <f t="shared" si="31"/>
        <v>0</v>
      </c>
      <c r="AU107" s="662"/>
      <c r="AV107" s="652">
        <f t="shared" si="32"/>
        <v>0</v>
      </c>
      <c r="AW107" s="652" t="str">
        <f t="shared" si="33"/>
        <v/>
      </c>
      <c r="AX107" s="652" t="str">
        <f t="shared" si="34"/>
        <v/>
      </c>
      <c r="AY107" s="662"/>
      <c r="AZ107" s="662"/>
      <c r="BA107" s="662"/>
      <c r="BB107" s="662"/>
      <c r="BG107" s="662"/>
      <c r="BH107" s="1037"/>
      <c r="BI107" s="1037"/>
      <c r="BJ107" s="1037"/>
      <c r="BK107" s="1037"/>
      <c r="BL107" s="1037"/>
    </row>
    <row r="108" spans="1:64">
      <c r="A108" s="698">
        <f t="shared" si="25"/>
        <v>0</v>
      </c>
      <c r="B108" s="704" t="str">
        <f>前年度登録!P105</f>
        <v/>
      </c>
      <c r="C108" s="708"/>
      <c r="D108" s="708"/>
      <c r="E108" s="709">
        <f>前年度登録!E105</f>
        <v>0</v>
      </c>
      <c r="F108" s="557" t="str">
        <f>前年度登録!CM105</f>
        <v/>
      </c>
      <c r="G108" s="993" t="str">
        <f>前年度登録!Z105</f>
        <v/>
      </c>
      <c r="H108" s="534" t="str">
        <f>前年度登録!CM105</f>
        <v/>
      </c>
      <c r="I108" s="257" t="str">
        <f>前年度登録!Y105</f>
        <v/>
      </c>
      <c r="J108" s="323" t="str">
        <f>前年度登録!CN105</f>
        <v/>
      </c>
      <c r="K108" s="1288">
        <f>前年度登録!CP105</f>
        <v>0</v>
      </c>
      <c r="L108" s="896" t="str">
        <f>前年度登録!CU105</f>
        <v>00</v>
      </c>
      <c r="M108" s="704" t="str">
        <f>前年度登録!Q105</f>
        <v/>
      </c>
      <c r="N108" s="1289">
        <f>前年度登録!D105</f>
        <v>0</v>
      </c>
      <c r="O108" s="1282"/>
      <c r="P108" s="258" t="str">
        <f>IF(O108="","",IF(I108=1,VLOOKUP(O108,男子種目コード!$J$1:$K$16,2,FALSE),IF(I108=2,VLOOKUP(O108,女子種目コード!$J$1:$K$16,2,FALSE))))</f>
        <v/>
      </c>
      <c r="Q108" s="494" t="str">
        <f>IF(O108="","",HLOOKUP(O108,前年度登録!$AH$3:$CH$118,103,FALSE))</f>
        <v/>
      </c>
      <c r="R108" s="624" t="str">
        <f t="shared" si="26"/>
        <v/>
      </c>
      <c r="S108" s="625" t="str">
        <f t="shared" si="27"/>
        <v/>
      </c>
      <c r="T108" s="259"/>
      <c r="U108" s="710" t="str">
        <f>IF(T108="","",IF(I108=1,VLOOKUP(T108,男子種目コード!$J$17:$K$19,2,FALSE),IF(I108=2,VLOOKUP(T108,女子種目コード!$J$17:$K$19,2,FALSE))))</f>
        <v/>
      </c>
      <c r="V108" s="628"/>
      <c r="W108" s="624" t="str">
        <f t="shared" si="28"/>
        <v/>
      </c>
      <c r="X108" s="625" t="str">
        <f t="shared" si="29"/>
        <v/>
      </c>
      <c r="Y108" s="633"/>
      <c r="Z108" s="711"/>
      <c r="AA108" s="630"/>
      <c r="AB108" s="634"/>
      <c r="AC108" s="712"/>
      <c r="AD108" s="705"/>
      <c r="AE108" s="635"/>
      <c r="AF108" s="712"/>
      <c r="AG108" s="706"/>
      <c r="AH108" s="657"/>
      <c r="AI108" s="657"/>
      <c r="AK108" s="730"/>
      <c r="AL108" s="652" t="str">
        <f t="shared" si="30"/>
        <v/>
      </c>
      <c r="AM108" s="662"/>
      <c r="AN108" s="662"/>
      <c r="AO108" s="662"/>
      <c r="AP108" s="662"/>
      <c r="AQ108" s="662"/>
      <c r="AR108" s="662"/>
      <c r="AS108" s="662"/>
      <c r="AT108" s="707">
        <f t="shared" si="31"/>
        <v>0</v>
      </c>
      <c r="AU108" s="662"/>
      <c r="AV108" s="652">
        <f t="shared" si="32"/>
        <v>0</v>
      </c>
      <c r="AW108" s="652" t="str">
        <f t="shared" si="33"/>
        <v/>
      </c>
      <c r="AX108" s="652" t="str">
        <f t="shared" si="34"/>
        <v/>
      </c>
      <c r="AY108" s="662"/>
      <c r="AZ108" s="662"/>
      <c r="BA108" s="662"/>
      <c r="BB108" s="662"/>
      <c r="BG108" s="662"/>
      <c r="BH108" s="1037"/>
      <c r="BI108" s="1037"/>
      <c r="BJ108" s="1037"/>
      <c r="BK108" s="1037"/>
      <c r="BL108" s="1037"/>
    </row>
    <row r="109" spans="1:64">
      <c r="A109" s="698">
        <f t="shared" si="25"/>
        <v>0</v>
      </c>
      <c r="B109" s="704" t="str">
        <f>前年度登録!P106</f>
        <v/>
      </c>
      <c r="C109" s="708"/>
      <c r="D109" s="708"/>
      <c r="E109" s="709">
        <f>前年度登録!E106</f>
        <v>0</v>
      </c>
      <c r="F109" s="557" t="str">
        <f>前年度登録!CM106</f>
        <v/>
      </c>
      <c r="G109" s="993" t="str">
        <f>前年度登録!Z106</f>
        <v/>
      </c>
      <c r="H109" s="534" t="str">
        <f>前年度登録!CM106</f>
        <v/>
      </c>
      <c r="I109" s="257" t="str">
        <f>前年度登録!Y106</f>
        <v/>
      </c>
      <c r="J109" s="323" t="str">
        <f>前年度登録!CN106</f>
        <v/>
      </c>
      <c r="K109" s="1288">
        <f>前年度登録!CP106</f>
        <v>0</v>
      </c>
      <c r="L109" s="896" t="str">
        <f>前年度登録!CU106</f>
        <v>00</v>
      </c>
      <c r="M109" s="704" t="str">
        <f>前年度登録!Q106</f>
        <v/>
      </c>
      <c r="N109" s="1289">
        <f>前年度登録!D106</f>
        <v>0</v>
      </c>
      <c r="O109" s="1282"/>
      <c r="P109" s="258" t="str">
        <f>IF(O109="","",IF(I109=1,VLOOKUP(O109,男子種目コード!$J$1:$K$16,2,FALSE),IF(I109=2,VLOOKUP(O109,女子種目コード!$J$1:$K$16,2,FALSE))))</f>
        <v/>
      </c>
      <c r="Q109" s="494" t="str">
        <f>IF(O109="","",HLOOKUP(O109,前年度登録!$AH$3:$CH$118,104,FALSE))</f>
        <v/>
      </c>
      <c r="R109" s="624" t="str">
        <f t="shared" si="26"/>
        <v/>
      </c>
      <c r="S109" s="625" t="str">
        <f t="shared" si="27"/>
        <v/>
      </c>
      <c r="T109" s="259"/>
      <c r="U109" s="710" t="str">
        <f>IF(T109="","",IF(I109=1,VLOOKUP(T109,男子種目コード!$J$17:$K$19,2,FALSE),IF(I109=2,VLOOKUP(T109,女子種目コード!$J$17:$K$19,2,FALSE))))</f>
        <v/>
      </c>
      <c r="V109" s="628"/>
      <c r="W109" s="624" t="str">
        <f t="shared" si="28"/>
        <v/>
      </c>
      <c r="X109" s="625" t="str">
        <f t="shared" si="29"/>
        <v/>
      </c>
      <c r="Y109" s="633"/>
      <c r="Z109" s="711"/>
      <c r="AA109" s="630"/>
      <c r="AB109" s="634"/>
      <c r="AC109" s="712"/>
      <c r="AD109" s="705"/>
      <c r="AE109" s="635"/>
      <c r="AF109" s="712"/>
      <c r="AG109" s="706"/>
      <c r="AH109" s="657"/>
      <c r="AI109" s="657"/>
      <c r="AK109" s="730"/>
      <c r="AL109" s="652" t="str">
        <f t="shared" si="30"/>
        <v/>
      </c>
      <c r="AM109" s="662"/>
      <c r="AN109" s="662"/>
      <c r="AO109" s="662"/>
      <c r="AP109" s="662"/>
      <c r="AQ109" s="662"/>
      <c r="AR109" s="662"/>
      <c r="AS109" s="662"/>
      <c r="AT109" s="707">
        <f t="shared" si="31"/>
        <v>0</v>
      </c>
      <c r="AU109" s="662"/>
      <c r="AV109" s="652">
        <f t="shared" si="32"/>
        <v>0</v>
      </c>
      <c r="AW109" s="652" t="str">
        <f t="shared" si="33"/>
        <v/>
      </c>
      <c r="AX109" s="652" t="str">
        <f t="shared" si="34"/>
        <v/>
      </c>
      <c r="AY109" s="662"/>
      <c r="AZ109" s="662"/>
      <c r="BA109" s="662"/>
      <c r="BB109" s="662"/>
      <c r="BG109" s="662"/>
      <c r="BH109" s="1037"/>
      <c r="BI109" s="1037"/>
      <c r="BJ109" s="1037"/>
      <c r="BK109" s="1037"/>
      <c r="BL109" s="1037"/>
    </row>
    <row r="110" spans="1:64">
      <c r="A110" s="698">
        <f t="shared" si="25"/>
        <v>0</v>
      </c>
      <c r="B110" s="704" t="str">
        <f>前年度登録!P107</f>
        <v/>
      </c>
      <c r="C110" s="708"/>
      <c r="D110" s="708"/>
      <c r="E110" s="709">
        <f>前年度登録!E107</f>
        <v>0</v>
      </c>
      <c r="F110" s="557" t="str">
        <f>前年度登録!CM107</f>
        <v/>
      </c>
      <c r="G110" s="993" t="str">
        <f>前年度登録!Z107</f>
        <v/>
      </c>
      <c r="H110" s="534" t="str">
        <f>前年度登録!CM107</f>
        <v/>
      </c>
      <c r="I110" s="257" t="str">
        <f>前年度登録!Y107</f>
        <v/>
      </c>
      <c r="J110" s="323" t="str">
        <f>前年度登録!CN107</f>
        <v/>
      </c>
      <c r="K110" s="1288">
        <f>前年度登録!CP107</f>
        <v>0</v>
      </c>
      <c r="L110" s="896" t="str">
        <f>前年度登録!CU107</f>
        <v>00</v>
      </c>
      <c r="M110" s="704" t="str">
        <f>前年度登録!Q107</f>
        <v/>
      </c>
      <c r="N110" s="1289">
        <f>前年度登録!D107</f>
        <v>0</v>
      </c>
      <c r="O110" s="1282"/>
      <c r="P110" s="258" t="str">
        <f>IF(O110="","",IF(I110=1,VLOOKUP(O110,男子種目コード!$J$1:$K$16,2,FALSE),IF(I110=2,VLOOKUP(O110,女子種目コード!$J$1:$K$16,2,FALSE))))</f>
        <v/>
      </c>
      <c r="Q110" s="494" t="str">
        <f>IF(O110="","",HLOOKUP(O110,前年度登録!$AH$3:$CH$118,105,FALSE))</f>
        <v/>
      </c>
      <c r="R110" s="624" t="str">
        <f t="shared" si="26"/>
        <v/>
      </c>
      <c r="S110" s="625" t="str">
        <f t="shared" si="27"/>
        <v/>
      </c>
      <c r="T110" s="259"/>
      <c r="U110" s="710" t="str">
        <f>IF(T110="","",IF(I110=1,VLOOKUP(T110,男子種目コード!$J$17:$K$19,2,FALSE),IF(I110=2,VLOOKUP(T110,女子種目コード!$J$17:$K$19,2,FALSE))))</f>
        <v/>
      </c>
      <c r="V110" s="628"/>
      <c r="W110" s="624" t="str">
        <f t="shared" si="28"/>
        <v/>
      </c>
      <c r="X110" s="625" t="str">
        <f t="shared" si="29"/>
        <v/>
      </c>
      <c r="Y110" s="633"/>
      <c r="Z110" s="711"/>
      <c r="AA110" s="630"/>
      <c r="AB110" s="634"/>
      <c r="AC110" s="712"/>
      <c r="AD110" s="705"/>
      <c r="AE110" s="635"/>
      <c r="AF110" s="712"/>
      <c r="AG110" s="706"/>
      <c r="AH110" s="657"/>
      <c r="AI110" s="657"/>
      <c r="AK110" s="730"/>
      <c r="AL110" s="652" t="str">
        <f t="shared" si="30"/>
        <v/>
      </c>
      <c r="AM110" s="662"/>
      <c r="AN110" s="662"/>
      <c r="AO110" s="662"/>
      <c r="AP110" s="662"/>
      <c r="AQ110" s="662"/>
      <c r="AR110" s="662"/>
      <c r="AS110" s="662"/>
      <c r="AT110" s="707">
        <f t="shared" si="31"/>
        <v>0</v>
      </c>
      <c r="AU110" s="662"/>
      <c r="AV110" s="652">
        <f t="shared" si="32"/>
        <v>0</v>
      </c>
      <c r="AW110" s="652" t="str">
        <f t="shared" si="33"/>
        <v/>
      </c>
      <c r="AX110" s="652" t="str">
        <f t="shared" si="34"/>
        <v/>
      </c>
      <c r="AY110" s="662"/>
      <c r="AZ110" s="662"/>
      <c r="BA110" s="662"/>
      <c r="BB110" s="662"/>
      <c r="BG110" s="662"/>
      <c r="BH110" s="1037"/>
      <c r="BI110" s="1037"/>
      <c r="BJ110" s="1037"/>
      <c r="BK110" s="1037"/>
      <c r="BL110" s="1037"/>
    </row>
    <row r="111" spans="1:64">
      <c r="A111" s="698">
        <f t="shared" si="25"/>
        <v>0</v>
      </c>
      <c r="B111" s="704" t="str">
        <f>前年度登録!P108</f>
        <v/>
      </c>
      <c r="C111" s="708"/>
      <c r="D111" s="708"/>
      <c r="E111" s="709">
        <f>前年度登録!E108</f>
        <v>0</v>
      </c>
      <c r="F111" s="557" t="str">
        <f>前年度登録!CM108</f>
        <v/>
      </c>
      <c r="G111" s="993" t="str">
        <f>前年度登録!Z108</f>
        <v/>
      </c>
      <c r="H111" s="534" t="str">
        <f>前年度登録!CM108</f>
        <v/>
      </c>
      <c r="I111" s="257" t="str">
        <f>前年度登録!Y108</f>
        <v/>
      </c>
      <c r="J111" s="323" t="str">
        <f>前年度登録!CN108</f>
        <v/>
      </c>
      <c r="K111" s="1288">
        <f>前年度登録!CP108</f>
        <v>0</v>
      </c>
      <c r="L111" s="896" t="str">
        <f>前年度登録!CU108</f>
        <v>00</v>
      </c>
      <c r="M111" s="704" t="str">
        <f>前年度登録!Q108</f>
        <v/>
      </c>
      <c r="N111" s="1289">
        <f>前年度登録!D108</f>
        <v>0</v>
      </c>
      <c r="O111" s="1282"/>
      <c r="P111" s="258" t="str">
        <f>IF(O111="","",IF(I111=1,VLOOKUP(O111,男子種目コード!$J$1:$K$16,2,FALSE),IF(I111=2,VLOOKUP(O111,女子種目コード!$J$1:$K$16,2,FALSE))))</f>
        <v/>
      </c>
      <c r="Q111" s="494" t="str">
        <f>IF(O111="","",HLOOKUP(O111,前年度登録!$AH$3:$CH$118,106,FALSE))</f>
        <v/>
      </c>
      <c r="R111" s="624" t="str">
        <f t="shared" si="26"/>
        <v/>
      </c>
      <c r="S111" s="625" t="str">
        <f t="shared" si="27"/>
        <v/>
      </c>
      <c r="T111" s="259"/>
      <c r="U111" s="710" t="str">
        <f>IF(T111="","",IF(I111=1,VLOOKUP(T111,男子種目コード!$J$17:$K$19,2,FALSE),IF(I111=2,VLOOKUP(T111,女子種目コード!$J$17:$K$19,2,FALSE))))</f>
        <v/>
      </c>
      <c r="V111" s="628"/>
      <c r="W111" s="624" t="str">
        <f t="shared" si="28"/>
        <v/>
      </c>
      <c r="X111" s="625" t="str">
        <f t="shared" si="29"/>
        <v/>
      </c>
      <c r="Y111" s="633"/>
      <c r="Z111" s="711"/>
      <c r="AA111" s="630"/>
      <c r="AB111" s="634"/>
      <c r="AC111" s="712"/>
      <c r="AD111" s="705"/>
      <c r="AE111" s="635"/>
      <c r="AF111" s="712"/>
      <c r="AG111" s="706"/>
      <c r="AH111" s="657"/>
      <c r="AI111" s="657"/>
      <c r="AK111" s="730"/>
      <c r="AL111" s="652" t="str">
        <f t="shared" si="30"/>
        <v/>
      </c>
      <c r="AM111" s="662"/>
      <c r="AN111" s="662"/>
      <c r="AO111" s="662"/>
      <c r="AP111" s="662"/>
      <c r="AQ111" s="662"/>
      <c r="AR111" s="662"/>
      <c r="AS111" s="662"/>
      <c r="AT111" s="707">
        <f t="shared" si="31"/>
        <v>0</v>
      </c>
      <c r="AU111" s="662"/>
      <c r="AV111" s="652">
        <f t="shared" si="32"/>
        <v>0</v>
      </c>
      <c r="AW111" s="652" t="str">
        <f t="shared" si="33"/>
        <v/>
      </c>
      <c r="AX111" s="652" t="str">
        <f t="shared" si="34"/>
        <v/>
      </c>
      <c r="AY111" s="662"/>
      <c r="AZ111" s="662"/>
      <c r="BA111" s="662"/>
      <c r="BB111" s="662"/>
      <c r="BG111" s="662"/>
      <c r="BH111" s="1037"/>
      <c r="BI111" s="1037"/>
      <c r="BJ111" s="1037"/>
      <c r="BK111" s="1037"/>
      <c r="BL111" s="1037"/>
    </row>
    <row r="112" spans="1:64">
      <c r="A112" s="698">
        <f t="shared" si="25"/>
        <v>0</v>
      </c>
      <c r="B112" s="704" t="str">
        <f>前年度登録!P109</f>
        <v/>
      </c>
      <c r="C112" s="708"/>
      <c r="D112" s="708"/>
      <c r="E112" s="709">
        <f>前年度登録!E109</f>
        <v>0</v>
      </c>
      <c r="F112" s="557" t="str">
        <f>前年度登録!CM109</f>
        <v/>
      </c>
      <c r="G112" s="993" t="str">
        <f>前年度登録!Z109</f>
        <v/>
      </c>
      <c r="H112" s="534" t="str">
        <f>前年度登録!CM109</f>
        <v/>
      </c>
      <c r="I112" s="257" t="str">
        <f>前年度登録!Y109</f>
        <v/>
      </c>
      <c r="J112" s="323" t="str">
        <f>前年度登録!CN109</f>
        <v/>
      </c>
      <c r="K112" s="1288">
        <f>前年度登録!CP109</f>
        <v>0</v>
      </c>
      <c r="L112" s="896" t="str">
        <f>前年度登録!CU109</f>
        <v>00</v>
      </c>
      <c r="M112" s="704" t="str">
        <f>前年度登録!Q109</f>
        <v/>
      </c>
      <c r="N112" s="1289">
        <f>前年度登録!D109</f>
        <v>0</v>
      </c>
      <c r="O112" s="1282"/>
      <c r="P112" s="258" t="str">
        <f>IF(O112="","",IF(I112=1,VLOOKUP(O112,男子種目コード!$J$1:$K$16,2,FALSE),IF(I112=2,VLOOKUP(O112,女子種目コード!$J$1:$K$16,2,FALSE))))</f>
        <v/>
      </c>
      <c r="Q112" s="494" t="str">
        <f>IF(O112="","",HLOOKUP(O112,前年度登録!$AH$3:$CH$118,107,FALSE))</f>
        <v/>
      </c>
      <c r="R112" s="624" t="str">
        <f t="shared" si="26"/>
        <v/>
      </c>
      <c r="S112" s="625" t="str">
        <f t="shared" si="27"/>
        <v/>
      </c>
      <c r="T112" s="259"/>
      <c r="U112" s="710" t="str">
        <f>IF(T112="","",IF(I112=1,VLOOKUP(T112,男子種目コード!$J$17:$K$19,2,FALSE),IF(I112=2,VLOOKUP(T112,女子種目コード!$J$17:$K$19,2,FALSE))))</f>
        <v/>
      </c>
      <c r="V112" s="628"/>
      <c r="W112" s="624" t="str">
        <f t="shared" si="28"/>
        <v/>
      </c>
      <c r="X112" s="625" t="str">
        <f t="shared" si="29"/>
        <v/>
      </c>
      <c r="Y112" s="633"/>
      <c r="Z112" s="711"/>
      <c r="AA112" s="630"/>
      <c r="AB112" s="634"/>
      <c r="AC112" s="712"/>
      <c r="AD112" s="705"/>
      <c r="AE112" s="635"/>
      <c r="AF112" s="712"/>
      <c r="AG112" s="706"/>
      <c r="AH112" s="657"/>
      <c r="AI112" s="657"/>
      <c r="AK112" s="730"/>
      <c r="AL112" s="652" t="str">
        <f t="shared" si="30"/>
        <v/>
      </c>
      <c r="AM112" s="662"/>
      <c r="AN112" s="662"/>
      <c r="AO112" s="662"/>
      <c r="AP112" s="662"/>
      <c r="AQ112" s="662"/>
      <c r="AR112" s="662"/>
      <c r="AS112" s="662"/>
      <c r="AT112" s="707">
        <f t="shared" si="31"/>
        <v>0</v>
      </c>
      <c r="AU112" s="662"/>
      <c r="AV112" s="652">
        <f t="shared" si="32"/>
        <v>0</v>
      </c>
      <c r="AW112" s="652" t="str">
        <f t="shared" si="33"/>
        <v/>
      </c>
      <c r="AX112" s="652" t="str">
        <f t="shared" si="34"/>
        <v/>
      </c>
      <c r="AY112" s="662"/>
      <c r="AZ112" s="662"/>
      <c r="BA112" s="662"/>
      <c r="BB112" s="662"/>
      <c r="BG112" s="662"/>
      <c r="BH112" s="1037"/>
      <c r="BI112" s="1037"/>
      <c r="BJ112" s="1037"/>
      <c r="BK112" s="1037"/>
      <c r="BL112" s="1037"/>
    </row>
    <row r="113" spans="1:64">
      <c r="A113" s="698">
        <f t="shared" si="25"/>
        <v>0</v>
      </c>
      <c r="B113" s="704" t="str">
        <f>前年度登録!P110</f>
        <v/>
      </c>
      <c r="C113" s="708"/>
      <c r="D113" s="708"/>
      <c r="E113" s="709">
        <f>前年度登録!E110</f>
        <v>0</v>
      </c>
      <c r="F113" s="557" t="str">
        <f>前年度登録!CM110</f>
        <v/>
      </c>
      <c r="G113" s="993" t="str">
        <f>前年度登録!Z110</f>
        <v/>
      </c>
      <c r="H113" s="534" t="str">
        <f>前年度登録!CM110</f>
        <v/>
      </c>
      <c r="I113" s="257" t="str">
        <f>前年度登録!Y110</f>
        <v/>
      </c>
      <c r="J113" s="323" t="str">
        <f>前年度登録!CN110</f>
        <v/>
      </c>
      <c r="K113" s="1288">
        <f>前年度登録!CP110</f>
        <v>0</v>
      </c>
      <c r="L113" s="896" t="str">
        <f>前年度登録!CU110</f>
        <v>00</v>
      </c>
      <c r="M113" s="704" t="str">
        <f>前年度登録!Q110</f>
        <v/>
      </c>
      <c r="N113" s="1289">
        <f>前年度登録!D110</f>
        <v>0</v>
      </c>
      <c r="O113" s="1282"/>
      <c r="P113" s="258" t="str">
        <f>IF(O113="","",IF(I113=1,VLOOKUP(O113,男子種目コード!$J$1:$K$16,2,FALSE),IF(I113=2,VLOOKUP(O113,女子種目コード!$J$1:$K$16,2,FALSE))))</f>
        <v/>
      </c>
      <c r="Q113" s="494" t="str">
        <f>IF(O113="","",HLOOKUP(O113,前年度登録!$AH$3:$CH$118,108,FALSE))</f>
        <v/>
      </c>
      <c r="R113" s="624" t="str">
        <f t="shared" si="26"/>
        <v/>
      </c>
      <c r="S113" s="625" t="str">
        <f t="shared" si="27"/>
        <v/>
      </c>
      <c r="T113" s="259"/>
      <c r="U113" s="710" t="str">
        <f>IF(T113="","",IF(I113=1,VLOOKUP(T113,男子種目コード!$J$17:$K$19,2,FALSE),IF(I113=2,VLOOKUP(T113,女子種目コード!$J$17:$K$19,2,FALSE))))</f>
        <v/>
      </c>
      <c r="V113" s="628"/>
      <c r="W113" s="624" t="str">
        <f t="shared" si="28"/>
        <v/>
      </c>
      <c r="X113" s="625" t="str">
        <f t="shared" si="29"/>
        <v/>
      </c>
      <c r="Y113" s="633"/>
      <c r="Z113" s="711"/>
      <c r="AA113" s="630"/>
      <c r="AB113" s="634"/>
      <c r="AC113" s="712"/>
      <c r="AD113" s="705"/>
      <c r="AE113" s="635"/>
      <c r="AF113" s="712"/>
      <c r="AG113" s="706"/>
      <c r="AH113" s="657"/>
      <c r="AI113" s="657"/>
      <c r="AK113" s="730"/>
      <c r="AL113" s="652" t="str">
        <f t="shared" si="30"/>
        <v/>
      </c>
      <c r="AM113" s="662"/>
      <c r="AN113" s="662"/>
      <c r="AO113" s="662"/>
      <c r="AP113" s="662"/>
      <c r="AQ113" s="662"/>
      <c r="AR113" s="662"/>
      <c r="AS113" s="662"/>
      <c r="AT113" s="707">
        <f t="shared" si="31"/>
        <v>0</v>
      </c>
      <c r="AU113" s="662"/>
      <c r="AV113" s="652">
        <f t="shared" si="32"/>
        <v>0</v>
      </c>
      <c r="AW113" s="652" t="str">
        <f t="shared" si="33"/>
        <v/>
      </c>
      <c r="AX113" s="652" t="str">
        <f t="shared" si="34"/>
        <v/>
      </c>
      <c r="AY113" s="662"/>
      <c r="AZ113" s="662"/>
      <c r="BA113" s="662"/>
      <c r="BB113" s="662"/>
      <c r="BG113" s="662"/>
      <c r="BH113" s="1037"/>
      <c r="BI113" s="1037"/>
      <c r="BJ113" s="1037"/>
      <c r="BK113" s="1037"/>
      <c r="BL113" s="1037"/>
    </row>
    <row r="114" spans="1:64">
      <c r="A114" s="698">
        <f t="shared" si="25"/>
        <v>0</v>
      </c>
      <c r="B114" s="704" t="str">
        <f>前年度登録!P111</f>
        <v/>
      </c>
      <c r="C114" s="708"/>
      <c r="D114" s="708"/>
      <c r="E114" s="709">
        <f>前年度登録!E111</f>
        <v>0</v>
      </c>
      <c r="F114" s="557" t="str">
        <f>前年度登録!CM111</f>
        <v/>
      </c>
      <c r="G114" s="993" t="str">
        <f>前年度登録!Z111</f>
        <v/>
      </c>
      <c r="H114" s="534" t="str">
        <f>前年度登録!CM111</f>
        <v/>
      </c>
      <c r="I114" s="257" t="str">
        <f>前年度登録!Y111</f>
        <v/>
      </c>
      <c r="J114" s="323" t="str">
        <f>前年度登録!CN111</f>
        <v/>
      </c>
      <c r="K114" s="1288">
        <f>前年度登録!CP111</f>
        <v>0</v>
      </c>
      <c r="L114" s="896" t="str">
        <f>前年度登録!CU111</f>
        <v>00</v>
      </c>
      <c r="M114" s="704" t="str">
        <f>前年度登録!Q111</f>
        <v/>
      </c>
      <c r="N114" s="1289">
        <f>前年度登録!D111</f>
        <v>0</v>
      </c>
      <c r="O114" s="1282"/>
      <c r="P114" s="258" t="str">
        <f>IF(O114="","",IF(I114=1,VLOOKUP(O114,男子種目コード!$J$1:$K$16,2,FALSE),IF(I114=2,VLOOKUP(O114,女子種目コード!$J$1:$K$16,2,FALSE))))</f>
        <v/>
      </c>
      <c r="Q114" s="494" t="str">
        <f>IF(O114="","",HLOOKUP(O114,前年度登録!$AH$3:$CH$118,109,FALSE))</f>
        <v/>
      </c>
      <c r="R114" s="624" t="str">
        <f t="shared" si="26"/>
        <v/>
      </c>
      <c r="S114" s="625" t="str">
        <f t="shared" si="27"/>
        <v/>
      </c>
      <c r="T114" s="259"/>
      <c r="U114" s="710" t="str">
        <f>IF(T114="","",IF(I114=1,VLOOKUP(T114,男子種目コード!$J$17:$K$19,2,FALSE),IF(I114=2,VLOOKUP(T114,女子種目コード!$J$17:$K$19,2,FALSE))))</f>
        <v/>
      </c>
      <c r="V114" s="628"/>
      <c r="W114" s="624" t="str">
        <f t="shared" si="28"/>
        <v/>
      </c>
      <c r="X114" s="625" t="str">
        <f t="shared" si="29"/>
        <v/>
      </c>
      <c r="Y114" s="633"/>
      <c r="Z114" s="711"/>
      <c r="AA114" s="630"/>
      <c r="AB114" s="634"/>
      <c r="AC114" s="712"/>
      <c r="AD114" s="705"/>
      <c r="AE114" s="635"/>
      <c r="AF114" s="712"/>
      <c r="AG114" s="706"/>
      <c r="AH114" s="657"/>
      <c r="AI114" s="657"/>
      <c r="AK114" s="730"/>
      <c r="AL114" s="652" t="str">
        <f t="shared" si="30"/>
        <v/>
      </c>
      <c r="AM114" s="662"/>
      <c r="AN114" s="662"/>
      <c r="AO114" s="662"/>
      <c r="AP114" s="662"/>
      <c r="AQ114" s="662"/>
      <c r="AR114" s="662"/>
      <c r="AS114" s="662"/>
      <c r="AT114" s="707">
        <f t="shared" si="31"/>
        <v>0</v>
      </c>
      <c r="AU114" s="662"/>
      <c r="AV114" s="652">
        <f t="shared" si="32"/>
        <v>0</v>
      </c>
      <c r="AW114" s="652" t="str">
        <f t="shared" si="33"/>
        <v/>
      </c>
      <c r="AX114" s="652" t="str">
        <f t="shared" si="34"/>
        <v/>
      </c>
      <c r="AY114" s="662"/>
      <c r="AZ114" s="662"/>
      <c r="BA114" s="662"/>
      <c r="BB114" s="662"/>
      <c r="BG114" s="662"/>
      <c r="BH114" s="1037"/>
      <c r="BI114" s="1037"/>
      <c r="BJ114" s="1037"/>
      <c r="BK114" s="1037"/>
      <c r="BL114" s="1037"/>
    </row>
    <row r="115" spans="1:64">
      <c r="A115" s="698">
        <f t="shared" si="25"/>
        <v>0</v>
      </c>
      <c r="B115" s="704" t="str">
        <f>前年度登録!P112</f>
        <v/>
      </c>
      <c r="C115" s="708"/>
      <c r="D115" s="708"/>
      <c r="E115" s="709">
        <f>前年度登録!E112</f>
        <v>0</v>
      </c>
      <c r="F115" s="557" t="str">
        <f>前年度登録!CM112</f>
        <v/>
      </c>
      <c r="G115" s="993" t="str">
        <f>前年度登録!Z112</f>
        <v/>
      </c>
      <c r="H115" s="534" t="str">
        <f>前年度登録!CM112</f>
        <v/>
      </c>
      <c r="I115" s="257" t="str">
        <f>前年度登録!Y112</f>
        <v/>
      </c>
      <c r="J115" s="323" t="str">
        <f>前年度登録!CN112</f>
        <v/>
      </c>
      <c r="K115" s="1288">
        <f>前年度登録!CP112</f>
        <v>0</v>
      </c>
      <c r="L115" s="896" t="str">
        <f>前年度登録!CU112</f>
        <v>00</v>
      </c>
      <c r="M115" s="704" t="str">
        <f>前年度登録!Q112</f>
        <v/>
      </c>
      <c r="N115" s="1289">
        <f>前年度登録!D112</f>
        <v>0</v>
      </c>
      <c r="O115" s="1282"/>
      <c r="P115" s="258" t="str">
        <f>IF(O115="","",IF(I115=1,VLOOKUP(O115,男子種目コード!$J$1:$K$16,2,FALSE),IF(I115=2,VLOOKUP(O115,女子種目コード!$J$1:$K$16,2,FALSE))))</f>
        <v/>
      </c>
      <c r="Q115" s="494" t="str">
        <f>IF(O115="","",HLOOKUP(O115,前年度登録!$AH$3:$CH$118,110,FALSE))</f>
        <v/>
      </c>
      <c r="R115" s="624" t="str">
        <f t="shared" si="26"/>
        <v/>
      </c>
      <c r="S115" s="625" t="str">
        <f t="shared" si="27"/>
        <v/>
      </c>
      <c r="T115" s="259"/>
      <c r="U115" s="710" t="str">
        <f>IF(T115="","",IF(I115=1,VLOOKUP(T115,男子種目コード!$J$17:$K$19,2,FALSE),IF(I115=2,VLOOKUP(T115,女子種目コード!$J$17:$K$19,2,FALSE))))</f>
        <v/>
      </c>
      <c r="V115" s="628"/>
      <c r="W115" s="624" t="str">
        <f t="shared" si="28"/>
        <v/>
      </c>
      <c r="X115" s="625" t="str">
        <f t="shared" si="29"/>
        <v/>
      </c>
      <c r="Y115" s="633"/>
      <c r="Z115" s="711"/>
      <c r="AA115" s="630"/>
      <c r="AB115" s="634"/>
      <c r="AC115" s="712"/>
      <c r="AD115" s="705"/>
      <c r="AE115" s="635"/>
      <c r="AF115" s="712"/>
      <c r="AG115" s="706"/>
      <c r="AH115" s="657"/>
      <c r="AI115" s="657"/>
      <c r="AK115" s="730"/>
      <c r="AL115" s="652" t="str">
        <f t="shared" si="30"/>
        <v/>
      </c>
      <c r="AM115" s="662"/>
      <c r="AN115" s="662"/>
      <c r="AO115" s="662"/>
      <c r="AP115" s="662"/>
      <c r="AQ115" s="662"/>
      <c r="AR115" s="662"/>
      <c r="AS115" s="662"/>
      <c r="AT115" s="707">
        <f t="shared" si="31"/>
        <v>0</v>
      </c>
      <c r="AU115" s="662"/>
      <c r="AV115" s="652">
        <f t="shared" si="32"/>
        <v>0</v>
      </c>
      <c r="AW115" s="652" t="str">
        <f t="shared" si="33"/>
        <v/>
      </c>
      <c r="AX115" s="652" t="str">
        <f t="shared" si="34"/>
        <v/>
      </c>
      <c r="AY115" s="662"/>
      <c r="AZ115" s="662"/>
      <c r="BA115" s="662"/>
      <c r="BB115" s="662"/>
      <c r="BG115" s="662"/>
      <c r="BH115" s="1037"/>
      <c r="BI115" s="1037"/>
      <c r="BJ115" s="1037"/>
      <c r="BK115" s="1037"/>
      <c r="BL115" s="1037"/>
    </row>
    <row r="116" spans="1:64" ht="14.25" thickBot="1">
      <c r="A116" s="698">
        <f t="shared" si="25"/>
        <v>0</v>
      </c>
      <c r="B116" s="737" t="str">
        <f>前年度登録!P113</f>
        <v/>
      </c>
      <c r="C116" s="738"/>
      <c r="D116" s="738"/>
      <c r="E116" s="739">
        <f>前年度登録!E113</f>
        <v>0</v>
      </c>
      <c r="F116" s="558" t="str">
        <f>前年度登録!CM113</f>
        <v/>
      </c>
      <c r="G116" s="1291" t="str">
        <f>前年度登録!Z113</f>
        <v/>
      </c>
      <c r="H116" s="535" t="str">
        <f>前年度登録!CM113</f>
        <v/>
      </c>
      <c r="I116" s="325" t="str">
        <f>前年度登録!Y113</f>
        <v/>
      </c>
      <c r="J116" s="325" t="str">
        <f>前年度登録!CN113</f>
        <v/>
      </c>
      <c r="K116" s="1290">
        <f>前年度登録!CP113</f>
        <v>0</v>
      </c>
      <c r="L116" s="897" t="str">
        <f>前年度登録!CU113</f>
        <v>00</v>
      </c>
      <c r="M116" s="1292" t="str">
        <f>前年度登録!Q113</f>
        <v/>
      </c>
      <c r="N116" s="1293">
        <f>前年度登録!D113</f>
        <v>0</v>
      </c>
      <c r="O116" s="1283"/>
      <c r="P116" s="260" t="str">
        <f>IF(O116="","",IF(I116=1,VLOOKUP(O116,男子種目コード!$J$1:$K$16,2,FALSE),IF(I116=2,VLOOKUP(O116,女子種目コード!$J$1:$K$16,2,FALSE))))</f>
        <v/>
      </c>
      <c r="Q116" s="495" t="str">
        <f>IF(O116="","",HLOOKUP(O116,前年度登録!$AH$3:$CH$118,111,FALSE))</f>
        <v/>
      </c>
      <c r="R116" s="626" t="str">
        <f t="shared" si="26"/>
        <v/>
      </c>
      <c r="S116" s="627" t="str">
        <f t="shared" si="27"/>
        <v/>
      </c>
      <c r="T116" s="261"/>
      <c r="U116" s="740" t="str">
        <f>IF(T116="","",IF(I116=1,VLOOKUP(T116,男子種目コード!$J$17:$K$19,2,FALSE),IF(I116=2,VLOOKUP(T116,女子種目コード!$J$17:$K$19,2,FALSE))))</f>
        <v/>
      </c>
      <c r="V116" s="628"/>
      <c r="W116" s="626" t="str">
        <f t="shared" si="28"/>
        <v/>
      </c>
      <c r="X116" s="627" t="str">
        <f t="shared" si="29"/>
        <v/>
      </c>
      <c r="Y116" s="633"/>
      <c r="Z116" s="711" t="str">
        <f>IF(Y116="","",IF(I116=1,VLOOKUP(Y116,男子種目コード!$D$2:$E$16,2,FALSE),IF(I116=2,VLOOKUP(Y116,女子種目コード!$D$2:$E$16,2,FALSE))))</f>
        <v/>
      </c>
      <c r="AA116" s="630"/>
      <c r="AB116" s="634"/>
      <c r="AC116" s="712" t="str">
        <f>IF(AB116="","",IF(I116=1,VLOOKUP(AB116,男子種目コード!$D$2:$E$16,2,FALSE),IF(I116=2,VLOOKUP(AB116,女子種目コード!$D$2:$E$16,2,FALSE))))</f>
        <v/>
      </c>
      <c r="AD116" s="705"/>
      <c r="AE116" s="635"/>
      <c r="AF116" s="712"/>
      <c r="AG116" s="706"/>
      <c r="AH116" s="657"/>
      <c r="AI116" s="657"/>
      <c r="AK116" s="730"/>
      <c r="AL116" s="652" t="str">
        <f t="shared" si="30"/>
        <v/>
      </c>
      <c r="AM116" s="662"/>
      <c r="AN116" s="662"/>
      <c r="AO116" s="662"/>
      <c r="AP116" s="662"/>
      <c r="AQ116" s="662"/>
      <c r="AR116" s="662"/>
      <c r="AS116" s="662"/>
      <c r="AT116" s="707">
        <f t="shared" si="31"/>
        <v>0</v>
      </c>
      <c r="AU116" s="662"/>
      <c r="AV116" s="652">
        <f t="shared" si="32"/>
        <v>0</v>
      </c>
      <c r="AW116" s="652" t="str">
        <f t="shared" si="33"/>
        <v/>
      </c>
      <c r="AX116" s="652" t="str">
        <f t="shared" si="34"/>
        <v/>
      </c>
      <c r="AY116" s="662"/>
      <c r="AZ116" s="662"/>
      <c r="BA116" s="662"/>
      <c r="BB116" s="662"/>
      <c r="BG116" s="662"/>
      <c r="BH116" s="1037"/>
      <c r="BI116" s="1037"/>
      <c r="BJ116" s="1037"/>
      <c r="BK116" s="1037"/>
      <c r="BL116" s="1037"/>
    </row>
    <row r="117" spans="1:64">
      <c r="B117" s="662"/>
      <c r="C117" s="662"/>
      <c r="D117" s="662"/>
      <c r="E117" s="662"/>
      <c r="F117" s="662"/>
      <c r="G117" s="741"/>
      <c r="H117" s="662"/>
      <c r="I117" s="662"/>
      <c r="J117" s="655"/>
      <c r="K117" s="653"/>
      <c r="L117" s="662"/>
      <c r="M117" s="249"/>
      <c r="N117" s="250"/>
      <c r="O117" s="251"/>
      <c r="P117" s="249"/>
      <c r="Q117" s="742"/>
      <c r="R117" s="251"/>
      <c r="S117" s="249"/>
      <c r="T117" s="742"/>
      <c r="U117" s="251"/>
      <c r="V117" s="226"/>
      <c r="W117" s="662"/>
      <c r="X117" s="743"/>
      <c r="Y117" s="226"/>
      <c r="Z117" s="662"/>
      <c r="AA117" s="743"/>
      <c r="AB117" s="655"/>
      <c r="AC117" s="655"/>
      <c r="AD117" s="662"/>
      <c r="AE117" s="664"/>
      <c r="AF117" s="662">
        <f>SUM(AL7:AL116)</f>
        <v>0</v>
      </c>
      <c r="AG117" s="662"/>
      <c r="AH117" s="662"/>
      <c r="AI117" s="662"/>
      <c r="AJ117" s="662"/>
      <c r="AK117" s="662"/>
      <c r="AL117" s="662"/>
      <c r="AM117" s="662"/>
      <c r="AN117" s="662"/>
      <c r="AO117" s="707"/>
      <c r="AP117" s="707">
        <f>SUM(AV7:AV116)</f>
        <v>0</v>
      </c>
      <c r="AQ117" s="707">
        <f>SUM(AW7:AW116)</f>
        <v>0</v>
      </c>
      <c r="AR117" s="707">
        <f>SUM(AX7:AX116)</f>
        <v>0</v>
      </c>
      <c r="AS117" s="707">
        <f ca="1">SUM(AY6:AY115)</f>
        <v>0</v>
      </c>
      <c r="AT117" s="707">
        <f>SUM(AT7:AT116)</f>
        <v>0</v>
      </c>
      <c r="AY117" s="662"/>
      <c r="AZ117" s="662"/>
      <c r="BA117" s="662"/>
      <c r="BB117" s="662"/>
      <c r="BG117" s="662"/>
      <c r="BH117" s="1037"/>
      <c r="BI117" s="1037"/>
      <c r="BJ117" s="1037"/>
      <c r="BK117" s="1037"/>
      <c r="BL117" s="1037"/>
    </row>
    <row r="118" spans="1:64">
      <c r="B118" s="662"/>
      <c r="C118" s="662"/>
      <c r="D118" s="662"/>
      <c r="E118" s="662"/>
      <c r="F118" s="662"/>
      <c r="G118" s="741"/>
      <c r="H118" s="662"/>
      <c r="I118" s="662"/>
      <c r="J118" s="655"/>
      <c r="K118" s="653"/>
      <c r="L118" s="662"/>
      <c r="M118" s="249"/>
      <c r="N118" s="250"/>
      <c r="O118" s="251"/>
      <c r="P118" s="249"/>
      <c r="Q118" s="742"/>
      <c r="R118" s="251"/>
      <c r="S118" s="249"/>
      <c r="T118" s="742"/>
      <c r="U118" s="251"/>
      <c r="V118" s="226"/>
      <c r="W118" s="662"/>
      <c r="X118" s="743"/>
      <c r="Y118" s="226"/>
      <c r="Z118" s="662"/>
      <c r="AA118" s="743"/>
      <c r="AB118" s="655"/>
      <c r="AC118" s="655"/>
      <c r="AD118" s="662"/>
      <c r="AE118" s="664"/>
      <c r="AF118" s="662"/>
      <c r="AG118" s="662"/>
      <c r="AH118" s="662"/>
      <c r="AI118" s="662"/>
      <c r="AJ118" s="662"/>
      <c r="AK118" s="662"/>
      <c r="AL118" s="662"/>
      <c r="AM118" s="662"/>
      <c r="AN118" s="662"/>
      <c r="AO118" s="662"/>
      <c r="AY118" s="662"/>
      <c r="AZ118" s="662"/>
      <c r="BA118" s="662"/>
      <c r="BB118" s="662"/>
      <c r="BG118" s="662"/>
      <c r="BH118" s="1037"/>
      <c r="BI118" s="1037"/>
      <c r="BJ118" s="1037"/>
      <c r="BK118" s="1037"/>
      <c r="BL118" s="1037"/>
    </row>
    <row r="119" spans="1:64">
      <c r="B119" s="662"/>
      <c r="C119" s="662"/>
      <c r="D119" s="662"/>
      <c r="E119" s="662"/>
      <c r="F119" s="662"/>
      <c r="G119" s="741"/>
      <c r="H119" s="662"/>
      <c r="I119" s="662"/>
      <c r="J119" s="655"/>
      <c r="K119" s="653"/>
      <c r="L119" s="662"/>
      <c r="M119" s="249"/>
      <c r="N119" s="250"/>
      <c r="O119" s="251"/>
      <c r="P119" s="249"/>
      <c r="Q119" s="742"/>
      <c r="R119" s="251"/>
      <c r="S119" s="249"/>
      <c r="T119" s="742"/>
      <c r="U119" s="251"/>
      <c r="V119" s="226"/>
      <c r="W119" s="662"/>
      <c r="X119" s="743"/>
      <c r="Y119" s="226"/>
      <c r="Z119" s="662"/>
      <c r="AA119" s="743"/>
      <c r="AB119" s="655"/>
      <c r="AC119" s="655"/>
      <c r="AD119" s="662"/>
      <c r="AE119" s="664"/>
      <c r="AF119" s="662"/>
      <c r="AG119" s="662"/>
      <c r="AH119" s="662"/>
      <c r="AI119" s="662"/>
      <c r="AJ119" s="662"/>
      <c r="AK119" s="662"/>
      <c r="AL119" s="662"/>
      <c r="AM119" s="662"/>
      <c r="AN119" s="662"/>
      <c r="AO119" s="662"/>
      <c r="AY119" s="662"/>
      <c r="AZ119" s="662"/>
      <c r="BA119" s="662"/>
      <c r="BB119" s="662"/>
      <c r="BG119" s="662"/>
      <c r="BH119" s="1037"/>
      <c r="BI119" s="1037"/>
      <c r="BJ119" s="1037"/>
      <c r="BK119" s="1037"/>
      <c r="BL119" s="1037"/>
    </row>
    <row r="120" spans="1:64">
      <c r="B120" s="662"/>
      <c r="C120" s="662"/>
      <c r="D120" s="662"/>
      <c r="E120" s="662"/>
      <c r="F120" s="662"/>
      <c r="G120" s="741"/>
      <c r="H120" s="662"/>
      <c r="I120" s="662"/>
      <c r="J120" s="655"/>
      <c r="K120" s="653"/>
      <c r="L120" s="662"/>
      <c r="M120" s="249"/>
      <c r="N120" s="250"/>
      <c r="O120" s="251"/>
      <c r="P120" s="249"/>
      <c r="Q120" s="742"/>
      <c r="R120" s="251"/>
      <c r="S120" s="249"/>
      <c r="T120" s="742"/>
      <c r="U120" s="251"/>
      <c r="V120" s="226"/>
      <c r="W120" s="662"/>
      <c r="X120" s="743"/>
      <c r="Y120" s="226"/>
      <c r="Z120" s="662"/>
      <c r="AA120" s="743"/>
      <c r="AB120" s="655"/>
      <c r="AC120" s="655"/>
      <c r="AD120" s="662"/>
      <c r="AE120" s="664"/>
      <c r="AF120" s="662"/>
      <c r="AG120" s="662"/>
      <c r="AH120" s="662"/>
      <c r="AI120" s="662"/>
      <c r="AJ120" s="662"/>
      <c r="AK120" s="662"/>
      <c r="AL120" s="662"/>
      <c r="AM120" s="662"/>
      <c r="AN120" s="662"/>
      <c r="AO120" s="662"/>
      <c r="AY120" s="662"/>
      <c r="AZ120" s="662"/>
      <c r="BA120" s="662"/>
      <c r="BB120" s="662"/>
      <c r="BG120" s="662"/>
      <c r="BH120" s="1037"/>
      <c r="BI120" s="1037"/>
      <c r="BJ120" s="1037"/>
      <c r="BK120" s="1037"/>
      <c r="BL120" s="1037"/>
    </row>
    <row r="121" spans="1:64">
      <c r="B121" s="662"/>
      <c r="C121" s="662"/>
      <c r="D121" s="662"/>
      <c r="E121" s="662"/>
      <c r="F121" s="662"/>
      <c r="G121" s="741"/>
      <c r="H121" s="662"/>
      <c r="I121" s="662"/>
      <c r="J121" s="655"/>
      <c r="K121" s="653"/>
      <c r="L121" s="662"/>
      <c r="M121" s="249"/>
      <c r="N121" s="250"/>
      <c r="O121" s="251"/>
      <c r="P121" s="249"/>
      <c r="Q121" s="742"/>
      <c r="R121" s="251"/>
      <c r="S121" s="249"/>
      <c r="T121" s="742"/>
      <c r="U121" s="251"/>
      <c r="V121" s="226"/>
      <c r="W121" s="662"/>
      <c r="X121" s="743"/>
      <c r="Y121" s="226"/>
      <c r="Z121" s="662"/>
      <c r="AA121" s="743"/>
      <c r="AB121" s="655"/>
      <c r="AC121" s="655"/>
      <c r="AD121" s="662"/>
      <c r="AE121" s="664"/>
      <c r="AF121" s="662"/>
      <c r="AG121" s="662"/>
      <c r="AH121" s="662"/>
      <c r="AI121" s="662"/>
      <c r="AJ121" s="662"/>
      <c r="AK121" s="662"/>
      <c r="AL121" s="662"/>
      <c r="AM121" s="662"/>
      <c r="AN121" s="662"/>
      <c r="AO121" s="662"/>
      <c r="AY121" s="662"/>
      <c r="AZ121" s="662"/>
      <c r="BA121" s="662"/>
      <c r="BB121" s="662"/>
      <c r="BG121" s="662"/>
      <c r="BH121" s="1037"/>
      <c r="BI121" s="1037"/>
      <c r="BJ121" s="1037"/>
      <c r="BK121" s="1037"/>
      <c r="BL121" s="1037"/>
    </row>
    <row r="122" spans="1:64">
      <c r="B122" s="662"/>
      <c r="C122" s="662"/>
      <c r="D122" s="662"/>
      <c r="E122" s="662"/>
      <c r="F122" s="662"/>
      <c r="G122" s="741"/>
      <c r="H122" s="662"/>
      <c r="I122" s="662"/>
      <c r="J122" s="655"/>
      <c r="K122" s="653"/>
      <c r="L122" s="662"/>
      <c r="M122" s="249"/>
      <c r="N122" s="250"/>
      <c r="O122" s="251"/>
      <c r="P122" s="249"/>
      <c r="Q122" s="742"/>
      <c r="R122" s="251"/>
      <c r="S122" s="249"/>
      <c r="T122" s="742"/>
      <c r="U122" s="251"/>
      <c r="V122" s="226"/>
      <c r="W122" s="662"/>
      <c r="X122" s="743"/>
      <c r="Y122" s="226"/>
      <c r="Z122" s="662"/>
      <c r="AA122" s="743"/>
      <c r="AB122" s="655"/>
      <c r="AC122" s="655"/>
      <c r="AD122" s="662"/>
      <c r="AE122" s="664"/>
      <c r="AF122" s="662"/>
      <c r="AG122" s="662"/>
      <c r="AH122" s="662"/>
      <c r="AI122" s="662"/>
      <c r="AJ122" s="662"/>
      <c r="AK122" s="662"/>
      <c r="AL122" s="662"/>
      <c r="AM122" s="662"/>
      <c r="AN122" s="662"/>
      <c r="AO122" s="662"/>
      <c r="AY122" s="662"/>
      <c r="AZ122" s="662"/>
      <c r="BA122" s="662"/>
      <c r="BB122" s="662"/>
      <c r="BG122" s="662"/>
      <c r="BH122" s="1037"/>
      <c r="BI122" s="1037"/>
      <c r="BJ122" s="1037"/>
      <c r="BK122" s="1037"/>
      <c r="BL122" s="1037"/>
    </row>
    <row r="123" spans="1:64">
      <c r="B123" s="662"/>
      <c r="C123" s="662"/>
      <c r="D123" s="662"/>
      <c r="E123" s="662"/>
      <c r="F123" s="662"/>
      <c r="G123" s="741"/>
      <c r="H123" s="662"/>
      <c r="I123" s="662"/>
      <c r="J123" s="655"/>
      <c r="K123" s="653"/>
      <c r="L123" s="662"/>
      <c r="M123" s="249"/>
      <c r="N123" s="250"/>
      <c r="O123" s="251"/>
      <c r="P123" s="249"/>
      <c r="Q123" s="742"/>
      <c r="R123" s="251"/>
      <c r="S123" s="249"/>
      <c r="T123" s="742"/>
      <c r="U123" s="251"/>
      <c r="V123" s="226"/>
      <c r="W123" s="662"/>
      <c r="X123" s="743"/>
      <c r="Y123" s="226"/>
      <c r="Z123" s="662"/>
      <c r="AA123" s="743"/>
      <c r="AB123" s="655"/>
      <c r="AC123" s="655"/>
      <c r="AD123" s="662"/>
      <c r="AE123" s="664"/>
      <c r="AF123" s="662"/>
      <c r="AG123" s="662"/>
      <c r="AH123" s="662"/>
      <c r="AI123" s="662"/>
      <c r="AJ123" s="662"/>
      <c r="AK123" s="662"/>
      <c r="AL123" s="662"/>
      <c r="AM123" s="662"/>
      <c r="AN123" s="662"/>
      <c r="AO123" s="662"/>
      <c r="AY123" s="662"/>
      <c r="AZ123" s="662"/>
      <c r="BA123" s="662"/>
      <c r="BB123" s="662"/>
      <c r="BG123" s="662"/>
      <c r="BH123" s="1037"/>
      <c r="BI123" s="1037"/>
      <c r="BJ123" s="1037"/>
      <c r="BK123" s="1037"/>
      <c r="BL123" s="1037"/>
    </row>
    <row r="124" spans="1:64">
      <c r="B124" s="662"/>
      <c r="C124" s="662"/>
      <c r="D124" s="662"/>
      <c r="E124" s="662"/>
      <c r="F124" s="662"/>
      <c r="G124" s="741"/>
      <c r="H124" s="662"/>
      <c r="I124" s="662"/>
      <c r="J124" s="655"/>
      <c r="K124" s="653"/>
      <c r="L124" s="662"/>
      <c r="M124" s="249"/>
      <c r="N124" s="250"/>
      <c r="O124" s="251"/>
      <c r="P124" s="249"/>
      <c r="Q124" s="742"/>
      <c r="R124" s="251"/>
      <c r="S124" s="249"/>
      <c r="T124" s="742"/>
      <c r="U124" s="251"/>
      <c r="V124" s="226"/>
      <c r="W124" s="662"/>
      <c r="X124" s="743"/>
      <c r="Y124" s="226"/>
      <c r="Z124" s="662"/>
      <c r="AA124" s="743"/>
      <c r="AB124" s="655"/>
      <c r="AC124" s="655"/>
      <c r="AD124" s="662"/>
      <c r="AE124" s="664"/>
      <c r="AF124" s="662"/>
      <c r="AG124" s="662"/>
      <c r="AH124" s="662"/>
      <c r="AI124" s="662"/>
      <c r="AJ124" s="662"/>
      <c r="AK124" s="662"/>
      <c r="AL124" s="662"/>
      <c r="AM124" s="662"/>
      <c r="AN124" s="662"/>
      <c r="AO124" s="662"/>
      <c r="AY124" s="662"/>
      <c r="AZ124" s="662"/>
      <c r="BA124" s="662"/>
      <c r="BB124" s="662"/>
      <c r="BG124" s="662"/>
      <c r="BH124" s="1037"/>
      <c r="BI124" s="1037"/>
      <c r="BJ124" s="1037"/>
      <c r="BK124" s="1037"/>
      <c r="BL124" s="1037"/>
    </row>
    <row r="125" spans="1:64">
      <c r="B125" s="662"/>
      <c r="C125" s="662"/>
      <c r="D125" s="662"/>
      <c r="E125" s="662"/>
      <c r="F125" s="662"/>
      <c r="G125" s="741"/>
      <c r="H125" s="662"/>
      <c r="I125" s="662"/>
      <c r="J125" s="655"/>
      <c r="K125" s="653"/>
      <c r="L125" s="662"/>
      <c r="M125" s="249"/>
      <c r="N125" s="250"/>
      <c r="O125" s="251"/>
      <c r="P125" s="249"/>
      <c r="Q125" s="742"/>
      <c r="R125" s="251"/>
      <c r="S125" s="249"/>
      <c r="T125" s="742"/>
      <c r="U125" s="251"/>
      <c r="V125" s="226"/>
      <c r="W125" s="662"/>
      <c r="X125" s="743"/>
      <c r="Y125" s="226"/>
      <c r="Z125" s="662"/>
      <c r="AA125" s="743"/>
      <c r="AB125" s="655"/>
      <c r="AC125" s="655"/>
      <c r="AD125" s="662"/>
      <c r="AE125" s="664"/>
      <c r="AF125" s="662"/>
      <c r="AG125" s="662"/>
      <c r="AH125" s="662"/>
      <c r="AI125" s="662"/>
      <c r="AJ125" s="662"/>
      <c r="AK125" s="662"/>
      <c r="AL125" s="662"/>
      <c r="AM125" s="662"/>
      <c r="AN125" s="662"/>
      <c r="AO125" s="662"/>
      <c r="AY125" s="662"/>
      <c r="AZ125" s="662"/>
      <c r="BA125" s="662"/>
      <c r="BB125" s="662"/>
      <c r="BG125" s="662"/>
      <c r="BH125" s="1037"/>
      <c r="BI125" s="1037"/>
      <c r="BJ125" s="1037"/>
      <c r="BK125" s="1037"/>
      <c r="BL125" s="1037"/>
    </row>
    <row r="126" spans="1:64">
      <c r="B126" s="662"/>
      <c r="C126" s="662"/>
      <c r="D126" s="662"/>
      <c r="E126" s="662"/>
      <c r="F126" s="662"/>
      <c r="G126" s="741"/>
      <c r="H126" s="662"/>
      <c r="I126" s="662"/>
      <c r="J126" s="655"/>
      <c r="K126" s="653"/>
      <c r="L126" s="662"/>
      <c r="M126" s="249"/>
      <c r="N126" s="250"/>
      <c r="O126" s="251"/>
      <c r="P126" s="249"/>
      <c r="Q126" s="742"/>
      <c r="R126" s="251"/>
      <c r="S126" s="249"/>
      <c r="T126" s="742"/>
      <c r="U126" s="251"/>
      <c r="V126" s="226"/>
      <c r="W126" s="662"/>
      <c r="X126" s="743"/>
      <c r="Y126" s="226"/>
      <c r="Z126" s="662"/>
      <c r="AA126" s="743"/>
      <c r="AB126" s="655"/>
      <c r="AC126" s="655"/>
      <c r="AD126" s="662"/>
      <c r="AE126" s="664"/>
      <c r="AF126" s="662"/>
      <c r="AG126" s="662"/>
      <c r="AH126" s="662"/>
      <c r="AI126" s="662"/>
      <c r="AJ126" s="662"/>
      <c r="AK126" s="662"/>
      <c r="AL126" s="662"/>
      <c r="AM126" s="662"/>
      <c r="AN126" s="662"/>
      <c r="AO126" s="662"/>
      <c r="AY126" s="662"/>
      <c r="AZ126" s="662"/>
      <c r="BA126" s="662"/>
      <c r="BB126" s="662"/>
      <c r="BG126" s="662"/>
      <c r="BH126" s="1037"/>
      <c r="BI126" s="1037"/>
      <c r="BJ126" s="1037"/>
      <c r="BK126" s="1037"/>
      <c r="BL126" s="1037"/>
    </row>
    <row r="127" spans="1:64">
      <c r="B127" s="662"/>
      <c r="C127" s="662"/>
      <c r="D127" s="662"/>
      <c r="E127" s="662"/>
      <c r="F127" s="662"/>
      <c r="G127" s="741"/>
      <c r="H127" s="662"/>
      <c r="I127" s="662"/>
      <c r="J127" s="655"/>
      <c r="K127" s="653"/>
      <c r="L127" s="662"/>
      <c r="M127" s="249"/>
      <c r="N127" s="250"/>
      <c r="O127" s="251"/>
      <c r="P127" s="249"/>
      <c r="Q127" s="742"/>
      <c r="R127" s="251"/>
      <c r="S127" s="249"/>
      <c r="T127" s="742"/>
      <c r="U127" s="251"/>
      <c r="V127" s="226"/>
      <c r="W127" s="662"/>
      <c r="X127" s="743"/>
      <c r="Y127" s="226"/>
      <c r="Z127" s="662"/>
      <c r="AA127" s="743"/>
      <c r="AB127" s="655"/>
      <c r="AC127" s="655"/>
      <c r="AD127" s="662"/>
      <c r="AE127" s="664"/>
      <c r="AF127" s="662"/>
      <c r="AG127" s="662"/>
      <c r="AH127" s="662"/>
      <c r="AI127" s="662"/>
      <c r="AJ127" s="662"/>
      <c r="AK127" s="662"/>
      <c r="AL127" s="662"/>
      <c r="AM127" s="662"/>
      <c r="AN127" s="662"/>
      <c r="AO127" s="662"/>
      <c r="AY127" s="662"/>
      <c r="AZ127" s="662"/>
      <c r="BA127" s="662"/>
      <c r="BB127" s="662"/>
      <c r="BG127" s="662"/>
      <c r="BH127" s="1037"/>
      <c r="BI127" s="1037"/>
      <c r="BJ127" s="1037"/>
      <c r="BK127" s="1037"/>
      <c r="BL127" s="1037"/>
    </row>
    <row r="128" spans="1:64">
      <c r="B128" s="662"/>
      <c r="C128" s="662"/>
      <c r="D128" s="662"/>
      <c r="E128" s="662"/>
      <c r="F128" s="662"/>
      <c r="G128" s="741"/>
      <c r="H128" s="662"/>
      <c r="I128" s="662"/>
      <c r="J128" s="655"/>
      <c r="K128" s="653"/>
      <c r="L128" s="662"/>
      <c r="M128" s="249"/>
      <c r="N128" s="250"/>
      <c r="O128" s="251"/>
      <c r="P128" s="249"/>
      <c r="Q128" s="742"/>
      <c r="R128" s="251"/>
      <c r="S128" s="249"/>
      <c r="T128" s="742"/>
      <c r="U128" s="251"/>
      <c r="V128" s="226"/>
      <c r="W128" s="662"/>
      <c r="X128" s="743"/>
      <c r="Y128" s="226"/>
      <c r="Z128" s="662"/>
      <c r="AA128" s="743"/>
      <c r="AB128" s="655"/>
      <c r="AC128" s="655"/>
      <c r="AD128" s="662"/>
      <c r="AE128" s="664"/>
      <c r="AF128" s="662"/>
      <c r="AG128" s="662"/>
      <c r="AH128" s="662"/>
      <c r="AI128" s="662"/>
      <c r="AJ128" s="662"/>
      <c r="AK128" s="662"/>
      <c r="AL128" s="662"/>
      <c r="AM128" s="662"/>
      <c r="AN128" s="662"/>
      <c r="AO128" s="662"/>
      <c r="AY128" s="662"/>
      <c r="AZ128" s="662"/>
      <c r="BA128" s="662"/>
      <c r="BB128" s="662"/>
      <c r="BG128" s="662"/>
      <c r="BH128" s="1037"/>
      <c r="BI128" s="1037"/>
      <c r="BJ128" s="1037"/>
      <c r="BK128" s="1037"/>
      <c r="BL128" s="1037"/>
    </row>
  </sheetData>
  <sheetProtection password="83D4" sheet="1" objects="1" scenarios="1"/>
  <mergeCells count="32">
    <mergeCell ref="AM35:AN35"/>
    <mergeCell ref="AM17:AN17"/>
    <mergeCell ref="AM18:AN18"/>
    <mergeCell ref="AM6:AO6"/>
    <mergeCell ref="AM8:AN8"/>
    <mergeCell ref="AM13:AN13"/>
    <mergeCell ref="AM7:AO7"/>
    <mergeCell ref="AM12:AO12"/>
    <mergeCell ref="AM26:AN26"/>
    <mergeCell ref="AO26:AR26"/>
    <mergeCell ref="AO25:AR25"/>
    <mergeCell ref="AY6:AZ6"/>
    <mergeCell ref="BA6:BB6"/>
    <mergeCell ref="AY7:AZ7"/>
    <mergeCell ref="BA7:BB7"/>
    <mergeCell ref="AO24:AR24"/>
    <mergeCell ref="AY15:AZ15"/>
    <mergeCell ref="AY14:AZ14"/>
    <mergeCell ref="BA14:BB14"/>
    <mergeCell ref="BA15:BB15"/>
    <mergeCell ref="AO20:AR21"/>
    <mergeCell ref="AO19:AR19"/>
    <mergeCell ref="AO22:AR22"/>
    <mergeCell ref="AO23:AR23"/>
    <mergeCell ref="AY31:AZ31"/>
    <mergeCell ref="BA31:BB31"/>
    <mergeCell ref="AY22:AZ22"/>
    <mergeCell ref="BA22:BB22"/>
    <mergeCell ref="AY23:AZ23"/>
    <mergeCell ref="BA23:BB23"/>
    <mergeCell ref="AY30:AZ30"/>
    <mergeCell ref="BA30:BB30"/>
  </mergeCells>
  <phoneticPr fontId="5"/>
  <conditionalFormatting sqref="F7:F116">
    <cfRule type="expression" dxfId="145" priority="5" stopIfTrue="1">
      <formula>I7=2</formula>
    </cfRule>
  </conditionalFormatting>
  <conditionalFormatting sqref="G7:G116">
    <cfRule type="expression" dxfId="144" priority="6" stopIfTrue="1">
      <formula>I7=2</formula>
    </cfRule>
  </conditionalFormatting>
  <conditionalFormatting sqref="I7:I116">
    <cfRule type="cellIs" dxfId="143" priority="7" stopIfTrue="1" operator="equal">
      <formula>2</formula>
    </cfRule>
  </conditionalFormatting>
  <conditionalFormatting sqref="AO9:AO11 AO14:AO16">
    <cfRule type="cellIs" dxfId="142" priority="13" stopIfTrue="1" operator="greaterThan">
      <formula>6</formula>
    </cfRule>
    <cfRule type="cellIs" dxfId="141" priority="14" stopIfTrue="1" operator="between">
      <formula>4</formula>
      <formula>6</formula>
    </cfRule>
    <cfRule type="cellIs" dxfId="140" priority="15" stopIfTrue="1" operator="between">
      <formula>1</formula>
      <formula>3</formula>
    </cfRule>
  </conditionalFormatting>
  <conditionalFormatting sqref="Q7">
    <cfRule type="expression" dxfId="139" priority="16" stopIfTrue="1">
      <formula>$I$7=""</formula>
    </cfRule>
  </conditionalFormatting>
  <conditionalFormatting sqref="Q8">
    <cfRule type="expression" dxfId="138" priority="17" stopIfTrue="1">
      <formula>$I$8=""</formula>
    </cfRule>
  </conditionalFormatting>
  <conditionalFormatting sqref="Q9">
    <cfRule type="expression" dxfId="137" priority="18" stopIfTrue="1">
      <formula>$I$9=""</formula>
    </cfRule>
  </conditionalFormatting>
  <conditionalFormatting sqref="Q10">
    <cfRule type="expression" dxfId="136" priority="19" stopIfTrue="1">
      <formula>$I$10=""</formula>
    </cfRule>
  </conditionalFormatting>
  <conditionalFormatting sqref="Q11">
    <cfRule type="expression" dxfId="135" priority="20" stopIfTrue="1">
      <formula>$I$11=""</formula>
    </cfRule>
  </conditionalFormatting>
  <conditionalFormatting sqref="Q12">
    <cfRule type="expression" dxfId="134" priority="21" stopIfTrue="1">
      <formula>$I$12=""</formula>
    </cfRule>
  </conditionalFormatting>
  <conditionalFormatting sqref="Q13">
    <cfRule type="expression" dxfId="133" priority="22" stopIfTrue="1">
      <formula>$I$13=""</formula>
    </cfRule>
  </conditionalFormatting>
  <conditionalFormatting sqref="Q14">
    <cfRule type="expression" dxfId="132" priority="23" stopIfTrue="1">
      <formula>$I$14=""</formula>
    </cfRule>
  </conditionalFormatting>
  <conditionalFormatting sqref="Q15">
    <cfRule type="expression" dxfId="131" priority="24" stopIfTrue="1">
      <formula>$I$15=""</formula>
    </cfRule>
  </conditionalFormatting>
  <conditionalFormatting sqref="Q16">
    <cfRule type="expression" dxfId="130" priority="25" stopIfTrue="1">
      <formula>$I$16=""</formula>
    </cfRule>
  </conditionalFormatting>
  <conditionalFormatting sqref="Q17">
    <cfRule type="expression" dxfId="129" priority="26" stopIfTrue="1">
      <formula>$I$17=""</formula>
    </cfRule>
  </conditionalFormatting>
  <conditionalFormatting sqref="Q18">
    <cfRule type="expression" dxfId="128" priority="27" stopIfTrue="1">
      <formula>$I$18=""</formula>
    </cfRule>
  </conditionalFormatting>
  <conditionalFormatting sqref="Q19">
    <cfRule type="expression" dxfId="127" priority="28" stopIfTrue="1">
      <formula>$I$19=""</formula>
    </cfRule>
  </conditionalFormatting>
  <conditionalFormatting sqref="Q20">
    <cfRule type="expression" dxfId="126" priority="29" stopIfTrue="1">
      <formula>$I$20=""</formula>
    </cfRule>
  </conditionalFormatting>
  <conditionalFormatting sqref="Q21">
    <cfRule type="expression" dxfId="125" priority="30" stopIfTrue="1">
      <formula>$I$21=""</formula>
    </cfRule>
  </conditionalFormatting>
  <conditionalFormatting sqref="Q22">
    <cfRule type="expression" dxfId="124" priority="31" stopIfTrue="1">
      <formula>$I$22=""</formula>
    </cfRule>
  </conditionalFormatting>
  <conditionalFormatting sqref="Q23">
    <cfRule type="expression" dxfId="123" priority="32" stopIfTrue="1">
      <formula>$I$23=""</formula>
    </cfRule>
  </conditionalFormatting>
  <conditionalFormatting sqref="Q24">
    <cfRule type="expression" dxfId="122" priority="33" stopIfTrue="1">
      <formula>$I$24=""</formula>
    </cfRule>
  </conditionalFormatting>
  <conditionalFormatting sqref="Q25">
    <cfRule type="expression" dxfId="121" priority="34" stopIfTrue="1">
      <formula>$I$25=""</formula>
    </cfRule>
  </conditionalFormatting>
  <conditionalFormatting sqref="Q26">
    <cfRule type="expression" dxfId="120" priority="35" stopIfTrue="1">
      <formula>$I$26=""</formula>
    </cfRule>
  </conditionalFormatting>
  <conditionalFormatting sqref="Q27">
    <cfRule type="expression" dxfId="119" priority="36" stopIfTrue="1">
      <formula>$I$27=""</formula>
    </cfRule>
  </conditionalFormatting>
  <conditionalFormatting sqref="Q28">
    <cfRule type="expression" dxfId="118" priority="37" stopIfTrue="1">
      <formula>$I$28=""</formula>
    </cfRule>
  </conditionalFormatting>
  <conditionalFormatting sqref="Q29">
    <cfRule type="expression" dxfId="117" priority="38" stopIfTrue="1">
      <formula>$I$29=""</formula>
    </cfRule>
  </conditionalFormatting>
  <conditionalFormatting sqref="Q30">
    <cfRule type="expression" dxfId="116" priority="39" stopIfTrue="1">
      <formula>$I$30=""</formula>
    </cfRule>
  </conditionalFormatting>
  <conditionalFormatting sqref="Q31">
    <cfRule type="expression" dxfId="115" priority="40" stopIfTrue="1">
      <formula>$I$31=""</formula>
    </cfRule>
  </conditionalFormatting>
  <conditionalFormatting sqref="Q32">
    <cfRule type="expression" dxfId="114" priority="41" stopIfTrue="1">
      <formula>$I$32=""</formula>
    </cfRule>
  </conditionalFormatting>
  <conditionalFormatting sqref="Q33">
    <cfRule type="expression" dxfId="113" priority="42" stopIfTrue="1">
      <formula>$I$33=""</formula>
    </cfRule>
  </conditionalFormatting>
  <conditionalFormatting sqref="Q34">
    <cfRule type="expression" dxfId="112" priority="43" stopIfTrue="1">
      <formula>$I$34=""</formula>
    </cfRule>
  </conditionalFormatting>
  <conditionalFormatting sqref="Q35">
    <cfRule type="expression" dxfId="111" priority="44" stopIfTrue="1">
      <formula>$I$35=""</formula>
    </cfRule>
  </conditionalFormatting>
  <conditionalFormatting sqref="Q36">
    <cfRule type="expression" dxfId="110" priority="45" stopIfTrue="1">
      <formula>$I$36=""</formula>
    </cfRule>
  </conditionalFormatting>
  <conditionalFormatting sqref="Q47">
    <cfRule type="expression" dxfId="109" priority="46" stopIfTrue="1">
      <formula>$I$47=""</formula>
    </cfRule>
  </conditionalFormatting>
  <conditionalFormatting sqref="Q48">
    <cfRule type="expression" dxfId="108" priority="47" stopIfTrue="1">
      <formula>$I$48=""</formula>
    </cfRule>
  </conditionalFormatting>
  <conditionalFormatting sqref="Q49">
    <cfRule type="expression" dxfId="107" priority="48" stopIfTrue="1">
      <formula>$I$49=""</formula>
    </cfRule>
  </conditionalFormatting>
  <conditionalFormatting sqref="Q50">
    <cfRule type="expression" dxfId="106" priority="49" stopIfTrue="1">
      <formula>$I$50=""</formula>
    </cfRule>
  </conditionalFormatting>
  <conditionalFormatting sqref="Q51">
    <cfRule type="expression" dxfId="105" priority="50" stopIfTrue="1">
      <formula>$I$51=""</formula>
    </cfRule>
  </conditionalFormatting>
  <conditionalFormatting sqref="Q52">
    <cfRule type="expression" dxfId="104" priority="51" stopIfTrue="1">
      <formula>$I$52=""</formula>
    </cfRule>
  </conditionalFormatting>
  <conditionalFormatting sqref="Q53">
    <cfRule type="expression" dxfId="103" priority="52" stopIfTrue="1">
      <formula>$I$53=""</formula>
    </cfRule>
  </conditionalFormatting>
  <conditionalFormatting sqref="Q54">
    <cfRule type="expression" dxfId="102" priority="53" stopIfTrue="1">
      <formula>$I$54=""</formula>
    </cfRule>
  </conditionalFormatting>
  <conditionalFormatting sqref="Q55">
    <cfRule type="expression" dxfId="101" priority="54" stopIfTrue="1">
      <formula>$I$55=""</formula>
    </cfRule>
  </conditionalFormatting>
  <conditionalFormatting sqref="Q56">
    <cfRule type="expression" dxfId="100" priority="55" stopIfTrue="1">
      <formula>$I$56=""</formula>
    </cfRule>
  </conditionalFormatting>
  <conditionalFormatting sqref="Q57">
    <cfRule type="expression" dxfId="99" priority="56" stopIfTrue="1">
      <formula>$I$57=""</formula>
    </cfRule>
  </conditionalFormatting>
  <conditionalFormatting sqref="Q58">
    <cfRule type="expression" dxfId="98" priority="57" stopIfTrue="1">
      <formula>$I$58=""</formula>
    </cfRule>
  </conditionalFormatting>
  <conditionalFormatting sqref="Q59">
    <cfRule type="expression" dxfId="97" priority="58" stopIfTrue="1">
      <formula>$I$59=""</formula>
    </cfRule>
  </conditionalFormatting>
  <conditionalFormatting sqref="Q60">
    <cfRule type="expression" dxfId="96" priority="59" stopIfTrue="1">
      <formula>$I$60=""</formula>
    </cfRule>
  </conditionalFormatting>
  <conditionalFormatting sqref="Q61">
    <cfRule type="expression" dxfId="95" priority="60" stopIfTrue="1">
      <formula>$I$61=""</formula>
    </cfRule>
  </conditionalFormatting>
  <conditionalFormatting sqref="Q62">
    <cfRule type="expression" dxfId="94" priority="61" stopIfTrue="1">
      <formula>$I$62=""</formula>
    </cfRule>
  </conditionalFormatting>
  <conditionalFormatting sqref="Q63">
    <cfRule type="expression" dxfId="93" priority="62" stopIfTrue="1">
      <formula>$I$63=""</formula>
    </cfRule>
  </conditionalFormatting>
  <conditionalFormatting sqref="Q64">
    <cfRule type="expression" dxfId="92" priority="63" stopIfTrue="1">
      <formula>$I$64=""</formula>
    </cfRule>
  </conditionalFormatting>
  <conditionalFormatting sqref="Q65">
    <cfRule type="expression" dxfId="91" priority="64" stopIfTrue="1">
      <formula>$I$65=""</formula>
    </cfRule>
  </conditionalFormatting>
  <conditionalFormatting sqref="Q66">
    <cfRule type="expression" dxfId="90" priority="65" stopIfTrue="1">
      <formula>$I$66=""</formula>
    </cfRule>
  </conditionalFormatting>
  <conditionalFormatting sqref="Q67">
    <cfRule type="expression" dxfId="89" priority="66" stopIfTrue="1">
      <formula>$I$67=""</formula>
    </cfRule>
  </conditionalFormatting>
  <conditionalFormatting sqref="Q68">
    <cfRule type="expression" dxfId="88" priority="67" stopIfTrue="1">
      <formula>$I$68=""</formula>
    </cfRule>
  </conditionalFormatting>
  <conditionalFormatting sqref="Q69">
    <cfRule type="expression" dxfId="87" priority="68" stopIfTrue="1">
      <formula>$I$69=""</formula>
    </cfRule>
  </conditionalFormatting>
  <conditionalFormatting sqref="Q71">
    <cfRule type="expression" dxfId="86" priority="69" stopIfTrue="1">
      <formula>$I$71=""</formula>
    </cfRule>
  </conditionalFormatting>
  <conditionalFormatting sqref="Q72">
    <cfRule type="expression" dxfId="85" priority="70" stopIfTrue="1">
      <formula>$I$72=""</formula>
    </cfRule>
  </conditionalFormatting>
  <conditionalFormatting sqref="Q73">
    <cfRule type="expression" dxfId="84" priority="71" stopIfTrue="1">
      <formula>$I$73=""</formula>
    </cfRule>
  </conditionalFormatting>
  <conditionalFormatting sqref="Q74">
    <cfRule type="expression" dxfId="83" priority="72" stopIfTrue="1">
      <formula>$I$74=""</formula>
    </cfRule>
  </conditionalFormatting>
  <conditionalFormatting sqref="Q75">
    <cfRule type="expression" dxfId="82" priority="73" stopIfTrue="1">
      <formula>$I$75=""</formula>
    </cfRule>
  </conditionalFormatting>
  <conditionalFormatting sqref="Q76">
    <cfRule type="expression" dxfId="81" priority="74" stopIfTrue="1">
      <formula>$I$76=""</formula>
    </cfRule>
  </conditionalFormatting>
  <conditionalFormatting sqref="Q77">
    <cfRule type="expression" dxfId="80" priority="75" stopIfTrue="1">
      <formula>$I$77=""</formula>
    </cfRule>
  </conditionalFormatting>
  <conditionalFormatting sqref="Q78">
    <cfRule type="expression" dxfId="79" priority="76" stopIfTrue="1">
      <formula>$I$78=""</formula>
    </cfRule>
  </conditionalFormatting>
  <conditionalFormatting sqref="Q79">
    <cfRule type="expression" dxfId="78" priority="77" stopIfTrue="1">
      <formula>$I$79=""</formula>
    </cfRule>
  </conditionalFormatting>
  <conditionalFormatting sqref="Q80">
    <cfRule type="expression" dxfId="77" priority="78" stopIfTrue="1">
      <formula>$I$80=""</formula>
    </cfRule>
  </conditionalFormatting>
  <conditionalFormatting sqref="Q81">
    <cfRule type="expression" dxfId="76" priority="79" stopIfTrue="1">
      <formula>$I$81=""</formula>
    </cfRule>
  </conditionalFormatting>
  <conditionalFormatting sqref="Q82">
    <cfRule type="expression" dxfId="75" priority="80" stopIfTrue="1">
      <formula>$I$82=""</formula>
    </cfRule>
  </conditionalFormatting>
  <conditionalFormatting sqref="Q83">
    <cfRule type="expression" dxfId="74" priority="81" stopIfTrue="1">
      <formula>$I$83=""</formula>
    </cfRule>
  </conditionalFormatting>
  <conditionalFormatting sqref="Q84">
    <cfRule type="expression" dxfId="73" priority="82" stopIfTrue="1">
      <formula>$I$84=""</formula>
    </cfRule>
  </conditionalFormatting>
  <conditionalFormatting sqref="Q85">
    <cfRule type="expression" dxfId="72" priority="83" stopIfTrue="1">
      <formula>$I$85=""</formula>
    </cfRule>
  </conditionalFormatting>
  <conditionalFormatting sqref="Q86">
    <cfRule type="expression" dxfId="71" priority="84" stopIfTrue="1">
      <formula>$I$86=""</formula>
    </cfRule>
  </conditionalFormatting>
  <conditionalFormatting sqref="Q87">
    <cfRule type="expression" dxfId="70" priority="85" stopIfTrue="1">
      <formula>$I$87=""</formula>
    </cfRule>
  </conditionalFormatting>
  <conditionalFormatting sqref="Q88">
    <cfRule type="expression" dxfId="69" priority="86" stopIfTrue="1">
      <formula>$I$88=""</formula>
    </cfRule>
  </conditionalFormatting>
  <conditionalFormatting sqref="Q89">
    <cfRule type="expression" dxfId="68" priority="87" stopIfTrue="1">
      <formula>$I$89=""</formula>
    </cfRule>
  </conditionalFormatting>
  <conditionalFormatting sqref="Q90">
    <cfRule type="expression" dxfId="67" priority="88" stopIfTrue="1">
      <formula>$I$90=""</formula>
    </cfRule>
  </conditionalFormatting>
  <conditionalFormatting sqref="Q91">
    <cfRule type="expression" dxfId="66" priority="89" stopIfTrue="1">
      <formula>$I$91=""</formula>
    </cfRule>
  </conditionalFormatting>
  <conditionalFormatting sqref="Q92">
    <cfRule type="expression" dxfId="65" priority="90" stopIfTrue="1">
      <formula>$I$92=""</formula>
    </cfRule>
  </conditionalFormatting>
  <conditionalFormatting sqref="Q93">
    <cfRule type="expression" dxfId="64" priority="91" stopIfTrue="1">
      <formula>$I$93=""</formula>
    </cfRule>
  </conditionalFormatting>
  <conditionalFormatting sqref="Q94">
    <cfRule type="expression" dxfId="63" priority="92" stopIfTrue="1">
      <formula>$I$94=""</formula>
    </cfRule>
  </conditionalFormatting>
  <conditionalFormatting sqref="Q95">
    <cfRule type="expression" dxfId="62" priority="93" stopIfTrue="1">
      <formula>$I$95=""</formula>
    </cfRule>
  </conditionalFormatting>
  <conditionalFormatting sqref="Q96">
    <cfRule type="expression" dxfId="61" priority="94" stopIfTrue="1">
      <formula>$I$96=""</formula>
    </cfRule>
  </conditionalFormatting>
  <conditionalFormatting sqref="Q97">
    <cfRule type="expression" dxfId="60" priority="95" stopIfTrue="1">
      <formula>$I$97=""</formula>
    </cfRule>
  </conditionalFormatting>
  <conditionalFormatting sqref="Q98">
    <cfRule type="expression" dxfId="59" priority="96" stopIfTrue="1">
      <formula>$I$98=""</formula>
    </cfRule>
  </conditionalFormatting>
  <conditionalFormatting sqref="Q99">
    <cfRule type="expression" dxfId="58" priority="97" stopIfTrue="1">
      <formula>$I$99=""</formula>
    </cfRule>
  </conditionalFormatting>
  <conditionalFormatting sqref="Q100">
    <cfRule type="expression" dxfId="57" priority="98" stopIfTrue="1">
      <formula>$I$100=""</formula>
    </cfRule>
  </conditionalFormatting>
  <conditionalFormatting sqref="Q101">
    <cfRule type="expression" dxfId="56" priority="99" stopIfTrue="1">
      <formula>$I$101=""</formula>
    </cfRule>
  </conditionalFormatting>
  <conditionalFormatting sqref="Q102">
    <cfRule type="expression" dxfId="55" priority="100" stopIfTrue="1">
      <formula>$I$102=""</formula>
    </cfRule>
  </conditionalFormatting>
  <conditionalFormatting sqref="Q103">
    <cfRule type="expression" dxfId="54" priority="101" stopIfTrue="1">
      <formula>$I$103=""</formula>
    </cfRule>
  </conditionalFormatting>
  <conditionalFormatting sqref="Q104">
    <cfRule type="expression" dxfId="53" priority="102" stopIfTrue="1">
      <formula>$I$104=""</formula>
    </cfRule>
  </conditionalFormatting>
  <conditionalFormatting sqref="Q105">
    <cfRule type="expression" dxfId="52" priority="103" stopIfTrue="1">
      <formula>$I$105=""</formula>
    </cfRule>
  </conditionalFormatting>
  <conditionalFormatting sqref="Q106">
    <cfRule type="expression" dxfId="51" priority="104" stopIfTrue="1">
      <formula>$I$106=""</formula>
    </cfRule>
  </conditionalFormatting>
  <conditionalFormatting sqref="Q107">
    <cfRule type="expression" dxfId="50" priority="105" stopIfTrue="1">
      <formula>$I$107=""</formula>
    </cfRule>
  </conditionalFormatting>
  <conditionalFormatting sqref="Q108">
    <cfRule type="expression" dxfId="49" priority="106" stopIfTrue="1">
      <formula>$I$108=""</formula>
    </cfRule>
  </conditionalFormatting>
  <conditionalFormatting sqref="Q109">
    <cfRule type="expression" dxfId="48" priority="107" stopIfTrue="1">
      <formula>$I$109=""</formula>
    </cfRule>
  </conditionalFormatting>
  <conditionalFormatting sqref="Q110">
    <cfRule type="expression" dxfId="47" priority="108" stopIfTrue="1">
      <formula>$I$110=""</formula>
    </cfRule>
  </conditionalFormatting>
  <conditionalFormatting sqref="Q111">
    <cfRule type="expression" dxfId="46" priority="109" stopIfTrue="1">
      <formula>$I$111=""</formula>
    </cfRule>
  </conditionalFormatting>
  <conditionalFormatting sqref="Q112">
    <cfRule type="expression" dxfId="45" priority="110" stopIfTrue="1">
      <formula>$I$112=""</formula>
    </cfRule>
  </conditionalFormatting>
  <conditionalFormatting sqref="Q113">
    <cfRule type="expression" dxfId="44" priority="111" stopIfTrue="1">
      <formula>$I$113=""</formula>
    </cfRule>
  </conditionalFormatting>
  <conditionalFormatting sqref="Q114">
    <cfRule type="expression" dxfId="43" priority="112" stopIfTrue="1">
      <formula>$I$114=""</formula>
    </cfRule>
  </conditionalFormatting>
  <conditionalFormatting sqref="Q115">
    <cfRule type="expression" dxfId="42" priority="113" stopIfTrue="1">
      <formula>$I$115=""</formula>
    </cfRule>
  </conditionalFormatting>
  <conditionalFormatting sqref="Q116">
    <cfRule type="expression" dxfId="41" priority="114" stopIfTrue="1">
      <formula>$I$116=""</formula>
    </cfRule>
  </conditionalFormatting>
  <conditionalFormatting sqref="Q37">
    <cfRule type="expression" dxfId="40" priority="115" stopIfTrue="1">
      <formula>$I$37=""</formula>
    </cfRule>
  </conditionalFormatting>
  <conditionalFormatting sqref="Q38">
    <cfRule type="expression" dxfId="39" priority="116" stopIfTrue="1">
      <formula>$I$38=""</formula>
    </cfRule>
  </conditionalFormatting>
  <conditionalFormatting sqref="Q39">
    <cfRule type="expression" dxfId="38" priority="117" stopIfTrue="1">
      <formula>$I$39=""</formula>
    </cfRule>
  </conditionalFormatting>
  <conditionalFormatting sqref="Q40">
    <cfRule type="expression" dxfId="37" priority="118" stopIfTrue="1">
      <formula>$I$40=""</formula>
    </cfRule>
  </conditionalFormatting>
  <conditionalFormatting sqref="Q41">
    <cfRule type="expression" dxfId="36" priority="119" stopIfTrue="1">
      <formula>$I$41=""</formula>
    </cfRule>
  </conditionalFormatting>
  <conditionalFormatting sqref="Q42">
    <cfRule type="expression" dxfId="35" priority="120" stopIfTrue="1">
      <formula>$I$42=""</formula>
    </cfRule>
  </conditionalFormatting>
  <conditionalFormatting sqref="Q43">
    <cfRule type="expression" dxfId="34" priority="121" stopIfTrue="1">
      <formula>$I$43=""</formula>
    </cfRule>
  </conditionalFormatting>
  <conditionalFormatting sqref="Q44">
    <cfRule type="expression" dxfId="33" priority="122" stopIfTrue="1">
      <formula>$I$44=""</formula>
    </cfRule>
  </conditionalFormatting>
  <conditionalFormatting sqref="Q45">
    <cfRule type="expression" dxfId="32" priority="123" stopIfTrue="1">
      <formula>$I$45=""</formula>
    </cfRule>
  </conditionalFormatting>
  <conditionalFormatting sqref="Q46">
    <cfRule type="expression" dxfId="31" priority="124" stopIfTrue="1">
      <formula>$I$46=""</formula>
    </cfRule>
  </conditionalFormatting>
  <conditionalFormatting sqref="Q70">
    <cfRule type="expression" dxfId="30" priority="125" stopIfTrue="1">
      <formula>$I$70=""</formula>
    </cfRule>
  </conditionalFormatting>
  <conditionalFormatting sqref="O7:O116">
    <cfRule type="expression" dxfId="29" priority="126" stopIfTrue="1">
      <formula>ISNA(P7)</formula>
    </cfRule>
    <cfRule type="expression" dxfId="28" priority="127" stopIfTrue="1">
      <formula>I7=""</formula>
    </cfRule>
  </conditionalFormatting>
  <conditionalFormatting sqref="T7:T116">
    <cfRule type="expression" dxfId="27" priority="464" stopIfTrue="1">
      <formula>ISNA(U7)</formula>
    </cfRule>
    <cfRule type="expression" dxfId="26" priority="465" stopIfTrue="1">
      <formula>COUNTIF($AO$9:$AO$16,7)</formula>
    </cfRule>
    <cfRule type="expression" dxfId="25" priority="466" stopIfTrue="1">
      <formula>I7=""</formula>
    </cfRule>
  </conditionalFormatting>
  <conditionalFormatting sqref="AN22:AN24 AN30:AN32">
    <cfRule type="cellIs" dxfId="24" priority="1" operator="greaterThan">
      <formula>3</formula>
    </cfRule>
  </conditionalFormatting>
  <dataValidations count="11">
    <dataValidation type="list" allowBlank="1" showInputMessage="1" showErrorMessage="1" sqref="O8:O116">
      <formula1>IF(I8=1,$AK$6:$AK$11,$AK$12:$AK$17)</formula1>
    </dataValidation>
    <dataValidation type="list" allowBlank="1" showInputMessage="1" showErrorMessage="1" sqref="T7:T116">
      <formula1>IF(I7=1,$AK$18:$AK$20,$AK$21:$AK$23)</formula1>
    </dataValidation>
    <dataValidation imeMode="disabled" allowBlank="1" showInputMessage="1" showErrorMessage="1" sqref="AN14:AN16 AN9:AN11"/>
    <dataValidation imeMode="halfAlpha" allowBlank="1" showInputMessage="1" showErrorMessage="1" sqref="AA7:AA116 AD7:AD116 AG7:AG116 V7:V116"/>
    <dataValidation type="list" errorStyle="warning" allowBlank="1" showInputMessage="1" showErrorMessage="1" sqref="Y7:Y116 AE7:AE116 AB7:AB116">
      <formula1>$AK$6:$AK$11</formula1>
    </dataValidation>
    <dataValidation imeMode="disabled" allowBlank="1" sqref="O117:O65536 O2 Q6"/>
    <dataValidation allowBlank="1" prompt="#N/Aは種目選択ミスです" sqref="P7:P116"/>
    <dataValidation allowBlank="1" showErrorMessage="1" prompt="#N/Aの表示は種目選択ミスです" sqref="U7:U116"/>
    <dataValidation allowBlank="1" showErrorMessage="1" sqref="Z7:Z116"/>
    <dataValidation imeMode="disabled" allowBlank="1" showInputMessage="1" prompt="記録は半角英数字で_x000a_例_x000a_11秒11→11.11_x000a_1分50秒00→1.50.00_x000a_15m50→15m50_x000a__x000a_" sqref="Q7:Q116"/>
    <dataValidation type="list" allowBlank="1" showInputMessage="1" showErrorMessage="1" sqref="O7">
      <formula1>IF(I7=1,$AK$6:$AK$11,$AK$12:$AK$17)</formula1>
    </dataValidation>
  </dataValidations>
  <printOptions horizontalCentered="1"/>
  <pageMargins left="0.59055118110236227" right="0.78740157480314965" top="0.98425196850393704" bottom="0.98425196850393704" header="0.51181102362204722" footer="0.51181102362204722"/>
  <pageSetup paperSize="9" scale="61" fitToHeight="2" orientation="portrait" verticalDpi="300" r:id="rId1"/>
  <headerFooter alignWithMargins="0">
    <oddHeader>&amp;R&amp;D　&amp;T</oddHeader>
    <oddFooter>&amp;L&amp;P&amp;R三重陸上競技協会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20" enableFormatConditionsCalculation="0">
    <tabColor indexed="47"/>
    <pageSetUpPr fitToPage="1"/>
  </sheetPr>
  <dimension ref="A1:BJ161"/>
  <sheetViews>
    <sheetView showGridLines="0" showZeros="0" topLeftCell="I1" zoomScale="95" workbookViewId="0">
      <selection activeCell="Y7" sqref="Y7"/>
    </sheetView>
  </sheetViews>
  <sheetFormatPr defaultColWidth="8.625" defaultRowHeight="13.5"/>
  <cols>
    <col min="1" max="1" width="12.625" style="134" hidden="1" customWidth="1"/>
    <col min="2" max="2" width="9.625" style="134" hidden="1" customWidth="1"/>
    <col min="3" max="3" width="10.125" style="134" hidden="1" customWidth="1"/>
    <col min="4" max="4" width="8.5" style="134" hidden="1" customWidth="1"/>
    <col min="5" max="5" width="10.375" style="134" bestFit="1" customWidth="1"/>
    <col min="6" max="6" width="16.25" style="134" customWidth="1"/>
    <col min="7" max="7" width="16" style="135" customWidth="1"/>
    <col min="8" max="8" width="14.125" style="136" hidden="1" customWidth="1"/>
    <col min="9" max="9" width="6.375" style="136" customWidth="1"/>
    <col min="10" max="10" width="5.25" style="20" bestFit="1" customWidth="1"/>
    <col min="11" max="11" width="5.25" style="644" hidden="1" customWidth="1"/>
    <col min="12" max="12" width="5.25" style="134" hidden="1" customWidth="1"/>
    <col min="13" max="13" width="17.25" style="175" hidden="1" customWidth="1"/>
    <col min="14" max="14" width="10.875" style="137" bestFit="1" customWidth="1"/>
    <col min="15" max="15" width="14.5" style="174" customWidth="1"/>
    <col min="16" max="16" width="6.125" style="175" hidden="1" customWidth="1"/>
    <col min="17" max="17" width="10.375" style="137" customWidth="1"/>
    <col min="18" max="18" width="8.625" style="174" hidden="1" customWidth="1"/>
    <col min="19" max="19" width="6.75" style="175" hidden="1" customWidth="1"/>
    <col min="20" max="20" width="11.125" style="140" customWidth="1"/>
    <col min="21" max="21" width="6.625" style="174" hidden="1" customWidth="1"/>
    <col min="22" max="22" width="10.25" style="175" customWidth="1"/>
    <col min="23" max="23" width="10.125" style="140" hidden="1" customWidth="1"/>
    <col min="24" max="24" width="11.125" style="174" hidden="1" customWidth="1"/>
    <col min="25" max="25" width="11" style="175" customWidth="1"/>
    <col min="26" max="26" width="8.75" style="140" hidden="1" customWidth="1"/>
    <col min="27" max="27" width="5" style="174" hidden="1" customWidth="1"/>
    <col min="28" max="28" width="7.5" style="20" hidden="1" customWidth="1"/>
    <col min="29" max="29" width="5.125" style="20" hidden="1" customWidth="1"/>
    <col min="30" max="30" width="5.125" style="134" hidden="1" customWidth="1"/>
    <col min="31" max="31" width="9" style="142" hidden="1" customWidth="1"/>
    <col min="32" max="32" width="11.5" style="134" hidden="1" customWidth="1"/>
    <col min="33" max="33" width="11.625" style="134" hidden="1" customWidth="1"/>
    <col min="34" max="34" width="10.875" style="134" hidden="1" customWidth="1"/>
    <col min="35" max="35" width="5.25" style="134" hidden="1" customWidth="1"/>
    <col min="36" max="36" width="9.75" style="134" hidden="1" customWidth="1"/>
    <col min="37" max="38" width="9.25" style="134" hidden="1" customWidth="1"/>
    <col min="39" max="39" width="10" style="134" hidden="1" customWidth="1"/>
    <col min="40" max="40" width="8.5" style="134" hidden="1" customWidth="1"/>
    <col min="41" max="41" width="7.25" style="134" hidden="1" customWidth="1"/>
    <col min="42" max="42" width="8" style="134" hidden="1" customWidth="1"/>
    <col min="43" max="43" width="6.25" style="167" hidden="1" customWidth="1"/>
    <col min="44" max="44" width="8.25" style="167" hidden="1" customWidth="1"/>
    <col min="45" max="45" width="3.625" style="134" hidden="1" customWidth="1"/>
    <col min="46" max="46" width="11.375" style="134" bestFit="1" customWidth="1"/>
    <col min="47" max="47" width="6.75" style="134" customWidth="1"/>
    <col min="48" max="49" width="8.625" style="134" hidden="1" customWidth="1"/>
    <col min="50" max="50" width="7.5" style="134" hidden="1" customWidth="1"/>
    <col min="51" max="51" width="12" style="134" hidden="1" customWidth="1"/>
    <col min="52" max="52" width="10.625" style="134" hidden="1" customWidth="1"/>
    <col min="53" max="53" width="8" style="134" hidden="1" customWidth="1"/>
    <col min="54" max="54" width="7" style="134" hidden="1" customWidth="1"/>
    <col min="55" max="55" width="7.75" style="134" hidden="1" customWidth="1"/>
    <col min="56" max="56" width="6.125" style="134" hidden="1" customWidth="1"/>
    <col min="57" max="57" width="8.625" style="134"/>
    <col min="58" max="58" width="13" style="134" customWidth="1"/>
    <col min="59" max="59" width="6.75" style="134" hidden="1" customWidth="1"/>
    <col min="60" max="60" width="5.875" style="134" hidden="1" customWidth="1"/>
    <col min="61" max="61" width="5.875" style="134" customWidth="1"/>
    <col min="62" max="16384" width="8.625" style="134"/>
  </cols>
  <sheetData>
    <row r="1" spans="1:62" ht="26.25" customHeight="1">
      <c r="B1" s="636"/>
      <c r="C1" s="795"/>
      <c r="D1" s="796"/>
      <c r="E1" s="217" t="s">
        <v>301</v>
      </c>
      <c r="F1" s="1098">
        <f>IF(名簿!$O$4="","",名簿!$O$4)</f>
        <v>0</v>
      </c>
      <c r="G1" s="309" t="s">
        <v>256</v>
      </c>
      <c r="H1" s="309"/>
      <c r="I1" s="309"/>
      <c r="J1" s="309"/>
      <c r="K1" s="800"/>
      <c r="L1" s="309"/>
      <c r="M1" s="309"/>
      <c r="N1" s="309"/>
      <c r="O1" s="309"/>
      <c r="P1" s="309"/>
      <c r="Q1" s="309"/>
      <c r="R1" s="309"/>
      <c r="S1" s="266"/>
      <c r="T1" s="266"/>
      <c r="U1" s="266"/>
      <c r="V1" s="310"/>
      <c r="W1" s="268"/>
      <c r="X1" s="311"/>
      <c r="Y1" s="310"/>
      <c r="Z1" s="268"/>
      <c r="AA1" s="311"/>
      <c r="AB1" s="227"/>
      <c r="AC1" s="227"/>
      <c r="AD1" s="265"/>
      <c r="AE1" s="271"/>
      <c r="AF1" s="265"/>
      <c r="AG1" s="265"/>
      <c r="AH1" s="265"/>
      <c r="AI1" s="265"/>
      <c r="AJ1" s="265"/>
      <c r="AK1" s="265"/>
      <c r="AL1" s="265"/>
      <c r="AM1" s="265"/>
      <c r="AN1" s="265"/>
      <c r="AO1" s="265"/>
      <c r="AP1" s="265"/>
      <c r="AQ1" s="290"/>
      <c r="AR1" s="290"/>
      <c r="AS1" s="265"/>
      <c r="AT1" s="265"/>
      <c r="AU1" s="265"/>
      <c r="AV1" s="265"/>
      <c r="BE1" s="265"/>
      <c r="BF1" s="265"/>
      <c r="BG1" s="265"/>
      <c r="BH1" s="265"/>
      <c r="BI1" s="265"/>
      <c r="BJ1" s="265"/>
    </row>
    <row r="2" spans="1:62" ht="26.25" customHeight="1">
      <c r="B2" s="636"/>
      <c r="C2" s="797"/>
      <c r="D2" s="798"/>
      <c r="E2" s="217" t="s">
        <v>302</v>
      </c>
      <c r="F2" s="321" t="e">
        <f>名簿!$P$4</f>
        <v>#N/A</v>
      </c>
      <c r="G2" s="802" t="s">
        <v>493</v>
      </c>
      <c r="H2" s="802"/>
      <c r="I2" s="802"/>
      <c r="J2" s="434"/>
      <c r="K2" s="433"/>
      <c r="L2" s="433"/>
      <c r="M2" s="434"/>
      <c r="N2" s="312"/>
      <c r="O2" s="313"/>
      <c r="P2" s="1195"/>
      <c r="Q2" s="1195"/>
      <c r="R2" s="276"/>
      <c r="S2" s="314"/>
      <c r="T2" s="278"/>
      <c r="U2" s="275"/>
      <c r="V2" s="1195"/>
      <c r="W2" s="1195"/>
      <c r="X2" s="275"/>
      <c r="Y2" s="277"/>
      <c r="Z2" s="278"/>
      <c r="AA2" s="269"/>
      <c r="AB2" s="227"/>
      <c r="AC2" s="227"/>
      <c r="AD2" s="265"/>
      <c r="AE2" s="271"/>
      <c r="AF2" s="265"/>
      <c r="AG2" s="265"/>
      <c r="AH2" s="265"/>
      <c r="AI2" s="265"/>
      <c r="AJ2" s="265"/>
      <c r="AK2" s="265"/>
      <c r="AL2" s="265"/>
      <c r="AM2" s="265"/>
      <c r="AN2" s="265"/>
      <c r="AO2" s="265"/>
      <c r="AP2" s="265"/>
      <c r="AQ2" s="290"/>
      <c r="AR2" s="290"/>
      <c r="AS2" s="265"/>
      <c r="AT2" s="265"/>
      <c r="AU2" s="265"/>
      <c r="AV2" s="265"/>
      <c r="BE2" s="265"/>
      <c r="BF2" s="265"/>
      <c r="BG2" s="265"/>
      <c r="BH2" s="265"/>
      <c r="BI2" s="265"/>
      <c r="BJ2" s="265"/>
    </row>
    <row r="3" spans="1:62" ht="26.25" customHeight="1" thickBot="1">
      <c r="B3" s="640"/>
      <c r="C3" s="641"/>
      <c r="D3" s="641"/>
      <c r="E3" s="218" t="s">
        <v>291</v>
      </c>
      <c r="F3" s="240">
        <f>IF(名簿!$D$1="","",名簿!$D$1)</f>
        <v>0</v>
      </c>
      <c r="G3" s="312"/>
      <c r="H3" s="312"/>
      <c r="I3" s="312"/>
      <c r="J3" s="312"/>
      <c r="K3" s="801"/>
      <c r="L3" s="312"/>
      <c r="M3" s="312"/>
      <c r="N3" s="312"/>
      <c r="O3" s="313"/>
      <c r="P3" s="314"/>
      <c r="Q3" s="314"/>
      <c r="R3" s="276"/>
      <c r="S3" s="314"/>
      <c r="T3" s="278"/>
      <c r="U3" s="275"/>
      <c r="V3" s="314"/>
      <c r="W3" s="314"/>
      <c r="X3" s="275"/>
      <c r="Y3" s="277"/>
      <c r="Z3" s="278"/>
      <c r="AA3" s="269"/>
      <c r="AB3" s="227"/>
      <c r="AC3" s="227"/>
      <c r="AD3" s="265"/>
      <c r="AE3" s="271"/>
      <c r="AF3" s="265"/>
      <c r="AG3" s="265"/>
      <c r="AH3" s="265"/>
      <c r="AI3" s="265"/>
      <c r="AJ3" s="265"/>
      <c r="AK3" s="265"/>
      <c r="AL3" s="265"/>
      <c r="AM3" s="265"/>
      <c r="AN3" s="265"/>
      <c r="AO3" s="265"/>
      <c r="AP3" s="265"/>
      <c r="AQ3" s="290"/>
      <c r="AR3" s="290"/>
      <c r="AS3" s="265"/>
      <c r="AT3" s="265"/>
      <c r="AU3" s="265"/>
      <c r="AV3" s="265"/>
      <c r="BE3" s="265"/>
      <c r="BF3" s="265"/>
      <c r="BG3" s="265"/>
      <c r="BH3" s="265"/>
      <c r="BI3" s="265"/>
      <c r="BJ3" s="265"/>
    </row>
    <row r="4" spans="1:62" ht="26.25" customHeight="1" thickBot="1">
      <c r="B4" s="640"/>
      <c r="C4" s="641"/>
      <c r="D4" s="641"/>
      <c r="E4" s="218" t="s">
        <v>209</v>
      </c>
      <c r="F4" s="240">
        <f>IF(名簿!$I$1="","",名簿!$I$1)</f>
        <v>0</v>
      </c>
      <c r="G4" s="312"/>
      <c r="H4" s="312"/>
      <c r="I4" s="294" t="s">
        <v>231</v>
      </c>
      <c r="J4" s="312"/>
      <c r="K4" s="801"/>
      <c r="L4" s="312"/>
      <c r="M4" s="329"/>
      <c r="N4" s="316"/>
      <c r="O4" s="329">
        <f>($AF$118*1000+$AP$8*2000)+V4*800</f>
        <v>1000</v>
      </c>
      <c r="P4" s="316"/>
      <c r="Q4" s="314"/>
      <c r="R4" s="276"/>
      <c r="S4" s="314"/>
      <c r="T4" s="1101" t="s">
        <v>512</v>
      </c>
      <c r="U4" s="275"/>
      <c r="V4" s="1103"/>
      <c r="W4" s="314"/>
      <c r="X4" s="275"/>
      <c r="Y4" s="1102" t="s">
        <v>513</v>
      </c>
      <c r="Z4" s="278"/>
      <c r="AA4" s="269"/>
      <c r="AB4" s="227"/>
      <c r="AC4" s="227"/>
      <c r="AD4" s="265"/>
      <c r="AE4" s="271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90"/>
      <c r="AR4" s="290"/>
      <c r="AS4" s="265"/>
      <c r="AT4" s="265"/>
      <c r="AU4" s="265"/>
      <c r="AV4" s="265"/>
      <c r="BE4" s="265"/>
      <c r="BF4" s="265"/>
      <c r="BG4" s="265"/>
      <c r="BH4" s="265"/>
      <c r="BI4" s="265"/>
      <c r="BJ4" s="265"/>
    </row>
    <row r="5" spans="1:62" ht="26.25" customHeight="1" thickTop="1" thickBot="1">
      <c r="B5" s="799"/>
      <c r="C5" s="798"/>
      <c r="D5" s="798"/>
      <c r="E5" s="317"/>
      <c r="F5" s="312"/>
      <c r="G5" s="312"/>
      <c r="H5" s="312"/>
      <c r="I5" s="312"/>
      <c r="J5" s="312"/>
      <c r="K5" s="801"/>
      <c r="L5" s="312"/>
      <c r="M5" s="318"/>
      <c r="N5" s="318"/>
      <c r="O5" s="318"/>
      <c r="P5" s="318"/>
      <c r="Q5" s="314"/>
      <c r="R5" s="276"/>
      <c r="S5" s="314"/>
      <c r="T5" s="278"/>
      <c r="U5" s="275"/>
      <c r="V5" s="315"/>
      <c r="W5" s="314"/>
      <c r="X5" s="275"/>
      <c r="Y5" s="277"/>
      <c r="Z5" s="278"/>
      <c r="AA5" s="269"/>
      <c r="AB5" s="227"/>
      <c r="AC5" s="227"/>
      <c r="AD5" s="265"/>
      <c r="AE5" s="271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90"/>
      <c r="AR5" s="290"/>
      <c r="AS5" s="265"/>
      <c r="AT5" s="265"/>
      <c r="AU5" s="265"/>
      <c r="AV5" s="265"/>
      <c r="BE5" s="265"/>
      <c r="BF5" s="265"/>
      <c r="BG5" s="265"/>
      <c r="BH5" s="265"/>
      <c r="BI5" s="265"/>
      <c r="BJ5" s="265"/>
    </row>
    <row r="6" spans="1:62" s="143" customFormat="1" ht="14.25" customHeight="1" thickBot="1">
      <c r="A6" s="143" t="s">
        <v>9</v>
      </c>
      <c r="B6" s="263" t="s">
        <v>0</v>
      </c>
      <c r="C6" s="263" t="s">
        <v>447</v>
      </c>
      <c r="D6" s="791" t="s">
        <v>445</v>
      </c>
      <c r="E6" s="262" t="s">
        <v>5</v>
      </c>
      <c r="F6" s="263" t="s">
        <v>72</v>
      </c>
      <c r="G6" s="263" t="s">
        <v>2</v>
      </c>
      <c r="H6" s="263" t="s">
        <v>10</v>
      </c>
      <c r="I6" s="263" t="s">
        <v>3</v>
      </c>
      <c r="J6" s="263" t="s">
        <v>1</v>
      </c>
      <c r="K6" s="1297" t="s">
        <v>443</v>
      </c>
      <c r="L6" s="1297" t="s">
        <v>448</v>
      </c>
      <c r="M6" s="264" t="s">
        <v>4</v>
      </c>
      <c r="N6" s="1310" t="s">
        <v>556</v>
      </c>
      <c r="O6" s="176" t="s">
        <v>14</v>
      </c>
      <c r="P6" s="145" t="s">
        <v>77</v>
      </c>
      <c r="Q6" s="146" t="s">
        <v>79</v>
      </c>
      <c r="R6" s="618"/>
      <c r="S6" s="618"/>
      <c r="T6" s="144" t="s">
        <v>14</v>
      </c>
      <c r="U6" s="145" t="s">
        <v>77</v>
      </c>
      <c r="V6" s="147" t="s">
        <v>79</v>
      </c>
      <c r="W6" s="618"/>
      <c r="X6" s="618"/>
      <c r="Y6" s="814" t="s">
        <v>75</v>
      </c>
      <c r="Z6" s="505" t="s">
        <v>77</v>
      </c>
      <c r="AA6" s="177" t="s">
        <v>400</v>
      </c>
      <c r="AB6" s="506" t="s">
        <v>249</v>
      </c>
      <c r="AC6" s="507" t="s">
        <v>77</v>
      </c>
      <c r="AD6" s="508" t="s">
        <v>79</v>
      </c>
      <c r="AE6" s="618"/>
      <c r="AF6" s="618"/>
      <c r="AG6" s="509" t="s">
        <v>243</v>
      </c>
      <c r="AH6" s="510" t="s">
        <v>77</v>
      </c>
      <c r="AI6" s="511" t="s">
        <v>79</v>
      </c>
      <c r="AJ6" s="148"/>
      <c r="AK6" s="148"/>
      <c r="AM6" s="65">
        <v>100</v>
      </c>
      <c r="AS6" s="187" t="s">
        <v>250</v>
      </c>
      <c r="AT6" s="1196" t="s">
        <v>211</v>
      </c>
      <c r="AU6" s="1197"/>
      <c r="AV6" s="265"/>
      <c r="AW6" s="265"/>
      <c r="AX6" s="265"/>
      <c r="AY6" s="319">
        <v>100</v>
      </c>
      <c r="AZ6" s="319">
        <v>100</v>
      </c>
      <c r="BA6" s="265"/>
      <c r="BB6" s="296"/>
      <c r="BC6" s="296"/>
      <c r="BD6" s="296"/>
      <c r="BE6" s="1198" t="s">
        <v>436</v>
      </c>
      <c r="BF6" s="1199"/>
      <c r="BG6" s="652"/>
      <c r="BH6" s="652"/>
      <c r="BI6" s="697"/>
      <c r="BJ6" s="296"/>
    </row>
    <row r="7" spans="1:62" ht="14.25" customHeight="1" thickBot="1">
      <c r="A7" s="134" t="str">
        <f>Z7</f>
        <v/>
      </c>
      <c r="B7" s="149" t="e">
        <f>名簿!P4</f>
        <v>#N/A</v>
      </c>
      <c r="C7" s="149"/>
      <c r="D7" s="792"/>
      <c r="E7" s="178">
        <f>名簿!E4</f>
        <v>0</v>
      </c>
      <c r="F7" s="559" t="str">
        <f>名簿!CM4</f>
        <v/>
      </c>
      <c r="G7" s="149" t="str">
        <f>名簿!Z4</f>
        <v/>
      </c>
      <c r="H7" s="1298" t="str">
        <f>名簿!CM4</f>
        <v/>
      </c>
      <c r="I7" s="150" t="str">
        <f>名簿!Y4</f>
        <v/>
      </c>
      <c r="J7" s="1299" t="str">
        <f>名簿!CN4</f>
        <v/>
      </c>
      <c r="K7" s="1300">
        <f>名簿!CP4</f>
        <v>0</v>
      </c>
      <c r="L7" s="1301" t="str">
        <f>名簿!CU4</f>
        <v>00</v>
      </c>
      <c r="M7" s="149" t="e">
        <f>名簿!Q4</f>
        <v>#N/A</v>
      </c>
      <c r="N7" s="1311">
        <f>名簿!D4</f>
        <v>0</v>
      </c>
      <c r="O7" s="1294" t="s">
        <v>130</v>
      </c>
      <c r="P7" s="254" t="b">
        <f>IF(O7="","",IF(I7=1,VLOOKUP(O7,男子種目コード!$A$1:$B$33,2,FALSE),IF(I7=2,VLOOKUP(O7,女子種目コード!$A$1:$B$28,2,FALSE))))</f>
        <v>0</v>
      </c>
      <c r="Q7" s="493" t="e">
        <f>IF(O7="","",HLOOKUP(O7,名簿!$AH$3:$CH$118,2,FALSE))</f>
        <v>#N/A</v>
      </c>
      <c r="R7" s="622">
        <f>IF(O7="","",0)</f>
        <v>0</v>
      </c>
      <c r="S7" s="623">
        <f>IF(O7="","",2)</f>
        <v>2</v>
      </c>
      <c r="T7" s="301"/>
      <c r="U7" s="254" t="str">
        <f>IF(T7="","",IF(I7=1,VLOOKUP(T7,男子種目コード!$A$1:$B$33,2,FALSE),IF(I7=2,VLOOKUP(T7,女子種目コード!$A$1:$B$28,2,FALSE))))</f>
        <v/>
      </c>
      <c r="V7" s="542" t="str">
        <f>IF(T7="","",HLOOKUP(T7,名簿!$AH$3:$CH$118,2,FALSE))</f>
        <v/>
      </c>
      <c r="W7" s="622" t="str">
        <f>IF(T7="","",0)</f>
        <v/>
      </c>
      <c r="X7" s="623" t="str">
        <f>IF(T7="","",2)</f>
        <v/>
      </c>
      <c r="Y7" s="815"/>
      <c r="Z7" s="811" t="str">
        <f>IF(Y7="","",IF(I7=1,VLOOKUP(Y7,男子種目コード!$A$1:$B$33,2,FALSE),IF(I7=2,VLOOKUP(Y7,女子種目コード!$A$1:$B$27,2,FALSE))))</f>
        <v/>
      </c>
      <c r="AA7" s="302"/>
      <c r="AB7" s="301"/>
      <c r="AC7" s="512"/>
      <c r="AD7" s="513"/>
      <c r="AE7" s="622" t="str">
        <f>IF(AB7="","",0)</f>
        <v/>
      </c>
      <c r="AF7" s="623" t="str">
        <f>IF(AB7="","",2)</f>
        <v/>
      </c>
      <c r="AG7" s="514"/>
      <c r="AH7" s="515"/>
      <c r="AI7" s="516"/>
      <c r="AJ7" s="20"/>
      <c r="AK7" s="20"/>
      <c r="AM7" s="65">
        <v>200</v>
      </c>
      <c r="AN7" s="134">
        <f t="shared" ref="AN7:AN38" si="0">IF(O7="","",1)</f>
        <v>1</v>
      </c>
      <c r="AO7" s="134" t="str">
        <f t="shared" ref="AO7:AO38" si="1">IF(T7="","",1)</f>
        <v/>
      </c>
      <c r="AP7" s="134">
        <f>COUNTIF($Y$7:$Y$116,"4×100")</f>
        <v>0</v>
      </c>
      <c r="AQ7" s="134"/>
      <c r="AR7" s="60"/>
      <c r="AS7" s="179">
        <f t="shared" ref="AS7:AS38" si="2">E7</f>
        <v>0</v>
      </c>
      <c r="AT7" s="1154" t="s">
        <v>106</v>
      </c>
      <c r="AU7" s="1155"/>
      <c r="AV7" s="289"/>
      <c r="AW7" s="289"/>
      <c r="AX7" s="296"/>
      <c r="AY7" s="319">
        <v>200</v>
      </c>
      <c r="AZ7" s="319">
        <v>200</v>
      </c>
      <c r="BA7" s="296">
        <f>COUNTIF(U7:U116,13)</f>
        <v>0</v>
      </c>
      <c r="BB7" s="265">
        <f>IF(BA7&gt;0,1,0)</f>
        <v>0</v>
      </c>
      <c r="BC7" s="265"/>
      <c r="BD7" s="265"/>
      <c r="BE7" s="907" t="s">
        <v>441</v>
      </c>
      <c r="BF7" s="908"/>
      <c r="BG7" s="652"/>
      <c r="BH7" s="652"/>
      <c r="BI7" s="662"/>
      <c r="BJ7" s="265"/>
    </row>
    <row r="8" spans="1:62" ht="14.25" customHeight="1">
      <c r="A8" s="134" t="str">
        <f t="shared" ref="A8:A71" si="3">Z8</f>
        <v/>
      </c>
      <c r="B8" s="160" t="str">
        <f>名簿!P5</f>
        <v/>
      </c>
      <c r="C8" s="160"/>
      <c r="D8" s="793"/>
      <c r="E8" s="180">
        <f>名簿!E5</f>
        <v>0</v>
      </c>
      <c r="F8" s="560" t="str">
        <f>名簿!CM5</f>
        <v/>
      </c>
      <c r="G8" s="160" t="str">
        <f>名簿!Z5</f>
        <v/>
      </c>
      <c r="H8" s="1302" t="str">
        <f>名簿!CM5</f>
        <v/>
      </c>
      <c r="I8" s="185" t="str">
        <f>名簿!Y5</f>
        <v/>
      </c>
      <c r="J8" s="1303" t="str">
        <f>名簿!CN5</f>
        <v/>
      </c>
      <c r="K8" s="1304">
        <f>名簿!CP5</f>
        <v>0</v>
      </c>
      <c r="L8" s="1305" t="str">
        <f>名簿!CU5</f>
        <v>00</v>
      </c>
      <c r="M8" s="160" t="str">
        <f>名簿!Q5</f>
        <v/>
      </c>
      <c r="N8" s="1312">
        <f>名簿!D5</f>
        <v>0</v>
      </c>
      <c r="O8" s="1295"/>
      <c r="P8" s="258" t="str">
        <f>IF(O8="","",IF(I8=1,VLOOKUP(O8,男子種目コード!$A$1:$B$33,2,FALSE),IF(I8=2,VLOOKUP(O8,女子種目コード!$A$1:$B$28,2,FALSE))))</f>
        <v/>
      </c>
      <c r="Q8" s="494" t="str">
        <f>IF(O8="","",HLOOKUP(O8,名簿!$AH$3:$CH$118,3,FALSE))</f>
        <v/>
      </c>
      <c r="R8" s="624" t="str">
        <f t="shared" ref="R8:R71" si="4">IF(O8="","",0)</f>
        <v/>
      </c>
      <c r="S8" s="625" t="str">
        <f t="shared" ref="S8:S71" si="5">IF(O8="","",2)</f>
        <v/>
      </c>
      <c r="T8" s="303"/>
      <c r="U8" s="258" t="str">
        <f>IF(T8="","",IF(I8=1,VLOOKUP(T8,男子種目コード!$A$1:$B$33,2,FALSE),IF(I8=2,VLOOKUP(T8,女子種目コード!$A$1:$B$28,2,FALSE))))</f>
        <v/>
      </c>
      <c r="V8" s="540" t="str">
        <f>IF(T8="","",HLOOKUP(T8,名簿!$AH$3:$CH$118,3,FALSE))</f>
        <v/>
      </c>
      <c r="W8" s="624" t="str">
        <f t="shared" ref="W8:W71" si="6">IF(T8="","",0)</f>
        <v/>
      </c>
      <c r="X8" s="625" t="str">
        <f t="shared" ref="X8:X71" si="7">IF(T8="","",2)</f>
        <v/>
      </c>
      <c r="Y8" s="816"/>
      <c r="Z8" s="812" t="str">
        <f>IF(Y8="","",IF(I8=1,VLOOKUP(Y8,男子種目コード!$A$1:$B$33,2,FALSE),IF(I8=2,VLOOKUP(Y8,女子種目コード!$A$1:$B$27,2,FALSE))))</f>
        <v/>
      </c>
      <c r="AA8" s="304"/>
      <c r="AB8" s="303"/>
      <c r="AC8" s="517"/>
      <c r="AD8" s="518"/>
      <c r="AE8" s="624" t="str">
        <f t="shared" ref="AE8:AE71" si="8">IF(AB8="","",0)</f>
        <v/>
      </c>
      <c r="AF8" s="625" t="str">
        <f t="shared" ref="AF8:AF71" si="9">IF(AB8="","",2)</f>
        <v/>
      </c>
      <c r="AG8" s="519"/>
      <c r="AH8" s="520"/>
      <c r="AI8" s="521"/>
      <c r="AJ8" s="20"/>
      <c r="AK8" s="20"/>
      <c r="AM8" s="65">
        <v>400</v>
      </c>
      <c r="AN8" s="134" t="str">
        <f t="shared" si="0"/>
        <v/>
      </c>
      <c r="AO8" s="134" t="str">
        <f t="shared" si="1"/>
        <v/>
      </c>
      <c r="AP8" s="134" t="b">
        <f>IF(AP7&gt;0,1)</f>
        <v>0</v>
      </c>
      <c r="AQ8" s="134"/>
      <c r="AR8" s="60"/>
      <c r="AS8" s="181">
        <f t="shared" si="2"/>
        <v>0</v>
      </c>
      <c r="AT8" s="190">
        <v>100</v>
      </c>
      <c r="AU8" s="191">
        <f>COUNTIF($P$7:$P$116,1)+COUNTIF($U$7:$U$116,1)</f>
        <v>0</v>
      </c>
      <c r="AV8" s="289"/>
      <c r="AW8" s="289"/>
      <c r="AX8" s="246"/>
      <c r="AY8" s="319">
        <v>400</v>
      </c>
      <c r="AZ8" s="319">
        <v>400</v>
      </c>
      <c r="BA8" s="265">
        <f>COUNTIF(U7:U116,53)</f>
        <v>0</v>
      </c>
      <c r="BB8" s="265">
        <f>IF(BA8&gt;0,1,0)</f>
        <v>0</v>
      </c>
      <c r="BC8" s="265"/>
      <c r="BD8" s="265"/>
      <c r="BE8" s="807" t="str">
        <f t="shared" ref="BE8:BF13" ca="1" si="10">IF(ISERROR(BG8),"",BG8)</f>
        <v/>
      </c>
      <c r="BF8" s="808" t="str">
        <f t="shared" ca="1" si="10"/>
        <v/>
      </c>
      <c r="BG8" s="333" t="e">
        <f ca="1">VLookUpX(13,$A$7:$F$116,1,5)</f>
        <v>#N/A</v>
      </c>
      <c r="BH8" s="333" t="e">
        <f ca="1">VLookUpX(13,$A$7:$F$116,1,6)</f>
        <v>#N/A</v>
      </c>
      <c r="BI8" s="662"/>
      <c r="BJ8" s="265"/>
    </row>
    <row r="9" spans="1:62" ht="14.25" customHeight="1">
      <c r="A9" s="134" t="str">
        <f t="shared" si="3"/>
        <v/>
      </c>
      <c r="B9" s="160" t="str">
        <f>名簿!P6</f>
        <v/>
      </c>
      <c r="C9" s="160"/>
      <c r="D9" s="793"/>
      <c r="E9" s="180">
        <f>名簿!E6</f>
        <v>0</v>
      </c>
      <c r="F9" s="560" t="str">
        <f>名簿!CM6</f>
        <v/>
      </c>
      <c r="G9" s="160" t="str">
        <f>名簿!Z6</f>
        <v/>
      </c>
      <c r="H9" s="1302" t="str">
        <f>名簿!CM6</f>
        <v/>
      </c>
      <c r="I9" s="185" t="str">
        <f>名簿!Y6</f>
        <v/>
      </c>
      <c r="J9" s="1303" t="str">
        <f>名簿!CN6</f>
        <v/>
      </c>
      <c r="K9" s="1304">
        <f>名簿!CP6</f>
        <v>0</v>
      </c>
      <c r="L9" s="1305" t="str">
        <f>名簿!CU6</f>
        <v>00</v>
      </c>
      <c r="M9" s="160" t="str">
        <f>名簿!Q6</f>
        <v/>
      </c>
      <c r="N9" s="1312">
        <f>名簿!D6</f>
        <v>0</v>
      </c>
      <c r="O9" s="1295"/>
      <c r="P9" s="258" t="str">
        <f>IF(O9="","",IF(I9=1,VLOOKUP(O9,男子種目コード!$A$1:$B$33,2,FALSE),IF(I9=2,VLOOKUP(O9,女子種目コード!$A$1:$B$28,2,FALSE))))</f>
        <v/>
      </c>
      <c r="Q9" s="494" t="str">
        <f>IF(O9="","",HLOOKUP(O9,名簿!$AH$3:$CH$118,4,FALSE))</f>
        <v/>
      </c>
      <c r="R9" s="624" t="str">
        <f t="shared" si="4"/>
        <v/>
      </c>
      <c r="S9" s="625" t="str">
        <f t="shared" si="5"/>
        <v/>
      </c>
      <c r="T9" s="303"/>
      <c r="U9" s="258" t="str">
        <f>IF(T9="","",IF(I9=1,VLOOKUP(T9,男子種目コード!$A$1:$B$33,2,FALSE),IF(I9=2,VLOOKUP(T9,女子種目コード!$A$1:$B$28,2,FALSE))))</f>
        <v/>
      </c>
      <c r="V9" s="494" t="str">
        <f>IF(T9="","",HLOOKUP(T9,名簿!$AH$3:$CH$118,4,FALSE))</f>
        <v/>
      </c>
      <c r="W9" s="624" t="str">
        <f t="shared" si="6"/>
        <v/>
      </c>
      <c r="X9" s="625" t="str">
        <f t="shared" si="7"/>
        <v/>
      </c>
      <c r="Y9" s="816"/>
      <c r="Z9" s="812" t="str">
        <f>IF(Y9="","",IF(I9=1,VLOOKUP(Y9,男子種目コード!$A$1:$B$33,2,FALSE),IF(I9=2,VLOOKUP(Y9,女子種目コード!$A$1:$B$27,2,FALSE))))</f>
        <v/>
      </c>
      <c r="AA9" s="304"/>
      <c r="AB9" s="303"/>
      <c r="AC9" s="517"/>
      <c r="AD9" s="518"/>
      <c r="AE9" s="624" t="str">
        <f t="shared" si="8"/>
        <v/>
      </c>
      <c r="AF9" s="625" t="str">
        <f t="shared" si="9"/>
        <v/>
      </c>
      <c r="AG9" s="519"/>
      <c r="AH9" s="520"/>
      <c r="AI9" s="521"/>
      <c r="AJ9" s="20"/>
      <c r="AK9" s="20"/>
      <c r="AM9" s="65">
        <v>800</v>
      </c>
      <c r="AN9" s="134" t="str">
        <f t="shared" si="0"/>
        <v/>
      </c>
      <c r="AO9" s="134" t="str">
        <f t="shared" si="1"/>
        <v/>
      </c>
      <c r="AQ9" s="134"/>
      <c r="AR9" s="60"/>
      <c r="AS9" s="181">
        <f t="shared" si="2"/>
        <v>0</v>
      </c>
      <c r="AT9" s="192">
        <v>200</v>
      </c>
      <c r="AU9" s="193">
        <f>COUNTIF($P$7:$P$116,2)+COUNTIF($U$7:$U$116,2)</f>
        <v>0</v>
      </c>
      <c r="AV9" s="289"/>
      <c r="AW9" s="289"/>
      <c r="AX9" s="246"/>
      <c r="AY9" s="319">
        <v>800</v>
      </c>
      <c r="AZ9" s="319">
        <v>800</v>
      </c>
      <c r="BA9" s="265"/>
      <c r="BB9" s="265">
        <f>SUM(BB7:BB8)</f>
        <v>0</v>
      </c>
      <c r="BC9" s="265"/>
      <c r="BD9" s="265"/>
      <c r="BE9" s="803" t="str">
        <f t="shared" ca="1" si="10"/>
        <v/>
      </c>
      <c r="BF9" s="804" t="str">
        <f t="shared" ca="1" si="10"/>
        <v/>
      </c>
      <c r="BG9" s="333" t="e">
        <f ca="1">VLookUpX(13,$A$7:$F$116,2,5)</f>
        <v>#N/A</v>
      </c>
      <c r="BH9" s="333" t="e">
        <f ca="1">VLookUpX(13,$A$7:$F$116,2,6)</f>
        <v>#N/A</v>
      </c>
      <c r="BI9" s="662"/>
      <c r="BJ9" s="265"/>
    </row>
    <row r="10" spans="1:62" ht="14.25" customHeight="1">
      <c r="A10" s="134" t="str">
        <f t="shared" si="3"/>
        <v/>
      </c>
      <c r="B10" s="160" t="str">
        <f>名簿!P7</f>
        <v/>
      </c>
      <c r="C10" s="160"/>
      <c r="D10" s="793"/>
      <c r="E10" s="180">
        <f>名簿!E7</f>
        <v>0</v>
      </c>
      <c r="F10" s="560" t="str">
        <f>名簿!CM7</f>
        <v/>
      </c>
      <c r="G10" s="160" t="str">
        <f>名簿!Z7</f>
        <v/>
      </c>
      <c r="H10" s="1302" t="str">
        <f>名簿!CM7</f>
        <v/>
      </c>
      <c r="I10" s="185" t="str">
        <f>名簿!Y7</f>
        <v/>
      </c>
      <c r="J10" s="1303" t="str">
        <f>名簿!CN7</f>
        <v/>
      </c>
      <c r="K10" s="1304">
        <f>名簿!CP7</f>
        <v>0</v>
      </c>
      <c r="L10" s="1305" t="str">
        <f>名簿!CU7</f>
        <v>00</v>
      </c>
      <c r="M10" s="160" t="str">
        <f>名簿!Q7</f>
        <v/>
      </c>
      <c r="N10" s="1312">
        <f>名簿!D7</f>
        <v>0</v>
      </c>
      <c r="O10" s="1295"/>
      <c r="P10" s="258" t="str">
        <f>IF(O10="","",IF(I10=1,VLOOKUP(O10,男子種目コード!$A$1:$B$33,2,FALSE),IF(I10=2,VLOOKUP(O10,女子種目コード!$A$1:$B$28,2,FALSE))))</f>
        <v/>
      </c>
      <c r="Q10" s="494" t="str">
        <f>IF(O10="","",HLOOKUP(O10,名簿!$AH$3:$CH$118,5,FALSE))</f>
        <v/>
      </c>
      <c r="R10" s="624" t="str">
        <f t="shared" si="4"/>
        <v/>
      </c>
      <c r="S10" s="625" t="str">
        <f t="shared" si="5"/>
        <v/>
      </c>
      <c r="T10" s="303"/>
      <c r="U10" s="258" t="str">
        <f>IF(T10="","",IF(I10=1,VLOOKUP(T10,男子種目コード!$A$1:$B$33,2,FALSE),IF(I10=2,VLOOKUP(T10,女子種目コード!$A$1:$B$28,2,FALSE))))</f>
        <v/>
      </c>
      <c r="V10" s="540" t="str">
        <f>IF(T10="","",HLOOKUP(T10,名簿!$AH$3:$CH$118,5,FALSE))</f>
        <v/>
      </c>
      <c r="W10" s="624" t="str">
        <f t="shared" si="6"/>
        <v/>
      </c>
      <c r="X10" s="625" t="str">
        <f t="shared" si="7"/>
        <v/>
      </c>
      <c r="Y10" s="816"/>
      <c r="Z10" s="812" t="str">
        <f>IF(Y10="","",IF(I10=1,VLOOKUP(Y10,男子種目コード!$A$1:$B$33,2,FALSE),IF(I10=2,VLOOKUP(Y10,女子種目コード!$A$1:$B$27,2,FALSE))))</f>
        <v/>
      </c>
      <c r="AA10" s="304"/>
      <c r="AB10" s="303"/>
      <c r="AC10" s="517"/>
      <c r="AD10" s="518"/>
      <c r="AE10" s="624" t="str">
        <f t="shared" si="8"/>
        <v/>
      </c>
      <c r="AF10" s="625" t="str">
        <f t="shared" si="9"/>
        <v/>
      </c>
      <c r="AG10" s="519"/>
      <c r="AH10" s="520"/>
      <c r="AI10" s="521"/>
      <c r="AJ10" s="20"/>
      <c r="AK10" s="20"/>
      <c r="AM10" s="65">
        <v>1500</v>
      </c>
      <c r="AN10" s="134" t="str">
        <f t="shared" si="0"/>
        <v/>
      </c>
      <c r="AO10" s="134" t="str">
        <f t="shared" si="1"/>
        <v/>
      </c>
      <c r="AQ10" s="134"/>
      <c r="AR10" s="60"/>
      <c r="AS10" s="181">
        <f t="shared" si="2"/>
        <v>0</v>
      </c>
      <c r="AT10" s="192">
        <v>400</v>
      </c>
      <c r="AU10" s="193">
        <f>COUNTIF($P$7:$P$116,3)+COUNTIF($U$7:$U$116,3)</f>
        <v>0</v>
      </c>
      <c r="AV10" s="289"/>
      <c r="AW10" s="289"/>
      <c r="AX10" s="246"/>
      <c r="AY10" s="319">
        <v>1500</v>
      </c>
      <c r="AZ10" s="319">
        <v>1500</v>
      </c>
      <c r="BA10" s="265"/>
      <c r="BB10" s="265"/>
      <c r="BC10" s="265"/>
      <c r="BD10" s="265"/>
      <c r="BE10" s="803" t="str">
        <f t="shared" ca="1" si="10"/>
        <v/>
      </c>
      <c r="BF10" s="804" t="str">
        <f t="shared" ca="1" si="10"/>
        <v/>
      </c>
      <c r="BG10" s="333" t="e">
        <f ca="1">VLookUpX(13,$A$7:$F$116,3,5)</f>
        <v>#N/A</v>
      </c>
      <c r="BH10" s="333" t="e">
        <f ca="1">VLookUpX(13,$A$7:$F$116,3,6)</f>
        <v>#N/A</v>
      </c>
      <c r="BI10" s="662"/>
      <c r="BJ10" s="265"/>
    </row>
    <row r="11" spans="1:62" ht="14.25" customHeight="1">
      <c r="A11" s="134" t="str">
        <f t="shared" si="3"/>
        <v/>
      </c>
      <c r="B11" s="160" t="str">
        <f>名簿!P8</f>
        <v/>
      </c>
      <c r="C11" s="160"/>
      <c r="D11" s="793"/>
      <c r="E11" s="180">
        <f>名簿!E8</f>
        <v>0</v>
      </c>
      <c r="F11" s="560" t="str">
        <f>名簿!CM8</f>
        <v/>
      </c>
      <c r="G11" s="160" t="str">
        <f>名簿!Z8</f>
        <v/>
      </c>
      <c r="H11" s="1302" t="str">
        <f>名簿!CM8</f>
        <v/>
      </c>
      <c r="I11" s="185" t="str">
        <f>名簿!Y8</f>
        <v/>
      </c>
      <c r="J11" s="1303" t="str">
        <f>名簿!CN8</f>
        <v/>
      </c>
      <c r="K11" s="1304">
        <f>名簿!CP8</f>
        <v>0</v>
      </c>
      <c r="L11" s="1305" t="str">
        <f>名簿!CU8</f>
        <v>00</v>
      </c>
      <c r="M11" s="160" t="str">
        <f>名簿!Q8</f>
        <v/>
      </c>
      <c r="N11" s="1312">
        <f>名簿!D8</f>
        <v>0</v>
      </c>
      <c r="O11" s="1295"/>
      <c r="P11" s="258" t="str">
        <f>IF(O11="","",IF(I11=1,VLOOKUP(O11,男子種目コード!$A$1:$B$33,2,FALSE),IF(I11=2,VLOOKUP(O11,女子種目コード!$A$1:$B$28,2,FALSE))))</f>
        <v/>
      </c>
      <c r="Q11" s="494" t="str">
        <f>IF(O11="","",HLOOKUP(O11,名簿!$AH$3:$CH$118,6,FALSE))</f>
        <v/>
      </c>
      <c r="R11" s="624" t="str">
        <f t="shared" si="4"/>
        <v/>
      </c>
      <c r="S11" s="625" t="str">
        <f t="shared" si="5"/>
        <v/>
      </c>
      <c r="T11" s="303"/>
      <c r="U11" s="258" t="str">
        <f>IF(T11="","",IF(I11=1,VLOOKUP(T11,男子種目コード!$A$1:$B$33,2,FALSE),IF(I11=2,VLOOKUP(T11,女子種目コード!$A$1:$B$28,2,FALSE))))</f>
        <v/>
      </c>
      <c r="V11" s="494" t="str">
        <f>IF(T11="","",HLOOKUP(T11,名簿!$AH$3:$CH$118,6,FALSE))</f>
        <v/>
      </c>
      <c r="W11" s="624" t="str">
        <f t="shared" si="6"/>
        <v/>
      </c>
      <c r="X11" s="625" t="str">
        <f t="shared" si="7"/>
        <v/>
      </c>
      <c r="Y11" s="816"/>
      <c r="Z11" s="812" t="str">
        <f>IF(Y11="","",IF(I11=1,VLOOKUP(Y11,男子種目コード!$A$1:$B$33,2,FALSE),IF(I11=2,VLOOKUP(Y11,女子種目コード!$A$1:$B$27,2,FALSE))))</f>
        <v/>
      </c>
      <c r="AA11" s="304"/>
      <c r="AB11" s="303"/>
      <c r="AC11" s="517"/>
      <c r="AD11" s="518"/>
      <c r="AE11" s="624" t="str">
        <f t="shared" si="8"/>
        <v/>
      </c>
      <c r="AF11" s="625" t="str">
        <f t="shared" si="9"/>
        <v/>
      </c>
      <c r="AG11" s="519"/>
      <c r="AH11" s="520"/>
      <c r="AI11" s="521"/>
      <c r="AJ11" s="20"/>
      <c r="AK11" s="20"/>
      <c r="AM11" s="65">
        <v>5000</v>
      </c>
      <c r="AN11" s="134" t="str">
        <f t="shared" si="0"/>
        <v/>
      </c>
      <c r="AO11" s="134" t="str">
        <f t="shared" si="1"/>
        <v/>
      </c>
      <c r="AQ11" s="134"/>
      <c r="AR11" s="134"/>
      <c r="AS11" s="181">
        <f t="shared" si="2"/>
        <v>0</v>
      </c>
      <c r="AT11" s="192">
        <v>800</v>
      </c>
      <c r="AU11" s="193">
        <f>COUNTIF($P$7:$P$116,4)+COUNTIF($U$7:$U$116,4)</f>
        <v>0</v>
      </c>
      <c r="AV11" s="289"/>
      <c r="AW11" s="289"/>
      <c r="AX11" s="246"/>
      <c r="AY11" s="319">
        <v>5000</v>
      </c>
      <c r="AZ11" s="319">
        <v>5000</v>
      </c>
      <c r="BA11" s="265"/>
      <c r="BB11" s="265"/>
      <c r="BC11" s="265"/>
      <c r="BD11" s="265"/>
      <c r="BE11" s="803" t="str">
        <f t="shared" ca="1" si="10"/>
        <v/>
      </c>
      <c r="BF11" s="804" t="str">
        <f t="shared" ca="1" si="10"/>
        <v/>
      </c>
      <c r="BG11" s="333" t="e">
        <f ca="1">VLookUpX(13,$A$7:$F$116,4,5)</f>
        <v>#N/A</v>
      </c>
      <c r="BH11" s="333" t="e">
        <f ca="1">VLookUpX(13,$A$7:$F$116,4,6)</f>
        <v>#N/A</v>
      </c>
      <c r="BI11" s="662"/>
      <c r="BJ11" s="265"/>
    </row>
    <row r="12" spans="1:62" ht="14.25" customHeight="1">
      <c r="A12" s="134" t="str">
        <f t="shared" si="3"/>
        <v/>
      </c>
      <c r="B12" s="160" t="str">
        <f>名簿!P9</f>
        <v/>
      </c>
      <c r="C12" s="160"/>
      <c r="D12" s="793"/>
      <c r="E12" s="180">
        <f>名簿!E9</f>
        <v>0</v>
      </c>
      <c r="F12" s="560" t="str">
        <f>名簿!CM9</f>
        <v/>
      </c>
      <c r="G12" s="160" t="str">
        <f>名簿!Z9</f>
        <v/>
      </c>
      <c r="H12" s="1302" t="str">
        <f>名簿!CM9</f>
        <v/>
      </c>
      <c r="I12" s="185" t="str">
        <f>名簿!Y9</f>
        <v/>
      </c>
      <c r="J12" s="1303" t="str">
        <f>名簿!CN9</f>
        <v/>
      </c>
      <c r="K12" s="1304">
        <f>名簿!CP9</f>
        <v>0</v>
      </c>
      <c r="L12" s="1305" t="str">
        <f>名簿!CU9</f>
        <v>00</v>
      </c>
      <c r="M12" s="160" t="str">
        <f>名簿!Q9</f>
        <v/>
      </c>
      <c r="N12" s="1312">
        <f>名簿!D9</f>
        <v>0</v>
      </c>
      <c r="O12" s="1295"/>
      <c r="P12" s="258" t="str">
        <f>IF(O12="","",IF(I12=1,VLOOKUP(O12,男子種目コード!$A$1:$B$33,2,FALSE),IF(I12=2,VLOOKUP(O12,女子種目コード!$A$1:$B$28,2,FALSE))))</f>
        <v/>
      </c>
      <c r="Q12" s="494" t="str">
        <f>IF(O12="","",HLOOKUP(O12,名簿!$AH$3:$CH$118,7,FALSE))</f>
        <v/>
      </c>
      <c r="R12" s="624" t="str">
        <f t="shared" si="4"/>
        <v/>
      </c>
      <c r="S12" s="625" t="str">
        <f t="shared" si="5"/>
        <v/>
      </c>
      <c r="T12" s="303"/>
      <c r="U12" s="258" t="str">
        <f>IF(T12="","",IF(I12=1,VLOOKUP(T12,男子種目コード!$A$1:$B$33,2,FALSE),IF(I12=2,VLOOKUP(T12,女子種目コード!$A$1:$B$28,2,FALSE))))</f>
        <v/>
      </c>
      <c r="V12" s="494" t="str">
        <f>IF(T12="","",HLOOKUP(T12,名簿!$AH$3:$CH$118,7,FALSE))</f>
        <v/>
      </c>
      <c r="W12" s="624" t="str">
        <f t="shared" si="6"/>
        <v/>
      </c>
      <c r="X12" s="625" t="str">
        <f t="shared" si="7"/>
        <v/>
      </c>
      <c r="Y12" s="816"/>
      <c r="Z12" s="812" t="str">
        <f>IF(Y12="","",IF(I12=1,VLOOKUP(Y12,男子種目コード!$A$1:$B$33,2,FALSE),IF(I12=2,VLOOKUP(Y12,女子種目コード!$A$1:$B$27,2,FALSE))))</f>
        <v/>
      </c>
      <c r="AA12" s="304"/>
      <c r="AB12" s="303"/>
      <c r="AC12" s="517"/>
      <c r="AD12" s="518"/>
      <c r="AE12" s="624" t="str">
        <f t="shared" si="8"/>
        <v/>
      </c>
      <c r="AF12" s="625" t="str">
        <f t="shared" si="9"/>
        <v/>
      </c>
      <c r="AG12" s="519"/>
      <c r="AH12" s="520"/>
      <c r="AI12" s="521"/>
      <c r="AJ12" s="20"/>
      <c r="AK12" s="20"/>
      <c r="AM12" s="65">
        <v>10000</v>
      </c>
      <c r="AN12" s="134" t="str">
        <f t="shared" si="0"/>
        <v/>
      </c>
      <c r="AO12" s="134" t="str">
        <f t="shared" si="1"/>
        <v/>
      </c>
      <c r="AQ12" s="134"/>
      <c r="AR12" s="134"/>
      <c r="AS12" s="181">
        <f t="shared" si="2"/>
        <v>0</v>
      </c>
      <c r="AT12" s="192">
        <v>1500</v>
      </c>
      <c r="AU12" s="193">
        <f>COUNTIF($P$7:$P$116,5)+COUNTIF($U$7:$U$116,5)</f>
        <v>0</v>
      </c>
      <c r="AV12" s="289"/>
      <c r="AW12" s="289"/>
      <c r="AX12" s="246"/>
      <c r="AY12" s="319">
        <v>10000</v>
      </c>
      <c r="AZ12" s="319">
        <v>10000</v>
      </c>
      <c r="BA12" s="265"/>
      <c r="BB12" s="265"/>
      <c r="BC12" s="265"/>
      <c r="BD12" s="265"/>
      <c r="BE12" s="803" t="str">
        <f t="shared" ca="1" si="10"/>
        <v/>
      </c>
      <c r="BF12" s="804" t="str">
        <f t="shared" ca="1" si="10"/>
        <v/>
      </c>
      <c r="BG12" s="333" t="e">
        <f ca="1">VLookUpX(13,$A$7:$F$116,5,5)</f>
        <v>#N/A</v>
      </c>
      <c r="BH12" s="333" t="e">
        <f ca="1">VLookUpX(13,$A$7:$F$116,5,6)</f>
        <v>#N/A</v>
      </c>
      <c r="BI12" s="662"/>
      <c r="BJ12" s="265"/>
    </row>
    <row r="13" spans="1:62" ht="14.25" customHeight="1" thickBot="1">
      <c r="A13" s="134" t="str">
        <f t="shared" si="3"/>
        <v/>
      </c>
      <c r="B13" s="160" t="str">
        <f>名簿!P10</f>
        <v/>
      </c>
      <c r="C13" s="160"/>
      <c r="D13" s="793"/>
      <c r="E13" s="180">
        <f>名簿!E10</f>
        <v>0</v>
      </c>
      <c r="F13" s="560" t="str">
        <f>名簿!CM10</f>
        <v/>
      </c>
      <c r="G13" s="160" t="str">
        <f>名簿!Z10</f>
        <v/>
      </c>
      <c r="H13" s="1302" t="str">
        <f>名簿!CM10</f>
        <v/>
      </c>
      <c r="I13" s="185" t="str">
        <f>名簿!Y10</f>
        <v/>
      </c>
      <c r="J13" s="1303" t="str">
        <f>名簿!CN10</f>
        <v/>
      </c>
      <c r="K13" s="1304">
        <f>名簿!CP10</f>
        <v>0</v>
      </c>
      <c r="L13" s="1305" t="str">
        <f>名簿!CU10</f>
        <v>00</v>
      </c>
      <c r="M13" s="160" t="str">
        <f>名簿!Q10</f>
        <v/>
      </c>
      <c r="N13" s="1312">
        <f>名簿!D10</f>
        <v>0</v>
      </c>
      <c r="O13" s="1295"/>
      <c r="P13" s="258" t="str">
        <f>IF(O13="","",IF(I13=1,VLOOKUP(O13,男子種目コード!$A$1:$B$33,2,FALSE),IF(I13=2,VLOOKUP(O13,女子種目コード!$A$1:$B$28,2,FALSE))))</f>
        <v/>
      </c>
      <c r="Q13" s="494" t="str">
        <f>IF(O13="","",HLOOKUP(O13,名簿!$AH$3:$CH$118,8,FALSE))</f>
        <v/>
      </c>
      <c r="R13" s="624" t="str">
        <f t="shared" si="4"/>
        <v/>
      </c>
      <c r="S13" s="625" t="str">
        <f t="shared" si="5"/>
        <v/>
      </c>
      <c r="T13" s="303"/>
      <c r="U13" s="258" t="str">
        <f>IF(T13="","",IF(I13=1,VLOOKUP(T13,男子種目コード!$A$1:$B$33,2,FALSE),IF(I13=2,VLOOKUP(T13,女子種目コード!$A$1:$B$28,2,FALSE))))</f>
        <v/>
      </c>
      <c r="V13" s="494" t="str">
        <f>IF(T13="","",HLOOKUP(T13,名簿!$AH$3:$CH$118,8,FALSE))</f>
        <v/>
      </c>
      <c r="W13" s="624" t="str">
        <f t="shared" si="6"/>
        <v/>
      </c>
      <c r="X13" s="625" t="str">
        <f t="shared" si="7"/>
        <v/>
      </c>
      <c r="Y13" s="816"/>
      <c r="Z13" s="812" t="str">
        <f>IF(Y13="","",IF(I13=1,VLOOKUP(Y13,男子種目コード!$A$1:$B$33,2,FALSE),IF(I13=2,VLOOKUP(Y13,女子種目コード!$A$1:$B$27,2,FALSE))))</f>
        <v/>
      </c>
      <c r="AA13" s="304"/>
      <c r="AB13" s="303"/>
      <c r="AC13" s="517"/>
      <c r="AD13" s="518"/>
      <c r="AE13" s="624" t="str">
        <f t="shared" si="8"/>
        <v/>
      </c>
      <c r="AF13" s="625" t="str">
        <f t="shared" si="9"/>
        <v/>
      </c>
      <c r="AG13" s="519"/>
      <c r="AH13" s="520"/>
      <c r="AI13" s="521"/>
      <c r="AJ13" s="20"/>
      <c r="AK13" s="20"/>
      <c r="AM13" s="67" t="s">
        <v>251</v>
      </c>
      <c r="AN13" s="134" t="str">
        <f t="shared" si="0"/>
        <v/>
      </c>
      <c r="AO13" s="134" t="str">
        <f t="shared" si="1"/>
        <v/>
      </c>
      <c r="AQ13" s="134"/>
      <c r="AR13" s="134"/>
      <c r="AS13" s="181">
        <f t="shared" si="2"/>
        <v>0</v>
      </c>
      <c r="AT13" s="194" t="s">
        <v>338</v>
      </c>
      <c r="AU13" s="193">
        <f>COUNTIF($P$7:$P$116,24)+COUNTIF($U$7:$U$116,24)</f>
        <v>0</v>
      </c>
      <c r="AV13" s="289"/>
      <c r="AW13" s="289"/>
      <c r="AX13" s="246"/>
      <c r="AY13" s="300" t="s">
        <v>252</v>
      </c>
      <c r="AZ13" s="300" t="s">
        <v>251</v>
      </c>
      <c r="BA13" s="265"/>
      <c r="BB13" s="265"/>
      <c r="BC13" s="265"/>
      <c r="BD13" s="265"/>
      <c r="BE13" s="805" t="str">
        <f t="shared" ca="1" si="10"/>
        <v/>
      </c>
      <c r="BF13" s="806" t="str">
        <f t="shared" ca="1" si="10"/>
        <v/>
      </c>
      <c r="BG13" s="333" t="e">
        <f ca="1">VLookUpX(13,$A$7:$F$116,6,5)</f>
        <v>#N/A</v>
      </c>
      <c r="BH13" s="333" t="e">
        <f ca="1">VLookUpX(13,$A$7:$F$116,6,6)</f>
        <v>#N/A</v>
      </c>
      <c r="BI13" s="662"/>
      <c r="BJ13" s="265"/>
    </row>
    <row r="14" spans="1:62" ht="14.25" customHeight="1">
      <c r="A14" s="134" t="str">
        <f t="shared" si="3"/>
        <v/>
      </c>
      <c r="B14" s="160" t="str">
        <f>名簿!P11</f>
        <v/>
      </c>
      <c r="C14" s="160"/>
      <c r="D14" s="793"/>
      <c r="E14" s="180">
        <f>名簿!E11</f>
        <v>0</v>
      </c>
      <c r="F14" s="560" t="str">
        <f>名簿!CM11</f>
        <v/>
      </c>
      <c r="G14" s="160" t="str">
        <f>名簿!Z11</f>
        <v/>
      </c>
      <c r="H14" s="1302" t="str">
        <f>名簿!CM11</f>
        <v/>
      </c>
      <c r="I14" s="185" t="str">
        <f>名簿!Y11</f>
        <v/>
      </c>
      <c r="J14" s="1303" t="str">
        <f>名簿!CN11</f>
        <v/>
      </c>
      <c r="K14" s="1304">
        <f>名簿!CP11</f>
        <v>0</v>
      </c>
      <c r="L14" s="1305" t="str">
        <f>名簿!CU11</f>
        <v>00</v>
      </c>
      <c r="M14" s="160" t="str">
        <f>名簿!Q11</f>
        <v/>
      </c>
      <c r="N14" s="1312">
        <f>名簿!D11</f>
        <v>0</v>
      </c>
      <c r="O14" s="1295"/>
      <c r="P14" s="258" t="str">
        <f>IF(O14="","",IF(I14=1,VLOOKUP(O14,男子種目コード!$A$1:$B$33,2,FALSE),IF(I14=2,VLOOKUP(O14,女子種目コード!$A$1:$B$28,2,FALSE))))</f>
        <v/>
      </c>
      <c r="Q14" s="494" t="str">
        <f>IF(O14="","",HLOOKUP(O14,名簿!$AH$3:$CH$118,9,FALSE))</f>
        <v/>
      </c>
      <c r="R14" s="624" t="str">
        <f t="shared" si="4"/>
        <v/>
      </c>
      <c r="S14" s="625" t="str">
        <f t="shared" si="5"/>
        <v/>
      </c>
      <c r="T14" s="303"/>
      <c r="U14" s="258" t="str">
        <f>IF(T14="","",IF(I14=1,VLOOKUP(T14,男子種目コード!$A$1:$B$33,2,FALSE),IF(I14=2,VLOOKUP(T14,女子種目コード!$A$1:$B$28,2,FALSE))))</f>
        <v/>
      </c>
      <c r="V14" s="494" t="str">
        <f>IF(T14="","",HLOOKUP(T14,名簿!$AH$3:$CH$118,9,FALSE))</f>
        <v/>
      </c>
      <c r="W14" s="624" t="str">
        <f t="shared" si="6"/>
        <v/>
      </c>
      <c r="X14" s="625" t="str">
        <f t="shared" si="7"/>
        <v/>
      </c>
      <c r="Y14" s="816"/>
      <c r="Z14" s="812" t="str">
        <f>IF(Y14="","",IF(I14=1,VLOOKUP(Y14,男子種目コード!$A$1:$B$33,2,FALSE),IF(I14=2,VLOOKUP(Y14,女子種目コード!$A$1:$B$27,2,FALSE))))</f>
        <v/>
      </c>
      <c r="AA14" s="304"/>
      <c r="AB14" s="303"/>
      <c r="AC14" s="517"/>
      <c r="AD14" s="518"/>
      <c r="AE14" s="624" t="str">
        <f t="shared" si="8"/>
        <v/>
      </c>
      <c r="AF14" s="625" t="str">
        <f t="shared" si="9"/>
        <v/>
      </c>
      <c r="AG14" s="519"/>
      <c r="AH14" s="520"/>
      <c r="AI14" s="521"/>
      <c r="AJ14" s="20"/>
      <c r="AK14" s="20"/>
      <c r="AM14" s="67" t="s">
        <v>252</v>
      </c>
      <c r="AN14" s="134" t="str">
        <f t="shared" si="0"/>
        <v/>
      </c>
      <c r="AO14" s="134" t="str">
        <f t="shared" si="1"/>
        <v/>
      </c>
      <c r="AQ14" s="134"/>
      <c r="AR14" s="134"/>
      <c r="AS14" s="181">
        <f t="shared" si="2"/>
        <v>0</v>
      </c>
      <c r="AT14" s="192">
        <v>5000</v>
      </c>
      <c r="AU14" s="193">
        <f>COUNTIF($P$7:$P$116,6)+COUNTIF($U$7:$U$116,6)</f>
        <v>0</v>
      </c>
      <c r="AV14" s="289"/>
      <c r="AW14" s="289"/>
      <c r="AX14" s="246"/>
      <c r="AY14" s="300" t="s">
        <v>253</v>
      </c>
      <c r="AZ14" s="300" t="s">
        <v>253</v>
      </c>
      <c r="BA14" s="265"/>
      <c r="BB14" s="265"/>
      <c r="BC14" s="265"/>
      <c r="BD14" s="265"/>
      <c r="BE14" s="1200" t="s">
        <v>440</v>
      </c>
      <c r="BF14" s="1174"/>
      <c r="BG14" s="652"/>
      <c r="BH14" s="652"/>
      <c r="BI14" s="662"/>
      <c r="BJ14" s="265"/>
    </row>
    <row r="15" spans="1:62" ht="14.25" customHeight="1">
      <c r="A15" s="134" t="str">
        <f t="shared" si="3"/>
        <v/>
      </c>
      <c r="B15" s="160" t="str">
        <f>名簿!P12</f>
        <v/>
      </c>
      <c r="C15" s="160"/>
      <c r="D15" s="793"/>
      <c r="E15" s="180">
        <f>名簿!E12</f>
        <v>0</v>
      </c>
      <c r="F15" s="560" t="str">
        <f>名簿!CM12</f>
        <v/>
      </c>
      <c r="G15" s="160" t="str">
        <f>名簿!Z12</f>
        <v/>
      </c>
      <c r="H15" s="1302" t="str">
        <f>名簿!CM12</f>
        <v/>
      </c>
      <c r="I15" s="185" t="str">
        <f>名簿!Y12</f>
        <v/>
      </c>
      <c r="J15" s="1303" t="str">
        <f>名簿!CN12</f>
        <v/>
      </c>
      <c r="K15" s="1304">
        <f>名簿!CP12</f>
        <v>0</v>
      </c>
      <c r="L15" s="1305" t="str">
        <f>名簿!CU12</f>
        <v>00</v>
      </c>
      <c r="M15" s="160" t="str">
        <f>名簿!Q12</f>
        <v/>
      </c>
      <c r="N15" s="1312">
        <f>名簿!D12</f>
        <v>0</v>
      </c>
      <c r="O15" s="1295"/>
      <c r="P15" s="258" t="str">
        <f>IF(O15="","",IF(I15=1,VLOOKUP(O15,男子種目コード!$A$1:$B$33,2,FALSE),IF(I15=2,VLOOKUP(O15,女子種目コード!$A$1:$B$28,2,FALSE))))</f>
        <v/>
      </c>
      <c r="Q15" s="494" t="str">
        <f>IF(O15="","",HLOOKUP(O15,名簿!$AH$3:$CH$118,10,FALSE))</f>
        <v/>
      </c>
      <c r="R15" s="624" t="str">
        <f t="shared" si="4"/>
        <v/>
      </c>
      <c r="S15" s="625" t="str">
        <f t="shared" si="5"/>
        <v/>
      </c>
      <c r="T15" s="303"/>
      <c r="U15" s="258" t="str">
        <f>IF(T15="","",IF(I15=1,VLOOKUP(T15,男子種目コード!$A$1:$B$33,2,FALSE),IF(I15=2,VLOOKUP(T15,女子種目コード!$A$1:$B$28,2,FALSE))))</f>
        <v/>
      </c>
      <c r="V15" s="494" t="str">
        <f>IF(T15="","",HLOOKUP(T15,名簿!$AH$3:$CH$118,10,FALSE))</f>
        <v/>
      </c>
      <c r="W15" s="624" t="str">
        <f t="shared" si="6"/>
        <v/>
      </c>
      <c r="X15" s="625" t="str">
        <f t="shared" si="7"/>
        <v/>
      </c>
      <c r="Y15" s="816"/>
      <c r="Z15" s="812" t="str">
        <f>IF(Y15="","",IF(I15=1,VLOOKUP(Y15,男子種目コード!$A$1:$B$33,2,FALSE),IF(I15=2,VLOOKUP(Y15,女子種目コード!$A$1:$B$27,2,FALSE))))</f>
        <v/>
      </c>
      <c r="AA15" s="304"/>
      <c r="AB15" s="303"/>
      <c r="AC15" s="517"/>
      <c r="AD15" s="518"/>
      <c r="AE15" s="624" t="str">
        <f t="shared" si="8"/>
        <v/>
      </c>
      <c r="AF15" s="625" t="str">
        <f t="shared" si="9"/>
        <v/>
      </c>
      <c r="AG15" s="519"/>
      <c r="AH15" s="520"/>
      <c r="AI15" s="521"/>
      <c r="AJ15" s="20"/>
      <c r="AK15" s="20"/>
      <c r="AM15" s="67" t="s">
        <v>253</v>
      </c>
      <c r="AN15" s="134" t="str">
        <f t="shared" si="0"/>
        <v/>
      </c>
      <c r="AO15" s="134" t="str">
        <f t="shared" si="1"/>
        <v/>
      </c>
      <c r="AQ15" s="134"/>
      <c r="AR15" s="134"/>
      <c r="AS15" s="181">
        <f t="shared" si="2"/>
        <v>0</v>
      </c>
      <c r="AT15" s="192">
        <v>10000</v>
      </c>
      <c r="AU15" s="193">
        <f>COUNTIF($P$7:$P$116,7)+COUNTIF($U$7:$U$116,7)</f>
        <v>0</v>
      </c>
      <c r="AV15" s="289"/>
      <c r="AW15" s="289"/>
      <c r="AX15" s="246"/>
      <c r="AY15" s="300" t="s">
        <v>254</v>
      </c>
      <c r="AZ15" s="300" t="s">
        <v>254</v>
      </c>
      <c r="BA15" s="265"/>
      <c r="BB15" s="265"/>
      <c r="BC15" s="265"/>
      <c r="BD15" s="265"/>
      <c r="BE15" s="909" t="s">
        <v>441</v>
      </c>
      <c r="BF15" s="910"/>
      <c r="BG15" s="652"/>
      <c r="BH15" s="652"/>
      <c r="BI15" s="662"/>
      <c r="BJ15" s="265"/>
    </row>
    <row r="16" spans="1:62" ht="14.25" customHeight="1">
      <c r="A16" s="134" t="str">
        <f t="shared" si="3"/>
        <v/>
      </c>
      <c r="B16" s="160" t="str">
        <f>名簿!P13</f>
        <v/>
      </c>
      <c r="C16" s="160"/>
      <c r="D16" s="793"/>
      <c r="E16" s="180">
        <f>名簿!E13</f>
        <v>0</v>
      </c>
      <c r="F16" s="560" t="str">
        <f>名簿!CM13</f>
        <v/>
      </c>
      <c r="G16" s="160" t="str">
        <f>名簿!Z13</f>
        <v/>
      </c>
      <c r="H16" s="1302" t="str">
        <f>名簿!CM13</f>
        <v/>
      </c>
      <c r="I16" s="185" t="str">
        <f>名簿!Y13</f>
        <v/>
      </c>
      <c r="J16" s="1303" t="str">
        <f>名簿!CN13</f>
        <v/>
      </c>
      <c r="K16" s="1304">
        <f>名簿!CP13</f>
        <v>0</v>
      </c>
      <c r="L16" s="1305" t="str">
        <f>名簿!CU13</f>
        <v>00</v>
      </c>
      <c r="M16" s="160" t="str">
        <f>名簿!Q13</f>
        <v/>
      </c>
      <c r="N16" s="1312">
        <f>名簿!D13</f>
        <v>0</v>
      </c>
      <c r="O16" s="1295"/>
      <c r="P16" s="258" t="str">
        <f>IF(O16="","",IF(I16=1,VLOOKUP(O16,男子種目コード!$A$1:$B$33,2,FALSE),IF(I16=2,VLOOKUP(O16,女子種目コード!$A$1:$B$28,2,FALSE))))</f>
        <v/>
      </c>
      <c r="Q16" s="494" t="str">
        <f>IF(O16="","",HLOOKUP(O16,名簿!$AH$3:$CH$118,11,FALSE))</f>
        <v/>
      </c>
      <c r="R16" s="624" t="str">
        <f t="shared" si="4"/>
        <v/>
      </c>
      <c r="S16" s="625" t="str">
        <f t="shared" si="5"/>
        <v/>
      </c>
      <c r="T16" s="303"/>
      <c r="U16" s="258" t="str">
        <f>IF(T16="","",IF(I16=1,VLOOKUP(T16,男子種目コード!$A$1:$B$33,2,FALSE),IF(I16=2,VLOOKUP(T16,女子種目コード!$A$1:$B$28,2,FALSE))))</f>
        <v/>
      </c>
      <c r="V16" s="494" t="str">
        <f>IF(T16="","",HLOOKUP(T16,名簿!$AH$3:$CH$118,11,FALSE))</f>
        <v/>
      </c>
      <c r="W16" s="624" t="str">
        <f t="shared" si="6"/>
        <v/>
      </c>
      <c r="X16" s="625" t="str">
        <f t="shared" si="7"/>
        <v/>
      </c>
      <c r="Y16" s="816"/>
      <c r="Z16" s="812" t="str">
        <f>IF(Y16="","",IF(I16=1,VLOOKUP(Y16,男子種目コード!$A$1:$B$33,2,FALSE),IF(I16=2,VLOOKUP(Y16,女子種目コード!$A$1:$B$27,2,FALSE))))</f>
        <v/>
      </c>
      <c r="AA16" s="304"/>
      <c r="AB16" s="303"/>
      <c r="AC16" s="517"/>
      <c r="AD16" s="518"/>
      <c r="AE16" s="624" t="str">
        <f t="shared" si="8"/>
        <v/>
      </c>
      <c r="AF16" s="625" t="str">
        <f t="shared" si="9"/>
        <v/>
      </c>
      <c r="AG16" s="519"/>
      <c r="AH16" s="520"/>
      <c r="AI16" s="521"/>
      <c r="AJ16" s="20"/>
      <c r="AK16" s="20"/>
      <c r="AM16" s="67" t="s">
        <v>254</v>
      </c>
      <c r="AN16" s="134" t="str">
        <f t="shared" si="0"/>
        <v/>
      </c>
      <c r="AO16" s="134" t="str">
        <f t="shared" si="1"/>
        <v/>
      </c>
      <c r="AQ16" s="134"/>
      <c r="AR16" s="134"/>
      <c r="AS16" s="181">
        <f t="shared" si="2"/>
        <v>0</v>
      </c>
      <c r="AT16" s="194" t="s">
        <v>263</v>
      </c>
      <c r="AU16" s="193">
        <f>COUNTIF($P$7:$P$116,8)+COUNTIF($U$7:$U$116,8)</f>
        <v>0</v>
      </c>
      <c r="AV16" s="289"/>
      <c r="AW16" s="289"/>
      <c r="AX16" s="246"/>
      <c r="AY16" s="300" t="s">
        <v>255</v>
      </c>
      <c r="AZ16" s="300" t="s">
        <v>255</v>
      </c>
      <c r="BA16" s="265"/>
      <c r="BB16" s="265"/>
      <c r="BC16" s="265"/>
      <c r="BD16" s="265"/>
      <c r="BE16" s="809" t="str">
        <f t="shared" ref="BE16:BF21" ca="1" si="11">IF(ISERROR(BG16),"",BG16)</f>
        <v/>
      </c>
      <c r="BF16" s="810" t="str">
        <f t="shared" ca="1" si="11"/>
        <v/>
      </c>
      <c r="BG16" s="333" t="e">
        <f ca="1">VLookUpX(53,$A$7:$F$116,1,5)</f>
        <v>#N/A</v>
      </c>
      <c r="BH16" s="333" t="e">
        <f ca="1">VLookUpX(53,$A$7:$F$116,1,6)</f>
        <v>#N/A</v>
      </c>
      <c r="BI16" s="662"/>
      <c r="BJ16" s="265"/>
    </row>
    <row r="17" spans="1:62" ht="14.25" customHeight="1">
      <c r="A17" s="134" t="str">
        <f t="shared" si="3"/>
        <v/>
      </c>
      <c r="B17" s="160" t="str">
        <f>名簿!P14</f>
        <v/>
      </c>
      <c r="C17" s="160"/>
      <c r="D17" s="793"/>
      <c r="E17" s="180">
        <f>名簿!E14</f>
        <v>0</v>
      </c>
      <c r="F17" s="560" t="str">
        <f>名簿!CM14</f>
        <v/>
      </c>
      <c r="G17" s="160" t="str">
        <f>名簿!Z14</f>
        <v/>
      </c>
      <c r="H17" s="1302" t="str">
        <f>名簿!CM14</f>
        <v/>
      </c>
      <c r="I17" s="185" t="str">
        <f>名簿!Y14</f>
        <v/>
      </c>
      <c r="J17" s="1303" t="str">
        <f>名簿!CN14</f>
        <v/>
      </c>
      <c r="K17" s="1304">
        <f>名簿!CP14</f>
        <v>0</v>
      </c>
      <c r="L17" s="1305" t="str">
        <f>名簿!CU14</f>
        <v>00</v>
      </c>
      <c r="M17" s="160" t="str">
        <f>名簿!Q14</f>
        <v/>
      </c>
      <c r="N17" s="1312">
        <f>名簿!D14</f>
        <v>0</v>
      </c>
      <c r="O17" s="1295"/>
      <c r="P17" s="258" t="str">
        <f>IF(O17="","",IF(I17=1,VLOOKUP(O17,男子種目コード!$A$1:$B$33,2,FALSE),IF(I17=2,VLOOKUP(O17,女子種目コード!$A$1:$B$28,2,FALSE))))</f>
        <v/>
      </c>
      <c r="Q17" s="494" t="str">
        <f>IF(O17="","",HLOOKUP(O17,名簿!$AH$3:$CH$118,12,FALSE))</f>
        <v/>
      </c>
      <c r="R17" s="624" t="str">
        <f t="shared" si="4"/>
        <v/>
      </c>
      <c r="S17" s="625" t="str">
        <f t="shared" si="5"/>
        <v/>
      </c>
      <c r="T17" s="303"/>
      <c r="U17" s="258" t="str">
        <f>IF(T17="","",IF(I17=1,VLOOKUP(T17,男子種目コード!$A$1:$B$33,2,FALSE),IF(I17=2,VLOOKUP(T17,女子種目コード!$A$1:$B$28,2,FALSE))))</f>
        <v/>
      </c>
      <c r="V17" s="494" t="str">
        <f>IF(T17="","",HLOOKUP(T17,名簿!$AH$3:$CH$118,12,FALSE))</f>
        <v/>
      </c>
      <c r="W17" s="624" t="str">
        <f t="shared" si="6"/>
        <v/>
      </c>
      <c r="X17" s="625" t="str">
        <f t="shared" si="7"/>
        <v/>
      </c>
      <c r="Y17" s="816"/>
      <c r="Z17" s="812" t="str">
        <f>IF(Y17="","",IF(I17=1,VLOOKUP(Y17,男子種目コード!$A$1:$B$33,2,FALSE),IF(I17=2,VLOOKUP(Y17,女子種目コード!$A$1:$B$27,2,FALSE))))</f>
        <v/>
      </c>
      <c r="AA17" s="304"/>
      <c r="AB17" s="303"/>
      <c r="AC17" s="517"/>
      <c r="AD17" s="518"/>
      <c r="AE17" s="624" t="str">
        <f t="shared" si="8"/>
        <v/>
      </c>
      <c r="AF17" s="625" t="str">
        <f t="shared" si="9"/>
        <v/>
      </c>
      <c r="AG17" s="519"/>
      <c r="AH17" s="520"/>
      <c r="AI17" s="521"/>
      <c r="AJ17" s="20"/>
      <c r="AK17" s="20"/>
      <c r="AM17" s="67" t="s">
        <v>255</v>
      </c>
      <c r="AN17" s="134" t="str">
        <f t="shared" si="0"/>
        <v/>
      </c>
      <c r="AO17" s="134" t="str">
        <f t="shared" si="1"/>
        <v/>
      </c>
      <c r="AQ17" s="134"/>
      <c r="AR17" s="134"/>
      <c r="AS17" s="181">
        <f t="shared" si="2"/>
        <v>0</v>
      </c>
      <c r="AT17" s="194" t="s">
        <v>264</v>
      </c>
      <c r="AU17" s="193">
        <f>COUNTIF($P$7:$P$116,9)+COUNTIF($U$7:$U$116,9)</f>
        <v>0</v>
      </c>
      <c r="AV17" s="289"/>
      <c r="AW17" s="289"/>
      <c r="AX17" s="246"/>
      <c r="AY17" s="300" t="s">
        <v>16</v>
      </c>
      <c r="AZ17" s="300" t="s">
        <v>16</v>
      </c>
      <c r="BA17" s="265"/>
      <c r="BB17" s="265"/>
      <c r="BC17" s="265"/>
      <c r="BD17" s="265"/>
      <c r="BE17" s="803" t="str">
        <f t="shared" ca="1" si="11"/>
        <v/>
      </c>
      <c r="BF17" s="804" t="str">
        <f t="shared" ca="1" si="11"/>
        <v/>
      </c>
      <c r="BG17" s="333" t="e">
        <f ca="1">VLookUpX(53,$A$7:$F$116,2,5)</f>
        <v>#N/A</v>
      </c>
      <c r="BH17" s="333" t="e">
        <f ca="1">VLookUpX(53,$A$7:$F$116,2,6)</f>
        <v>#N/A</v>
      </c>
      <c r="BI17" s="662"/>
      <c r="BJ17" s="265"/>
    </row>
    <row r="18" spans="1:62" ht="14.25" customHeight="1">
      <c r="A18" s="134" t="str">
        <f t="shared" si="3"/>
        <v/>
      </c>
      <c r="B18" s="160" t="str">
        <f>名簿!P15</f>
        <v/>
      </c>
      <c r="C18" s="160"/>
      <c r="D18" s="793"/>
      <c r="E18" s="180">
        <f>名簿!E15</f>
        <v>0</v>
      </c>
      <c r="F18" s="560" t="str">
        <f>名簿!CM15</f>
        <v/>
      </c>
      <c r="G18" s="160" t="str">
        <f>名簿!Z15</f>
        <v/>
      </c>
      <c r="H18" s="1302" t="str">
        <f>名簿!CM15</f>
        <v/>
      </c>
      <c r="I18" s="185" t="str">
        <f>名簿!Y15</f>
        <v/>
      </c>
      <c r="J18" s="1303" t="str">
        <f>名簿!CN15</f>
        <v/>
      </c>
      <c r="K18" s="1304">
        <f>名簿!CP15</f>
        <v>0</v>
      </c>
      <c r="L18" s="1305" t="str">
        <f>名簿!CU15</f>
        <v>00</v>
      </c>
      <c r="M18" s="160" t="str">
        <f>名簿!Q15</f>
        <v/>
      </c>
      <c r="N18" s="1312">
        <f>名簿!D15</f>
        <v>0</v>
      </c>
      <c r="O18" s="1295"/>
      <c r="P18" s="258" t="str">
        <f>IF(O18="","",IF(I18=1,VLOOKUP(O18,男子種目コード!$A$1:$B$33,2,FALSE),IF(I18=2,VLOOKUP(O18,女子種目コード!$A$1:$B$28,2,FALSE))))</f>
        <v/>
      </c>
      <c r="Q18" s="494" t="str">
        <f>IF(O18="","",HLOOKUP(O18,名簿!$AH$3:$CH$118,13,FALSE))</f>
        <v/>
      </c>
      <c r="R18" s="624" t="str">
        <f t="shared" si="4"/>
        <v/>
      </c>
      <c r="S18" s="625" t="str">
        <f t="shared" si="5"/>
        <v/>
      </c>
      <c r="T18" s="303"/>
      <c r="U18" s="258" t="str">
        <f>IF(T18="","",IF(I18=1,VLOOKUP(T18,男子種目コード!$A$1:$B$33,2,FALSE),IF(I18=2,VLOOKUP(T18,女子種目コード!$A$1:$B$28,2,FALSE))))</f>
        <v/>
      </c>
      <c r="V18" s="494" t="str">
        <f>IF(T18="","",HLOOKUP(T18,名簿!$AH$3:$CH$118,13,FALSE))</f>
        <v/>
      </c>
      <c r="W18" s="624" t="str">
        <f t="shared" si="6"/>
        <v/>
      </c>
      <c r="X18" s="625" t="str">
        <f t="shared" si="7"/>
        <v/>
      </c>
      <c r="Y18" s="816"/>
      <c r="Z18" s="812" t="str">
        <f>IF(Y18="","",IF(I18=1,VLOOKUP(Y18,男子種目コード!$A$1:$B$33,2,FALSE),IF(I18=2,VLOOKUP(Y18,女子種目コード!$A$1:$B$27,2,FALSE))))</f>
        <v/>
      </c>
      <c r="AA18" s="304"/>
      <c r="AB18" s="303"/>
      <c r="AC18" s="517"/>
      <c r="AD18" s="518"/>
      <c r="AE18" s="624" t="str">
        <f t="shared" si="8"/>
        <v/>
      </c>
      <c r="AF18" s="625" t="str">
        <f t="shared" si="9"/>
        <v/>
      </c>
      <c r="AG18" s="519"/>
      <c r="AH18" s="520"/>
      <c r="AI18" s="521"/>
      <c r="AJ18" s="20"/>
      <c r="AK18" s="20"/>
      <c r="AM18" s="67" t="s">
        <v>16</v>
      </c>
      <c r="AN18" s="134" t="str">
        <f t="shared" si="0"/>
        <v/>
      </c>
      <c r="AO18" s="134" t="str">
        <f t="shared" si="1"/>
        <v/>
      </c>
      <c r="AQ18" s="134"/>
      <c r="AR18" s="134"/>
      <c r="AS18" s="181">
        <f t="shared" si="2"/>
        <v>0</v>
      </c>
      <c r="AT18" s="194" t="s">
        <v>265</v>
      </c>
      <c r="AU18" s="193">
        <f>COUNTIF($P$7:$P$116,10)+COUNTIF($U$7:$U$116,10)</f>
        <v>0</v>
      </c>
      <c r="AV18" s="289"/>
      <c r="AW18" s="289"/>
      <c r="AX18" s="246"/>
      <c r="AY18" s="300" t="s">
        <v>20</v>
      </c>
      <c r="AZ18" s="300" t="s">
        <v>20</v>
      </c>
      <c r="BA18" s="265"/>
      <c r="BB18" s="265"/>
      <c r="BC18" s="265"/>
      <c r="BD18" s="265"/>
      <c r="BE18" s="803" t="str">
        <f t="shared" ca="1" si="11"/>
        <v/>
      </c>
      <c r="BF18" s="804" t="str">
        <f t="shared" ca="1" si="11"/>
        <v/>
      </c>
      <c r="BG18" s="333" t="e">
        <f ca="1">VLookUpX(53,$A$7:$F$116,3,5)</f>
        <v>#N/A</v>
      </c>
      <c r="BH18" s="333" t="e">
        <f ca="1">VLookUpX(53,$A$7:$F$116,3,6)</f>
        <v>#N/A</v>
      </c>
      <c r="BI18" s="662"/>
      <c r="BJ18" s="265"/>
    </row>
    <row r="19" spans="1:62" ht="14.25" customHeight="1">
      <c r="A19" s="134" t="str">
        <f t="shared" si="3"/>
        <v/>
      </c>
      <c r="B19" s="160" t="str">
        <f>名簿!P16</f>
        <v/>
      </c>
      <c r="C19" s="160"/>
      <c r="D19" s="793"/>
      <c r="E19" s="180">
        <f>名簿!E16</f>
        <v>0</v>
      </c>
      <c r="F19" s="560" t="str">
        <f>名簿!CM16</f>
        <v/>
      </c>
      <c r="G19" s="160" t="str">
        <f>名簿!Z16</f>
        <v/>
      </c>
      <c r="H19" s="1302" t="str">
        <f>名簿!CM16</f>
        <v/>
      </c>
      <c r="I19" s="185" t="str">
        <f>名簿!Y16</f>
        <v/>
      </c>
      <c r="J19" s="1303" t="str">
        <f>名簿!CN16</f>
        <v/>
      </c>
      <c r="K19" s="1304">
        <f>名簿!CP16</f>
        <v>0</v>
      </c>
      <c r="L19" s="1305" t="str">
        <f>名簿!CU16</f>
        <v>00</v>
      </c>
      <c r="M19" s="160" t="str">
        <f>名簿!Q16</f>
        <v/>
      </c>
      <c r="N19" s="1312">
        <f>名簿!D16</f>
        <v>0</v>
      </c>
      <c r="O19" s="1295"/>
      <c r="P19" s="258" t="str">
        <f>IF(O19="","",IF(I19=1,VLOOKUP(O19,男子種目コード!$A$1:$B$33,2,FALSE),IF(I19=2,VLOOKUP(O19,女子種目コード!$A$1:$B$28,2,FALSE))))</f>
        <v/>
      </c>
      <c r="Q19" s="494" t="str">
        <f>IF(O19="","",HLOOKUP(O19,名簿!$AH$3:$CH$118,14,FALSE))</f>
        <v/>
      </c>
      <c r="R19" s="624" t="str">
        <f t="shared" si="4"/>
        <v/>
      </c>
      <c r="S19" s="625" t="str">
        <f t="shared" si="5"/>
        <v/>
      </c>
      <c r="T19" s="303"/>
      <c r="U19" s="258" t="str">
        <f>IF(T19="","",IF(I19=1,VLOOKUP(T19,男子種目コード!$A$1:$B$33,2,FALSE),IF(I19=2,VLOOKUP(T19,女子種目コード!$A$1:$B$28,2,FALSE))))</f>
        <v/>
      </c>
      <c r="V19" s="494" t="str">
        <f>IF(T19="","",HLOOKUP(T19,名簿!$AH$3:$CH$118,14,FALSE))</f>
        <v/>
      </c>
      <c r="W19" s="624" t="str">
        <f t="shared" si="6"/>
        <v/>
      </c>
      <c r="X19" s="625" t="str">
        <f t="shared" si="7"/>
        <v/>
      </c>
      <c r="Y19" s="816"/>
      <c r="Z19" s="812" t="str">
        <f>IF(Y19="","",IF(I19=1,VLOOKUP(Y19,男子種目コード!$A$1:$B$33,2,FALSE),IF(I19=2,VLOOKUP(Y19,女子種目コード!$A$1:$B$27,2,FALSE))))</f>
        <v/>
      </c>
      <c r="AA19" s="304"/>
      <c r="AB19" s="303"/>
      <c r="AC19" s="517"/>
      <c r="AD19" s="518"/>
      <c r="AE19" s="624" t="str">
        <f t="shared" si="8"/>
        <v/>
      </c>
      <c r="AF19" s="625" t="str">
        <f t="shared" si="9"/>
        <v/>
      </c>
      <c r="AG19" s="519"/>
      <c r="AH19" s="520"/>
      <c r="AI19" s="521"/>
      <c r="AJ19" s="20"/>
      <c r="AK19" s="20"/>
      <c r="AM19" s="67" t="s">
        <v>20</v>
      </c>
      <c r="AN19" s="134" t="str">
        <f t="shared" si="0"/>
        <v/>
      </c>
      <c r="AO19" s="134" t="str">
        <f t="shared" si="1"/>
        <v/>
      </c>
      <c r="AQ19" s="134"/>
      <c r="AR19" s="134"/>
      <c r="AS19" s="181">
        <f t="shared" si="2"/>
        <v>0</v>
      </c>
      <c r="AT19" s="194" t="s">
        <v>266</v>
      </c>
      <c r="AU19" s="193">
        <f>COUNTIF($P$7:$P$116,12)+COUNTIF($U$7:$U$116,12)</f>
        <v>0</v>
      </c>
      <c r="AV19" s="289"/>
      <c r="AW19" s="289"/>
      <c r="AX19" s="246"/>
      <c r="AY19" s="300" t="s">
        <v>19</v>
      </c>
      <c r="AZ19" s="300" t="s">
        <v>19</v>
      </c>
      <c r="BA19" s="265"/>
      <c r="BB19" s="265"/>
      <c r="BC19" s="265"/>
      <c r="BD19" s="265"/>
      <c r="BE19" s="803" t="str">
        <f t="shared" ca="1" si="11"/>
        <v/>
      </c>
      <c r="BF19" s="804" t="str">
        <f t="shared" ca="1" si="11"/>
        <v/>
      </c>
      <c r="BG19" s="333" t="e">
        <f ca="1">VLookUpX(53,$A$7:$F$116,4,5)</f>
        <v>#N/A</v>
      </c>
      <c r="BH19" s="333" t="e">
        <f ca="1">VLookUpX(53,$A$7:$F$116,4,6)</f>
        <v>#N/A</v>
      </c>
      <c r="BI19" s="662"/>
      <c r="BJ19" s="265"/>
    </row>
    <row r="20" spans="1:62" ht="14.25" customHeight="1">
      <c r="A20" s="134" t="str">
        <f t="shared" si="3"/>
        <v/>
      </c>
      <c r="B20" s="160" t="str">
        <f>名簿!P17</f>
        <v/>
      </c>
      <c r="C20" s="160"/>
      <c r="D20" s="793"/>
      <c r="E20" s="180">
        <f>名簿!E17</f>
        <v>0</v>
      </c>
      <c r="F20" s="560" t="str">
        <f>名簿!CM17</f>
        <v/>
      </c>
      <c r="G20" s="160" t="str">
        <f>名簿!Z17</f>
        <v/>
      </c>
      <c r="H20" s="1302" t="str">
        <f>名簿!CM17</f>
        <v/>
      </c>
      <c r="I20" s="185" t="str">
        <f>名簿!Y17</f>
        <v/>
      </c>
      <c r="J20" s="1303" t="str">
        <f>名簿!CN17</f>
        <v/>
      </c>
      <c r="K20" s="1304">
        <f>名簿!CP17</f>
        <v>0</v>
      </c>
      <c r="L20" s="1305" t="str">
        <f>名簿!CU17</f>
        <v>00</v>
      </c>
      <c r="M20" s="160" t="str">
        <f>名簿!Q17</f>
        <v/>
      </c>
      <c r="N20" s="1312">
        <f>名簿!D17</f>
        <v>0</v>
      </c>
      <c r="O20" s="1295"/>
      <c r="P20" s="258" t="str">
        <f>IF(O20="","",IF(I20=1,VLOOKUP(O20,男子種目コード!$A$1:$B$33,2,FALSE),IF(I20=2,VLOOKUP(O20,女子種目コード!$A$1:$B$28,2,FALSE))))</f>
        <v/>
      </c>
      <c r="Q20" s="494" t="str">
        <f>IF(O20="","",HLOOKUP(O20,名簿!$AH$3:$CH$118,15,FALSE))</f>
        <v/>
      </c>
      <c r="R20" s="624" t="str">
        <f t="shared" si="4"/>
        <v/>
      </c>
      <c r="S20" s="625" t="str">
        <f t="shared" si="5"/>
        <v/>
      </c>
      <c r="T20" s="303"/>
      <c r="U20" s="258" t="str">
        <f>IF(T20="","",IF(I20=1,VLOOKUP(T20,男子種目コード!$A$1:$B$33,2,FALSE),IF(I20=2,VLOOKUP(T20,女子種目コード!$A$1:$B$28,2,FALSE))))</f>
        <v/>
      </c>
      <c r="V20" s="494" t="str">
        <f>IF(T20="","",HLOOKUP(T20,名簿!$AH$3:$CH$118,15,FALSE))</f>
        <v/>
      </c>
      <c r="W20" s="624" t="str">
        <f t="shared" si="6"/>
        <v/>
      </c>
      <c r="X20" s="625" t="str">
        <f t="shared" si="7"/>
        <v/>
      </c>
      <c r="Y20" s="816"/>
      <c r="Z20" s="812" t="str">
        <f>IF(Y20="","",IF(I20=1,VLOOKUP(Y20,男子種目コード!$A$1:$B$33,2,FALSE),IF(I20=2,VLOOKUP(Y20,女子種目コード!$A$1:$B$27,2,FALSE))))</f>
        <v/>
      </c>
      <c r="AA20" s="304"/>
      <c r="AB20" s="303"/>
      <c r="AC20" s="517"/>
      <c r="AD20" s="518"/>
      <c r="AE20" s="624" t="str">
        <f t="shared" si="8"/>
        <v/>
      </c>
      <c r="AF20" s="625" t="str">
        <f t="shared" si="9"/>
        <v/>
      </c>
      <c r="AG20" s="519"/>
      <c r="AH20" s="520"/>
      <c r="AI20" s="521"/>
      <c r="AJ20" s="20"/>
      <c r="AK20" s="20"/>
      <c r="AM20" s="67" t="s">
        <v>19</v>
      </c>
      <c r="AN20" s="134" t="str">
        <f t="shared" si="0"/>
        <v/>
      </c>
      <c r="AO20" s="134" t="str">
        <f t="shared" si="1"/>
        <v/>
      </c>
      <c r="AQ20" s="134"/>
      <c r="AR20" s="134"/>
      <c r="AS20" s="181">
        <f t="shared" si="2"/>
        <v>0</v>
      </c>
      <c r="AT20" s="194" t="s">
        <v>16</v>
      </c>
      <c r="AU20" s="193">
        <f>COUNTIF($P$7:$P$116,15)+COUNTIF($U$7:$U$116,15)</f>
        <v>0</v>
      </c>
      <c r="AV20" s="289"/>
      <c r="AW20" s="289"/>
      <c r="AX20" s="246"/>
      <c r="AY20" s="300" t="s">
        <v>23</v>
      </c>
      <c r="AZ20" s="300" t="s">
        <v>23</v>
      </c>
      <c r="BA20" s="265"/>
      <c r="BB20" s="265"/>
      <c r="BC20" s="265"/>
      <c r="BD20" s="265"/>
      <c r="BE20" s="803" t="str">
        <f t="shared" ca="1" si="11"/>
        <v/>
      </c>
      <c r="BF20" s="804" t="str">
        <f t="shared" ca="1" si="11"/>
        <v/>
      </c>
      <c r="BG20" s="333" t="e">
        <f ca="1">VLookUpX(53,$A$7:$F$116,5,5)</f>
        <v>#N/A</v>
      </c>
      <c r="BH20" s="333" t="e">
        <f ca="1">VLookUpX(53,$A$7:$F$116,5,6)</f>
        <v>#N/A</v>
      </c>
      <c r="BI20" s="662"/>
      <c r="BJ20" s="265"/>
    </row>
    <row r="21" spans="1:62" ht="14.25" customHeight="1" thickBot="1">
      <c r="A21" s="134" t="str">
        <f t="shared" si="3"/>
        <v/>
      </c>
      <c r="B21" s="160" t="str">
        <f>名簿!P18</f>
        <v/>
      </c>
      <c r="C21" s="160"/>
      <c r="D21" s="793"/>
      <c r="E21" s="180">
        <f>名簿!E18</f>
        <v>0</v>
      </c>
      <c r="F21" s="560" t="str">
        <f>名簿!CM18</f>
        <v/>
      </c>
      <c r="G21" s="160" t="str">
        <f>名簿!Z18</f>
        <v/>
      </c>
      <c r="H21" s="1302" t="str">
        <f>名簿!CM18</f>
        <v/>
      </c>
      <c r="I21" s="185" t="str">
        <f>名簿!Y18</f>
        <v/>
      </c>
      <c r="J21" s="1303" t="str">
        <f>名簿!CN18</f>
        <v/>
      </c>
      <c r="K21" s="1304">
        <f>名簿!CP18</f>
        <v>0</v>
      </c>
      <c r="L21" s="1305" t="str">
        <f>名簿!CU18</f>
        <v>00</v>
      </c>
      <c r="M21" s="160" t="str">
        <f>名簿!Q18</f>
        <v/>
      </c>
      <c r="N21" s="1312">
        <f>名簿!D18</f>
        <v>0</v>
      </c>
      <c r="O21" s="1295"/>
      <c r="P21" s="258" t="str">
        <f>IF(O21="","",IF(I21=1,VLOOKUP(O21,男子種目コード!$A$1:$B$33,2,FALSE),IF(I21=2,VLOOKUP(O21,女子種目コード!$A$1:$B$28,2,FALSE))))</f>
        <v/>
      </c>
      <c r="Q21" s="494" t="str">
        <f>IF(O21="","",HLOOKUP(O21,名簿!$AH$3:$CH$118,16,FALSE))</f>
        <v/>
      </c>
      <c r="R21" s="624" t="str">
        <f t="shared" si="4"/>
        <v/>
      </c>
      <c r="S21" s="625" t="str">
        <f t="shared" si="5"/>
        <v/>
      </c>
      <c r="T21" s="303"/>
      <c r="U21" s="258" t="str">
        <f>IF(T21="","",IF(I21=1,VLOOKUP(T21,男子種目コード!$A$1:$B$33,2,FALSE),IF(I21=2,VLOOKUP(T21,女子種目コード!$A$1:$B$28,2,FALSE))))</f>
        <v/>
      </c>
      <c r="V21" s="494" t="str">
        <f>IF(T21="","",HLOOKUP(T21,名簿!$AH$3:$CH$118,16,FALSE))</f>
        <v/>
      </c>
      <c r="W21" s="624" t="str">
        <f t="shared" si="6"/>
        <v/>
      </c>
      <c r="X21" s="625" t="str">
        <f t="shared" si="7"/>
        <v/>
      </c>
      <c r="Y21" s="816"/>
      <c r="Z21" s="812" t="str">
        <f>IF(Y21="","",IF(I21=1,VLOOKUP(Y21,男子種目コード!$A$1:$B$33,2,FALSE),IF(I21=2,VLOOKUP(Y21,女子種目コード!$A$1:$B$27,2,FALSE))))</f>
        <v/>
      </c>
      <c r="AA21" s="304"/>
      <c r="AB21" s="303"/>
      <c r="AC21" s="517"/>
      <c r="AD21" s="518"/>
      <c r="AE21" s="624" t="str">
        <f t="shared" si="8"/>
        <v/>
      </c>
      <c r="AF21" s="625" t="str">
        <f t="shared" si="9"/>
        <v/>
      </c>
      <c r="AG21" s="519"/>
      <c r="AH21" s="520"/>
      <c r="AI21" s="521"/>
      <c r="AJ21" s="20"/>
      <c r="AK21" s="20"/>
      <c r="AM21" s="67" t="s">
        <v>23</v>
      </c>
      <c r="AN21" s="134" t="str">
        <f t="shared" si="0"/>
        <v/>
      </c>
      <c r="AO21" s="134" t="str">
        <f t="shared" si="1"/>
        <v/>
      </c>
      <c r="AQ21" s="134"/>
      <c r="AR21" s="134"/>
      <c r="AS21" s="181">
        <f t="shared" si="2"/>
        <v>0</v>
      </c>
      <c r="AT21" s="194" t="s">
        <v>20</v>
      </c>
      <c r="AU21" s="193">
        <f>COUNTIF($P$7:$P$116,16)+COUNTIF($U$7:$U$116,16)</f>
        <v>0</v>
      </c>
      <c r="AV21" s="289"/>
      <c r="AW21" s="289"/>
      <c r="AX21" s="246"/>
      <c r="AY21" s="300" t="s">
        <v>24</v>
      </c>
      <c r="AZ21" s="300" t="s">
        <v>24</v>
      </c>
      <c r="BA21" s="265"/>
      <c r="BB21" s="265"/>
      <c r="BC21" s="265"/>
      <c r="BD21" s="265"/>
      <c r="BE21" s="805" t="str">
        <f t="shared" ca="1" si="11"/>
        <v/>
      </c>
      <c r="BF21" s="806" t="str">
        <f t="shared" ca="1" si="11"/>
        <v/>
      </c>
      <c r="BG21" s="333" t="e">
        <f ca="1">VLookUpX(53,$A$7:$F$116,6,5)</f>
        <v>#N/A</v>
      </c>
      <c r="BH21" s="333" t="e">
        <f ca="1">VLookUpX(53,$A$7:$F$116,6,6)</f>
        <v>#N/A</v>
      </c>
      <c r="BI21" s="662"/>
      <c r="BJ21" s="265"/>
    </row>
    <row r="22" spans="1:62" ht="14.25" customHeight="1">
      <c r="A22" s="134" t="str">
        <f t="shared" si="3"/>
        <v/>
      </c>
      <c r="B22" s="160" t="str">
        <f>名簿!P19</f>
        <v/>
      </c>
      <c r="C22" s="160"/>
      <c r="D22" s="793"/>
      <c r="E22" s="180">
        <f>名簿!E19</f>
        <v>0</v>
      </c>
      <c r="F22" s="560" t="str">
        <f>名簿!CM19</f>
        <v/>
      </c>
      <c r="G22" s="160" t="str">
        <f>名簿!Z19</f>
        <v/>
      </c>
      <c r="H22" s="1302" t="str">
        <f>名簿!CM19</f>
        <v/>
      </c>
      <c r="I22" s="185" t="str">
        <f>名簿!Y19</f>
        <v/>
      </c>
      <c r="J22" s="1303" t="str">
        <f>名簿!CN19</f>
        <v/>
      </c>
      <c r="K22" s="1304">
        <f>名簿!CP19</f>
        <v>0</v>
      </c>
      <c r="L22" s="1305" t="str">
        <f>名簿!CU19</f>
        <v>00</v>
      </c>
      <c r="M22" s="160" t="str">
        <f>名簿!Q19</f>
        <v/>
      </c>
      <c r="N22" s="1312">
        <f>名簿!D19</f>
        <v>0</v>
      </c>
      <c r="O22" s="1295"/>
      <c r="P22" s="258" t="str">
        <f>IF(O22="","",IF(I22=1,VLOOKUP(O22,男子種目コード!$A$1:$B$33,2,FALSE),IF(I22=2,VLOOKUP(O22,女子種目コード!$A$1:$B$28,2,FALSE))))</f>
        <v/>
      </c>
      <c r="Q22" s="494" t="str">
        <f>IF(O22="","",HLOOKUP(O22,名簿!$AH$3:$CH$118,17,FALSE))</f>
        <v/>
      </c>
      <c r="R22" s="624" t="str">
        <f t="shared" si="4"/>
        <v/>
      </c>
      <c r="S22" s="625" t="str">
        <f t="shared" si="5"/>
        <v/>
      </c>
      <c r="T22" s="303"/>
      <c r="U22" s="258" t="str">
        <f>IF(T22="","",IF(I22=1,VLOOKUP(T22,男子種目コード!$A$1:$B$33,2,FALSE),IF(I22=2,VLOOKUP(T22,女子種目コード!$A$1:$B$28,2,FALSE))))</f>
        <v/>
      </c>
      <c r="V22" s="494" t="str">
        <f>IF(T22="","",HLOOKUP(T22,名簿!$AH$3:$CH$118,17,FALSE))</f>
        <v/>
      </c>
      <c r="W22" s="624" t="str">
        <f t="shared" si="6"/>
        <v/>
      </c>
      <c r="X22" s="625" t="str">
        <f t="shared" si="7"/>
        <v/>
      </c>
      <c r="Y22" s="816"/>
      <c r="Z22" s="812" t="str">
        <f>IF(Y22="","",IF(I22=1,VLOOKUP(Y22,男子種目コード!$A$1:$B$33,2,FALSE),IF(I22=2,VLOOKUP(Y22,女子種目コード!$A$1:$B$27,2,FALSE))))</f>
        <v/>
      </c>
      <c r="AA22" s="304"/>
      <c r="AB22" s="303"/>
      <c r="AC22" s="517"/>
      <c r="AD22" s="518"/>
      <c r="AE22" s="624" t="str">
        <f t="shared" si="8"/>
        <v/>
      </c>
      <c r="AF22" s="625" t="str">
        <f t="shared" si="9"/>
        <v/>
      </c>
      <c r="AG22" s="519"/>
      <c r="AH22" s="520"/>
      <c r="AI22" s="521"/>
      <c r="AJ22" s="20"/>
      <c r="AK22" s="20"/>
      <c r="AM22" s="67" t="s">
        <v>24</v>
      </c>
      <c r="AN22" s="134" t="str">
        <f t="shared" si="0"/>
        <v/>
      </c>
      <c r="AO22" s="134" t="str">
        <f t="shared" si="1"/>
        <v/>
      </c>
      <c r="AQ22" s="134"/>
      <c r="AR22" s="134"/>
      <c r="AS22" s="181">
        <f t="shared" si="2"/>
        <v>0</v>
      </c>
      <c r="AT22" s="194" t="s">
        <v>19</v>
      </c>
      <c r="AU22" s="193">
        <f>COUNTIF($P$7:$P$116,17)+COUNTIF($U$7:$U$116,17)</f>
        <v>0</v>
      </c>
      <c r="AV22" s="289"/>
      <c r="AW22" s="289"/>
      <c r="AX22" s="246"/>
      <c r="AY22" s="300" t="s">
        <v>22</v>
      </c>
      <c r="AZ22" s="300" t="s">
        <v>22</v>
      </c>
      <c r="BA22" s="265"/>
      <c r="BB22" s="265"/>
      <c r="BC22" s="265"/>
      <c r="BD22" s="265"/>
      <c r="BE22" s="265"/>
      <c r="BF22" s="265"/>
      <c r="BG22" s="265"/>
      <c r="BH22" s="265"/>
      <c r="BI22" s="265"/>
      <c r="BJ22" s="265"/>
    </row>
    <row r="23" spans="1:62" ht="14.25" customHeight="1">
      <c r="A23" s="134" t="str">
        <f t="shared" si="3"/>
        <v/>
      </c>
      <c r="B23" s="160" t="str">
        <f>名簿!P20</f>
        <v/>
      </c>
      <c r="C23" s="160"/>
      <c r="D23" s="793"/>
      <c r="E23" s="180">
        <f>名簿!E20</f>
        <v>0</v>
      </c>
      <c r="F23" s="560" t="str">
        <f>名簿!CM20</f>
        <v/>
      </c>
      <c r="G23" s="160" t="str">
        <f>名簿!Z20</f>
        <v/>
      </c>
      <c r="H23" s="1302" t="str">
        <f>名簿!CM20</f>
        <v/>
      </c>
      <c r="I23" s="185" t="str">
        <f>名簿!Y20</f>
        <v/>
      </c>
      <c r="J23" s="1303" t="str">
        <f>名簿!CN20</f>
        <v/>
      </c>
      <c r="K23" s="1304">
        <f>名簿!CP20</f>
        <v>0</v>
      </c>
      <c r="L23" s="1305" t="str">
        <f>名簿!CU20</f>
        <v>00</v>
      </c>
      <c r="M23" s="160" t="str">
        <f>名簿!Q20</f>
        <v/>
      </c>
      <c r="N23" s="1312">
        <f>名簿!D20</f>
        <v>0</v>
      </c>
      <c r="O23" s="1295"/>
      <c r="P23" s="258" t="str">
        <f>IF(O23="","",IF(I23=1,VLOOKUP(O23,男子種目コード!$A$1:$B$33,2,FALSE),IF(I23=2,VLOOKUP(O23,女子種目コード!$A$1:$B$28,2,FALSE))))</f>
        <v/>
      </c>
      <c r="Q23" s="494" t="str">
        <f>IF(O23="","",HLOOKUP(O23,名簿!$AH$3:$CH$118,18,FALSE))</f>
        <v/>
      </c>
      <c r="R23" s="624" t="str">
        <f t="shared" si="4"/>
        <v/>
      </c>
      <c r="S23" s="625" t="str">
        <f t="shared" si="5"/>
        <v/>
      </c>
      <c r="T23" s="303"/>
      <c r="U23" s="258" t="str">
        <f>IF(T23="","",IF(I23=1,VLOOKUP(T23,男子種目コード!$A$1:$B$33,2,FALSE),IF(I23=2,VLOOKUP(T23,女子種目コード!$A$1:$B$28,2,FALSE))))</f>
        <v/>
      </c>
      <c r="V23" s="494" t="str">
        <f>IF(T23="","",HLOOKUP(T23,名簿!$AH$3:$CH$118,18,FALSE))</f>
        <v/>
      </c>
      <c r="W23" s="624" t="str">
        <f t="shared" si="6"/>
        <v/>
      </c>
      <c r="X23" s="625" t="str">
        <f t="shared" si="7"/>
        <v/>
      </c>
      <c r="Y23" s="816"/>
      <c r="Z23" s="812" t="str">
        <f>IF(Y23="","",IF(I23=1,VLOOKUP(Y23,男子種目コード!$A$1:$B$33,2,FALSE),IF(I23=2,VLOOKUP(Y23,女子種目コード!$A$1:$B$27,2,FALSE))))</f>
        <v/>
      </c>
      <c r="AA23" s="304"/>
      <c r="AB23" s="303"/>
      <c r="AC23" s="517"/>
      <c r="AD23" s="518"/>
      <c r="AE23" s="624" t="str">
        <f t="shared" si="8"/>
        <v/>
      </c>
      <c r="AF23" s="625" t="str">
        <f t="shared" si="9"/>
        <v/>
      </c>
      <c r="AG23" s="519"/>
      <c r="AH23" s="520"/>
      <c r="AI23" s="521"/>
      <c r="AJ23" s="20"/>
      <c r="AK23" s="20"/>
      <c r="AM23" s="67" t="s">
        <v>22</v>
      </c>
      <c r="AN23" s="134" t="str">
        <f t="shared" si="0"/>
        <v/>
      </c>
      <c r="AO23" s="134" t="str">
        <f t="shared" si="1"/>
        <v/>
      </c>
      <c r="AQ23" s="134"/>
      <c r="AR23" s="134"/>
      <c r="AS23" s="181">
        <f t="shared" si="2"/>
        <v>0</v>
      </c>
      <c r="AT23" s="194" t="s">
        <v>23</v>
      </c>
      <c r="AU23" s="193">
        <f>COUNTIF($P$7:$P$116,18)+COUNTIF($U$7:$U$116,18)</f>
        <v>0</v>
      </c>
      <c r="AV23" s="289"/>
      <c r="AW23" s="289"/>
      <c r="AX23" s="246"/>
      <c r="AY23" s="300" t="s">
        <v>96</v>
      </c>
      <c r="AZ23" s="300" t="s">
        <v>96</v>
      </c>
      <c r="BA23" s="265"/>
      <c r="BB23" s="265"/>
      <c r="BC23" s="265"/>
      <c r="BD23" s="265"/>
      <c r="BE23" s="265"/>
      <c r="BF23" s="265"/>
      <c r="BG23" s="265"/>
      <c r="BH23" s="265"/>
      <c r="BI23" s="265"/>
      <c r="BJ23" s="265"/>
    </row>
    <row r="24" spans="1:62" ht="14.25" customHeight="1">
      <c r="A24" s="134" t="str">
        <f t="shared" si="3"/>
        <v/>
      </c>
      <c r="B24" s="160" t="str">
        <f>名簿!P21</f>
        <v/>
      </c>
      <c r="C24" s="160"/>
      <c r="D24" s="793"/>
      <c r="E24" s="180">
        <f>名簿!E21</f>
        <v>0</v>
      </c>
      <c r="F24" s="560" t="str">
        <f>名簿!CM21</f>
        <v/>
      </c>
      <c r="G24" s="160" t="str">
        <f>名簿!Z21</f>
        <v/>
      </c>
      <c r="H24" s="1302" t="str">
        <f>名簿!CM21</f>
        <v/>
      </c>
      <c r="I24" s="185" t="str">
        <f>名簿!Y21</f>
        <v/>
      </c>
      <c r="J24" s="1303" t="str">
        <f>名簿!CN21</f>
        <v/>
      </c>
      <c r="K24" s="1304">
        <f>名簿!CP21</f>
        <v>0</v>
      </c>
      <c r="L24" s="1305" t="str">
        <f>名簿!CU21</f>
        <v>00</v>
      </c>
      <c r="M24" s="160" t="str">
        <f>名簿!Q21</f>
        <v/>
      </c>
      <c r="N24" s="1312">
        <f>名簿!D21</f>
        <v>0</v>
      </c>
      <c r="O24" s="1295"/>
      <c r="P24" s="258" t="str">
        <f>IF(O24="","",IF(I24=1,VLOOKUP(O24,男子種目コード!$A$1:$B$33,2,FALSE),IF(I24=2,VLOOKUP(O24,女子種目コード!$A$1:$B$28,2,FALSE))))</f>
        <v/>
      </c>
      <c r="Q24" s="494" t="str">
        <f>IF(O24="","",HLOOKUP(O24,名簿!$AH$3:$CH$118,19,FALSE))</f>
        <v/>
      </c>
      <c r="R24" s="624" t="str">
        <f t="shared" si="4"/>
        <v/>
      </c>
      <c r="S24" s="625" t="str">
        <f t="shared" si="5"/>
        <v/>
      </c>
      <c r="T24" s="303"/>
      <c r="U24" s="258" t="str">
        <f>IF(T24="","",IF(I24=1,VLOOKUP(T24,男子種目コード!$A$1:$B$33,2,FALSE),IF(I24=2,VLOOKUP(T24,女子種目コード!$A$1:$B$28,2,FALSE))))</f>
        <v/>
      </c>
      <c r="V24" s="494" t="str">
        <f>IF(T24="","",HLOOKUP(T24,名簿!$AH$3:$CH$118,19,FALSE))</f>
        <v/>
      </c>
      <c r="W24" s="624" t="str">
        <f t="shared" si="6"/>
        <v/>
      </c>
      <c r="X24" s="625" t="str">
        <f t="shared" si="7"/>
        <v/>
      </c>
      <c r="Y24" s="816"/>
      <c r="Z24" s="812" t="str">
        <f>IF(Y24="","",IF(I24=1,VLOOKUP(Y24,男子種目コード!$A$1:$B$33,2,FALSE),IF(I24=2,VLOOKUP(Y24,女子種目コード!$A$1:$B$27,2,FALSE))))</f>
        <v/>
      </c>
      <c r="AA24" s="304"/>
      <c r="AB24" s="303"/>
      <c r="AC24" s="517"/>
      <c r="AD24" s="518"/>
      <c r="AE24" s="624" t="str">
        <f t="shared" si="8"/>
        <v/>
      </c>
      <c r="AF24" s="625" t="str">
        <f t="shared" si="9"/>
        <v/>
      </c>
      <c r="AG24" s="519"/>
      <c r="AH24" s="520"/>
      <c r="AI24" s="521"/>
      <c r="AJ24" s="20"/>
      <c r="AK24" s="20"/>
      <c r="AM24" s="67" t="s">
        <v>96</v>
      </c>
      <c r="AN24" s="134" t="str">
        <f t="shared" si="0"/>
        <v/>
      </c>
      <c r="AO24" s="134" t="str">
        <f t="shared" si="1"/>
        <v/>
      </c>
      <c r="AQ24" s="134"/>
      <c r="AR24" s="134"/>
      <c r="AS24" s="181">
        <f t="shared" si="2"/>
        <v>0</v>
      </c>
      <c r="AT24" s="194" t="s">
        <v>24</v>
      </c>
      <c r="AU24" s="193">
        <f>COUNTIF($P$7:$P$116,19)+COUNTIF($U$7:$U$116,19)</f>
        <v>0</v>
      </c>
      <c r="AV24" s="289"/>
      <c r="AW24" s="289"/>
      <c r="AX24" s="246"/>
      <c r="AY24" s="300" t="s">
        <v>98</v>
      </c>
      <c r="AZ24" s="300" t="s">
        <v>98</v>
      </c>
      <c r="BA24" s="265"/>
      <c r="BB24" s="265"/>
      <c r="BC24" s="265"/>
      <c r="BD24" s="265"/>
      <c r="BE24" s="265"/>
      <c r="BF24" s="265"/>
      <c r="BG24" s="265"/>
      <c r="BH24" s="265"/>
      <c r="BI24" s="265"/>
      <c r="BJ24" s="265"/>
    </row>
    <row r="25" spans="1:62" ht="14.25" customHeight="1">
      <c r="A25" s="134" t="str">
        <f t="shared" si="3"/>
        <v/>
      </c>
      <c r="B25" s="160" t="str">
        <f>名簿!P22</f>
        <v/>
      </c>
      <c r="C25" s="160"/>
      <c r="D25" s="793"/>
      <c r="E25" s="180">
        <f>名簿!E22</f>
        <v>0</v>
      </c>
      <c r="F25" s="560" t="str">
        <f>名簿!CM22</f>
        <v/>
      </c>
      <c r="G25" s="160" t="str">
        <f>名簿!Z22</f>
        <v/>
      </c>
      <c r="H25" s="1302" t="str">
        <f>名簿!CM22</f>
        <v/>
      </c>
      <c r="I25" s="185" t="str">
        <f>名簿!Y22</f>
        <v/>
      </c>
      <c r="J25" s="1303" t="str">
        <f>名簿!CN22</f>
        <v/>
      </c>
      <c r="K25" s="1304">
        <f>名簿!CP22</f>
        <v>0</v>
      </c>
      <c r="L25" s="1305" t="str">
        <f>名簿!CU22</f>
        <v>00</v>
      </c>
      <c r="M25" s="160" t="str">
        <f>名簿!Q22</f>
        <v/>
      </c>
      <c r="N25" s="1312">
        <f>名簿!D22</f>
        <v>0</v>
      </c>
      <c r="O25" s="1295"/>
      <c r="P25" s="258" t="str">
        <f>IF(O25="","",IF(I25=1,VLOOKUP(O25,男子種目コード!$A$1:$B$33,2,FALSE),IF(I25=2,VLOOKUP(O25,女子種目コード!$A$1:$B$28,2,FALSE))))</f>
        <v/>
      </c>
      <c r="Q25" s="494" t="str">
        <f>IF(O25="","",HLOOKUP(O25,名簿!$AH$3:$CH$118,20,FALSE))</f>
        <v/>
      </c>
      <c r="R25" s="624" t="str">
        <f t="shared" si="4"/>
        <v/>
      </c>
      <c r="S25" s="625" t="str">
        <f t="shared" si="5"/>
        <v/>
      </c>
      <c r="T25" s="303"/>
      <c r="U25" s="258" t="str">
        <f>IF(T25="","",IF(I25=1,VLOOKUP(T25,男子種目コード!$A$1:$B$33,2,FALSE),IF(I25=2,VLOOKUP(T25,女子種目コード!$A$1:$B$28,2,FALSE))))</f>
        <v/>
      </c>
      <c r="V25" s="494" t="str">
        <f>IF(T25="","",HLOOKUP(T25,名簿!$AH$3:$CH$118,20,FALSE))</f>
        <v/>
      </c>
      <c r="W25" s="624" t="str">
        <f t="shared" si="6"/>
        <v/>
      </c>
      <c r="X25" s="625" t="str">
        <f t="shared" si="7"/>
        <v/>
      </c>
      <c r="Y25" s="816"/>
      <c r="Z25" s="812" t="str">
        <f>IF(Y25="","",IF(I25=1,VLOOKUP(Y25,男子種目コード!$A$1:$B$33,2,FALSE),IF(I25=2,VLOOKUP(Y25,女子種目コード!$A$1:$B$27,2,FALSE))))</f>
        <v/>
      </c>
      <c r="AA25" s="304"/>
      <c r="AB25" s="303"/>
      <c r="AC25" s="517"/>
      <c r="AD25" s="518"/>
      <c r="AE25" s="624" t="str">
        <f t="shared" si="8"/>
        <v/>
      </c>
      <c r="AF25" s="625" t="str">
        <f t="shared" si="9"/>
        <v/>
      </c>
      <c r="AG25" s="519"/>
      <c r="AH25" s="520"/>
      <c r="AI25" s="521"/>
      <c r="AJ25" s="20"/>
      <c r="AK25" s="20"/>
      <c r="AM25" s="67" t="s">
        <v>98</v>
      </c>
      <c r="AN25" s="134" t="str">
        <f t="shared" si="0"/>
        <v/>
      </c>
      <c r="AO25" s="134" t="str">
        <f t="shared" si="1"/>
        <v/>
      </c>
      <c r="AQ25" s="134"/>
      <c r="AR25" s="134"/>
      <c r="AS25" s="181">
        <f t="shared" si="2"/>
        <v>0</v>
      </c>
      <c r="AT25" s="194" t="s">
        <v>22</v>
      </c>
      <c r="AU25" s="193">
        <f>COUNTIF($P$7:$P$116,20)+COUNTIF($U$7:$U$116,20)</f>
        <v>0</v>
      </c>
      <c r="AV25" s="289"/>
      <c r="AW25" s="289"/>
      <c r="AX25" s="246"/>
      <c r="AY25" s="300" t="s">
        <v>127</v>
      </c>
      <c r="AZ25" s="300" t="s">
        <v>127</v>
      </c>
      <c r="BA25" s="265"/>
      <c r="BB25" s="265"/>
      <c r="BC25" s="265"/>
      <c r="BD25" s="265"/>
      <c r="BE25" s="265"/>
      <c r="BF25" s="265"/>
      <c r="BG25" s="265"/>
      <c r="BH25" s="265"/>
      <c r="BI25" s="265"/>
      <c r="BJ25" s="265"/>
    </row>
    <row r="26" spans="1:62" ht="14.25" customHeight="1">
      <c r="A26" s="134" t="str">
        <f t="shared" si="3"/>
        <v/>
      </c>
      <c r="B26" s="160" t="str">
        <f>名簿!P23</f>
        <v/>
      </c>
      <c r="C26" s="160"/>
      <c r="D26" s="793"/>
      <c r="E26" s="180">
        <f>名簿!E23</f>
        <v>0</v>
      </c>
      <c r="F26" s="560" t="str">
        <f>名簿!CM23</f>
        <v/>
      </c>
      <c r="G26" s="160" t="str">
        <f>名簿!Z23</f>
        <v/>
      </c>
      <c r="H26" s="1302" t="str">
        <f>名簿!CM23</f>
        <v/>
      </c>
      <c r="I26" s="185" t="str">
        <f>名簿!Y23</f>
        <v/>
      </c>
      <c r="J26" s="1303" t="str">
        <f>名簿!CN23</f>
        <v/>
      </c>
      <c r="K26" s="1304">
        <f>名簿!CP23</f>
        <v>0</v>
      </c>
      <c r="L26" s="1305" t="str">
        <f>名簿!CU23</f>
        <v>00</v>
      </c>
      <c r="M26" s="160" t="str">
        <f>名簿!Q23</f>
        <v/>
      </c>
      <c r="N26" s="1312">
        <f>名簿!D23</f>
        <v>0</v>
      </c>
      <c r="O26" s="1295"/>
      <c r="P26" s="258" t="str">
        <f>IF(O26="","",IF(I26=1,VLOOKUP(O26,男子種目コード!$A$1:$B$33,2,FALSE),IF(I26=2,VLOOKUP(O26,女子種目コード!$A$1:$B$28,2,FALSE))))</f>
        <v/>
      </c>
      <c r="Q26" s="494" t="str">
        <f>IF(O26="","",HLOOKUP(O26,名簿!$AH$3:$CH$118,21,FALSE))</f>
        <v/>
      </c>
      <c r="R26" s="624" t="str">
        <f t="shared" si="4"/>
        <v/>
      </c>
      <c r="S26" s="625" t="str">
        <f t="shared" si="5"/>
        <v/>
      </c>
      <c r="T26" s="303"/>
      <c r="U26" s="258" t="str">
        <f>IF(T26="","",IF(I26=1,VLOOKUP(T26,男子種目コード!$A$1:$B$33,2,FALSE),IF(I26=2,VLOOKUP(T26,女子種目コード!$A$1:$B$28,2,FALSE))))</f>
        <v/>
      </c>
      <c r="V26" s="494" t="str">
        <f>IF(T26="","",HLOOKUP(T26,名簿!$AH$3:$CH$118,21,FALSE))</f>
        <v/>
      </c>
      <c r="W26" s="624" t="str">
        <f t="shared" si="6"/>
        <v/>
      </c>
      <c r="X26" s="625" t="str">
        <f t="shared" si="7"/>
        <v/>
      </c>
      <c r="Y26" s="816"/>
      <c r="Z26" s="812" t="str">
        <f>IF(Y26="","",IF(I26=1,VLOOKUP(Y26,男子種目コード!$A$1:$B$33,2,FALSE),IF(I26=2,VLOOKUP(Y26,女子種目コード!$A$1:$B$27,2,FALSE))))</f>
        <v/>
      </c>
      <c r="AA26" s="304"/>
      <c r="AB26" s="303"/>
      <c r="AC26" s="517"/>
      <c r="AD26" s="518"/>
      <c r="AE26" s="624" t="str">
        <f t="shared" si="8"/>
        <v/>
      </c>
      <c r="AF26" s="625" t="str">
        <f t="shared" si="9"/>
        <v/>
      </c>
      <c r="AG26" s="519"/>
      <c r="AH26" s="520"/>
      <c r="AI26" s="521"/>
      <c r="AJ26" s="20"/>
      <c r="AK26" s="20"/>
      <c r="AM26" s="67" t="s">
        <v>127</v>
      </c>
      <c r="AN26" s="134" t="str">
        <f t="shared" si="0"/>
        <v/>
      </c>
      <c r="AO26" s="134" t="str">
        <f t="shared" si="1"/>
        <v/>
      </c>
      <c r="AQ26" s="134"/>
      <c r="AR26" s="134"/>
      <c r="AS26" s="181">
        <f t="shared" si="2"/>
        <v>0</v>
      </c>
      <c r="AT26" s="194" t="s">
        <v>96</v>
      </c>
      <c r="AU26" s="193">
        <f>COUNTIF($P$7:$P$116,21)+COUNTIF($U$7:$U$116,21)</f>
        <v>0</v>
      </c>
      <c r="AV26" s="289"/>
      <c r="AW26" s="289"/>
      <c r="AX26" s="246"/>
      <c r="AY26" s="300" t="s">
        <v>510</v>
      </c>
      <c r="AZ26" s="300" t="s">
        <v>510</v>
      </c>
      <c r="BA26" s="265"/>
      <c r="BB26" s="265"/>
      <c r="BC26" s="265"/>
      <c r="BD26" s="265"/>
      <c r="BE26" s="265"/>
      <c r="BF26" s="265"/>
      <c r="BG26" s="265"/>
      <c r="BH26" s="265"/>
      <c r="BI26" s="265"/>
      <c r="BJ26" s="265"/>
    </row>
    <row r="27" spans="1:62" ht="14.25" customHeight="1">
      <c r="A27" s="134" t="str">
        <f t="shared" si="3"/>
        <v/>
      </c>
      <c r="B27" s="160" t="str">
        <f>名簿!P24</f>
        <v/>
      </c>
      <c r="C27" s="160"/>
      <c r="D27" s="793"/>
      <c r="E27" s="180">
        <f>名簿!E24</f>
        <v>0</v>
      </c>
      <c r="F27" s="560" t="str">
        <f>名簿!CM24</f>
        <v/>
      </c>
      <c r="G27" s="160" t="str">
        <f>名簿!Z24</f>
        <v/>
      </c>
      <c r="H27" s="1302" t="str">
        <f>名簿!CM24</f>
        <v/>
      </c>
      <c r="I27" s="185" t="str">
        <f>名簿!Y24</f>
        <v/>
      </c>
      <c r="J27" s="1303" t="str">
        <f>名簿!CN24</f>
        <v/>
      </c>
      <c r="K27" s="1304">
        <f>名簿!CP24</f>
        <v>0</v>
      </c>
      <c r="L27" s="1305" t="str">
        <f>名簿!CU24</f>
        <v>00</v>
      </c>
      <c r="M27" s="160" t="str">
        <f>名簿!Q24</f>
        <v/>
      </c>
      <c r="N27" s="1312">
        <f>名簿!D24</f>
        <v>0</v>
      </c>
      <c r="O27" s="1295"/>
      <c r="P27" s="258" t="str">
        <f>IF(O27="","",IF(I27=1,VLOOKUP(O27,男子種目コード!$A$1:$B$33,2,FALSE),IF(I27=2,VLOOKUP(O27,女子種目コード!$A$1:$B$28,2,FALSE))))</f>
        <v/>
      </c>
      <c r="Q27" s="494" t="str">
        <f>IF(O27="","",HLOOKUP(O27,名簿!$AH$3:$CH$118,22,FALSE))</f>
        <v/>
      </c>
      <c r="R27" s="624" t="str">
        <f t="shared" si="4"/>
        <v/>
      </c>
      <c r="S27" s="625" t="str">
        <f t="shared" si="5"/>
        <v/>
      </c>
      <c r="T27" s="303"/>
      <c r="U27" s="258" t="str">
        <f>IF(T27="","",IF(I27=1,VLOOKUP(T27,男子種目コード!$A$1:$B$33,2,FALSE),IF(I27=2,VLOOKUP(T27,女子種目コード!$A$1:$B$28,2,FALSE))))</f>
        <v/>
      </c>
      <c r="V27" s="494" t="str">
        <f>IF(T27="","",HLOOKUP(T27,名簿!$AH$3:$CH$118,22,FALSE))</f>
        <v/>
      </c>
      <c r="W27" s="624" t="str">
        <f t="shared" si="6"/>
        <v/>
      </c>
      <c r="X27" s="625" t="str">
        <f t="shared" si="7"/>
        <v/>
      </c>
      <c r="Y27" s="816"/>
      <c r="Z27" s="812" t="str">
        <f>IF(Y27="","",IF(I27=1,VLOOKUP(Y27,男子種目コード!$A$1:$B$33,2,FALSE),IF(I27=2,VLOOKUP(Y27,女子種目コード!$A$1:$B$27,2,FALSE))))</f>
        <v/>
      </c>
      <c r="AA27" s="304"/>
      <c r="AB27" s="303"/>
      <c r="AC27" s="517"/>
      <c r="AD27" s="518"/>
      <c r="AE27" s="624" t="str">
        <f t="shared" si="8"/>
        <v/>
      </c>
      <c r="AF27" s="625" t="str">
        <f t="shared" si="9"/>
        <v/>
      </c>
      <c r="AG27" s="519"/>
      <c r="AH27" s="520"/>
      <c r="AI27" s="521"/>
      <c r="AJ27" s="20"/>
      <c r="AK27" s="20"/>
      <c r="AM27" s="69" t="s">
        <v>133</v>
      </c>
      <c r="AN27" s="134" t="str">
        <f t="shared" si="0"/>
        <v/>
      </c>
      <c r="AO27" s="134" t="str">
        <f t="shared" si="1"/>
        <v/>
      </c>
      <c r="AQ27" s="134"/>
      <c r="AR27" s="134"/>
      <c r="AS27" s="181">
        <f t="shared" si="2"/>
        <v>0</v>
      </c>
      <c r="AT27" s="194" t="s">
        <v>98</v>
      </c>
      <c r="AU27" s="193">
        <f>COUNTIF($P$7:$P$116,22)+COUNTIF($U$7:$U$116,22)</f>
        <v>0</v>
      </c>
      <c r="AV27" s="289"/>
      <c r="AW27" s="289"/>
      <c r="AX27" s="246"/>
      <c r="AY27" s="300" t="s">
        <v>557</v>
      </c>
      <c r="AZ27" s="300" t="s">
        <v>335</v>
      </c>
      <c r="BA27" s="265"/>
      <c r="BB27" s="265"/>
      <c r="BC27" s="265"/>
      <c r="BD27" s="265"/>
      <c r="BE27" s="265"/>
      <c r="BF27" s="265"/>
      <c r="BG27" s="265"/>
      <c r="BH27" s="265"/>
      <c r="BI27" s="265"/>
      <c r="BJ27" s="265"/>
    </row>
    <row r="28" spans="1:62" ht="14.25" customHeight="1">
      <c r="A28" s="134" t="str">
        <f t="shared" si="3"/>
        <v/>
      </c>
      <c r="B28" s="160" t="str">
        <f>名簿!P25</f>
        <v/>
      </c>
      <c r="C28" s="160"/>
      <c r="D28" s="793"/>
      <c r="E28" s="180">
        <f>名簿!E25</f>
        <v>0</v>
      </c>
      <c r="F28" s="560" t="str">
        <f>名簿!CM25</f>
        <v/>
      </c>
      <c r="G28" s="160" t="str">
        <f>名簿!Z25</f>
        <v/>
      </c>
      <c r="H28" s="1302" t="str">
        <f>名簿!CM25</f>
        <v/>
      </c>
      <c r="I28" s="185" t="str">
        <f>名簿!Y25</f>
        <v/>
      </c>
      <c r="J28" s="1303" t="str">
        <f>名簿!CN25</f>
        <v/>
      </c>
      <c r="K28" s="1304">
        <f>名簿!CP25</f>
        <v>0</v>
      </c>
      <c r="L28" s="1305" t="str">
        <f>名簿!CU25</f>
        <v>00</v>
      </c>
      <c r="M28" s="160" t="str">
        <f>名簿!Q25</f>
        <v/>
      </c>
      <c r="N28" s="1312">
        <f>名簿!D25</f>
        <v>0</v>
      </c>
      <c r="O28" s="1295"/>
      <c r="P28" s="258" t="str">
        <f>IF(O28="","",IF(I28=1,VLOOKUP(O28,男子種目コード!$A$1:$B$33,2,FALSE),IF(I28=2,VLOOKUP(O28,女子種目コード!$A$1:$B$28,2,FALSE))))</f>
        <v/>
      </c>
      <c r="Q28" s="494" t="str">
        <f>IF(O28="","",HLOOKUP(O28,名簿!$AH$3:$CH$118,23,FALSE))</f>
        <v/>
      </c>
      <c r="R28" s="624" t="str">
        <f t="shared" si="4"/>
        <v/>
      </c>
      <c r="S28" s="625" t="str">
        <f t="shared" si="5"/>
        <v/>
      </c>
      <c r="T28" s="303"/>
      <c r="U28" s="258" t="str">
        <f>IF(T28="","",IF(I28=1,VLOOKUP(T28,男子種目コード!$A$1:$B$33,2,FALSE),IF(I28=2,VLOOKUP(T28,女子種目コード!$A$1:$B$28,2,FALSE))))</f>
        <v/>
      </c>
      <c r="V28" s="494" t="str">
        <f>IF(T28="","",HLOOKUP(T28,名簿!$AH$3:$CH$118,23,FALSE))</f>
        <v/>
      </c>
      <c r="W28" s="624" t="str">
        <f t="shared" si="6"/>
        <v/>
      </c>
      <c r="X28" s="625" t="str">
        <f t="shared" si="7"/>
        <v/>
      </c>
      <c r="Y28" s="816"/>
      <c r="Z28" s="812" t="str">
        <f>IF(Y28="","",IF(I28=1,VLOOKUP(Y28,男子種目コード!$A$1:$B$33,2,FALSE),IF(I28=2,VLOOKUP(Y28,女子種目コード!$A$1:$B$27,2,FALSE))))</f>
        <v/>
      </c>
      <c r="AA28" s="304"/>
      <c r="AB28" s="303"/>
      <c r="AC28" s="517"/>
      <c r="AD28" s="518"/>
      <c r="AE28" s="624" t="str">
        <f t="shared" si="8"/>
        <v/>
      </c>
      <c r="AF28" s="625" t="str">
        <f t="shared" si="9"/>
        <v/>
      </c>
      <c r="AG28" s="519"/>
      <c r="AH28" s="520"/>
      <c r="AI28" s="521"/>
      <c r="AJ28" s="20"/>
      <c r="AK28" s="20"/>
      <c r="AM28" s="67" t="s">
        <v>131</v>
      </c>
      <c r="AN28" s="134" t="str">
        <f t="shared" si="0"/>
        <v/>
      </c>
      <c r="AO28" s="134" t="str">
        <f t="shared" si="1"/>
        <v/>
      </c>
      <c r="AQ28" s="134"/>
      <c r="AR28" s="134"/>
      <c r="AS28" s="181">
        <f t="shared" si="2"/>
        <v>0</v>
      </c>
      <c r="AT28" s="194" t="s">
        <v>510</v>
      </c>
      <c r="AU28" s="193">
        <f>COUNTIF($P$7:$P$116,28)+COUNTIF($U$7:$U$116,28)</f>
        <v>0</v>
      </c>
      <c r="AV28" s="289"/>
      <c r="AW28" s="289"/>
      <c r="AX28" s="246"/>
      <c r="AY28" s="300" t="s">
        <v>128</v>
      </c>
      <c r="AZ28" s="300" t="s">
        <v>167</v>
      </c>
      <c r="BA28" s="265"/>
      <c r="BB28" s="265"/>
      <c r="BC28" s="265"/>
      <c r="BD28" s="265"/>
      <c r="BE28" s="265"/>
      <c r="BF28" s="265"/>
      <c r="BG28" s="265"/>
      <c r="BH28" s="265"/>
      <c r="BI28" s="265"/>
      <c r="BJ28" s="265"/>
    </row>
    <row r="29" spans="1:62" ht="14.25" customHeight="1">
      <c r="A29" s="134" t="str">
        <f t="shared" si="3"/>
        <v/>
      </c>
      <c r="B29" s="160" t="str">
        <f>名簿!P26</f>
        <v/>
      </c>
      <c r="C29" s="160"/>
      <c r="D29" s="793"/>
      <c r="E29" s="180">
        <f>名簿!E26</f>
        <v>0</v>
      </c>
      <c r="F29" s="560" t="str">
        <f>名簿!CM26</f>
        <v/>
      </c>
      <c r="G29" s="160" t="str">
        <f>名簿!Z26</f>
        <v/>
      </c>
      <c r="H29" s="1302" t="str">
        <f>名簿!CM26</f>
        <v/>
      </c>
      <c r="I29" s="185" t="str">
        <f>名簿!Y26</f>
        <v/>
      </c>
      <c r="J29" s="1303" t="str">
        <f>名簿!CN26</f>
        <v/>
      </c>
      <c r="K29" s="1304">
        <f>名簿!CP26</f>
        <v>0</v>
      </c>
      <c r="L29" s="1305" t="str">
        <f>名簿!CU26</f>
        <v>00</v>
      </c>
      <c r="M29" s="160" t="str">
        <f>名簿!Q26</f>
        <v/>
      </c>
      <c r="N29" s="1312">
        <f>名簿!D26</f>
        <v>0</v>
      </c>
      <c r="O29" s="1295"/>
      <c r="P29" s="258" t="str">
        <f>IF(O29="","",IF(I29=1,VLOOKUP(O29,男子種目コード!$A$1:$B$33,2,FALSE),IF(I29=2,VLOOKUP(O29,女子種目コード!$A$1:$B$28,2,FALSE))))</f>
        <v/>
      </c>
      <c r="Q29" s="494" t="str">
        <f>IF(O29="","",HLOOKUP(O29,名簿!$AH$3:$CH$118,24,FALSE))</f>
        <v/>
      </c>
      <c r="R29" s="624" t="str">
        <f t="shared" si="4"/>
        <v/>
      </c>
      <c r="S29" s="625" t="str">
        <f t="shared" si="5"/>
        <v/>
      </c>
      <c r="T29" s="303"/>
      <c r="U29" s="258" t="str">
        <f>IF(T29="","",IF(I29=1,VLOOKUP(T29,男子種目コード!$A$1:$B$33,2,FALSE),IF(I29=2,VLOOKUP(T29,女子種目コード!$A$1:$B$28,2,FALSE))))</f>
        <v/>
      </c>
      <c r="V29" s="494" t="str">
        <f>IF(T29="","",HLOOKUP(T29,名簿!$AH$3:$CH$118,24,FALSE))</f>
        <v/>
      </c>
      <c r="W29" s="624" t="str">
        <f t="shared" si="6"/>
        <v/>
      </c>
      <c r="X29" s="625" t="str">
        <f t="shared" si="7"/>
        <v/>
      </c>
      <c r="Y29" s="816"/>
      <c r="Z29" s="812" t="str">
        <f>IF(Y29="","",IF(I29=1,VLOOKUP(Y29,男子種目コード!$A$1:$B$33,2,FALSE),IF(I29=2,VLOOKUP(Y29,女子種目コード!$A$1:$B$27,2,FALSE))))</f>
        <v/>
      </c>
      <c r="AA29" s="304"/>
      <c r="AB29" s="303"/>
      <c r="AC29" s="517"/>
      <c r="AD29" s="518"/>
      <c r="AE29" s="624" t="str">
        <f t="shared" si="8"/>
        <v/>
      </c>
      <c r="AF29" s="625" t="str">
        <f t="shared" si="9"/>
        <v/>
      </c>
      <c r="AG29" s="519"/>
      <c r="AH29" s="520"/>
      <c r="AI29" s="521"/>
      <c r="AJ29" s="20"/>
      <c r="AK29" s="20"/>
      <c r="AM29" s="67" t="s">
        <v>128</v>
      </c>
      <c r="AN29" s="134" t="str">
        <f t="shared" si="0"/>
        <v/>
      </c>
      <c r="AO29" s="134" t="str">
        <f t="shared" si="1"/>
        <v/>
      </c>
      <c r="AQ29" s="134"/>
      <c r="AR29" s="134"/>
      <c r="AS29" s="181">
        <f t="shared" si="2"/>
        <v>0</v>
      </c>
      <c r="AT29" s="194" t="s">
        <v>555</v>
      </c>
      <c r="AU29" s="193">
        <f>COUNTIF($P$7:$P$116,30)+COUNTIF($U$7:$U$116,30)</f>
        <v>0</v>
      </c>
      <c r="AV29" s="289"/>
      <c r="AW29" s="289"/>
      <c r="AX29" s="246"/>
      <c r="AY29" s="300" t="s">
        <v>129</v>
      </c>
      <c r="AZ29" s="300"/>
      <c r="BA29" s="265"/>
      <c r="BB29" s="265"/>
      <c r="BC29" s="265"/>
      <c r="BD29" s="265"/>
      <c r="BE29" s="265"/>
      <c r="BF29" s="265"/>
      <c r="BG29" s="265"/>
      <c r="BH29" s="265"/>
      <c r="BI29" s="265"/>
      <c r="BJ29" s="265"/>
    </row>
    <row r="30" spans="1:62" ht="14.25" customHeight="1">
      <c r="A30" s="134" t="str">
        <f t="shared" si="3"/>
        <v/>
      </c>
      <c r="B30" s="160" t="str">
        <f>名簿!P27</f>
        <v/>
      </c>
      <c r="C30" s="160"/>
      <c r="D30" s="793"/>
      <c r="E30" s="180">
        <f>名簿!E27</f>
        <v>0</v>
      </c>
      <c r="F30" s="560" t="str">
        <f>名簿!CM27</f>
        <v/>
      </c>
      <c r="G30" s="160" t="str">
        <f>名簿!Z27</f>
        <v/>
      </c>
      <c r="H30" s="1302" t="str">
        <f>名簿!CM27</f>
        <v/>
      </c>
      <c r="I30" s="185" t="str">
        <f>名簿!Y27</f>
        <v/>
      </c>
      <c r="J30" s="1303" t="str">
        <f>名簿!CN27</f>
        <v/>
      </c>
      <c r="K30" s="1304">
        <f>名簿!CP27</f>
        <v>0</v>
      </c>
      <c r="L30" s="1305" t="str">
        <f>名簿!CU27</f>
        <v>00</v>
      </c>
      <c r="M30" s="160" t="str">
        <f>名簿!Q27</f>
        <v/>
      </c>
      <c r="N30" s="1312">
        <f>名簿!D27</f>
        <v>0</v>
      </c>
      <c r="O30" s="1295"/>
      <c r="P30" s="258" t="str">
        <f>IF(O30="","",IF(I30=1,VLOOKUP(O30,男子種目コード!$A$1:$B$33,2,FALSE),IF(I30=2,VLOOKUP(O30,女子種目コード!$A$1:$B$28,2,FALSE))))</f>
        <v/>
      </c>
      <c r="Q30" s="494" t="str">
        <f>IF(O30="","",HLOOKUP(O30,名簿!$AH$3:$CH$118,25,FALSE))</f>
        <v/>
      </c>
      <c r="R30" s="624" t="str">
        <f t="shared" si="4"/>
        <v/>
      </c>
      <c r="S30" s="625" t="str">
        <f t="shared" si="5"/>
        <v/>
      </c>
      <c r="T30" s="303"/>
      <c r="U30" s="258" t="str">
        <f>IF(T30="","",IF(I30=1,VLOOKUP(T30,男子種目コード!$A$1:$B$33,2,FALSE),IF(I30=2,VLOOKUP(T30,女子種目コード!$A$1:$B$28,2,FALSE))))</f>
        <v/>
      </c>
      <c r="V30" s="494" t="str">
        <f>IF(T30="","",HLOOKUP(T30,名簿!$AH$3:$CH$118,25,FALSE))</f>
        <v/>
      </c>
      <c r="W30" s="624" t="str">
        <f t="shared" si="6"/>
        <v/>
      </c>
      <c r="X30" s="625" t="str">
        <f t="shared" si="7"/>
        <v/>
      </c>
      <c r="Y30" s="816"/>
      <c r="Z30" s="812" t="str">
        <f>IF(Y30="","",IF(I30=1,VLOOKUP(Y30,男子種目コード!$A$1:$B$33,2,FALSE),IF(I30=2,VLOOKUP(Y30,女子種目コード!$A$1:$B$27,2,FALSE))))</f>
        <v/>
      </c>
      <c r="AA30" s="304"/>
      <c r="AB30" s="303"/>
      <c r="AC30" s="517"/>
      <c r="AD30" s="518"/>
      <c r="AE30" s="624" t="str">
        <f t="shared" si="8"/>
        <v/>
      </c>
      <c r="AF30" s="625" t="str">
        <f t="shared" si="9"/>
        <v/>
      </c>
      <c r="AG30" s="519"/>
      <c r="AH30" s="520"/>
      <c r="AI30" s="521"/>
      <c r="AJ30" s="20"/>
      <c r="AK30" s="20"/>
      <c r="AM30" s="67" t="s">
        <v>129</v>
      </c>
      <c r="AN30" s="134" t="str">
        <f t="shared" si="0"/>
        <v/>
      </c>
      <c r="AO30" s="134" t="str">
        <f t="shared" si="1"/>
        <v/>
      </c>
      <c r="AQ30" s="134"/>
      <c r="AR30" s="134"/>
      <c r="AS30" s="181">
        <f t="shared" si="2"/>
        <v>0</v>
      </c>
      <c r="AT30" s="194" t="s">
        <v>128</v>
      </c>
      <c r="AU30" s="193">
        <f>COUNTIF($P$7:$P$116,25)+COUNTIF($U$7:$U$116,25)</f>
        <v>0</v>
      </c>
      <c r="AV30" s="289"/>
      <c r="AW30" s="289"/>
      <c r="AX30" s="265"/>
      <c r="AY30" s="300" t="s">
        <v>452</v>
      </c>
      <c r="AZ30" s="300"/>
      <c r="BA30" s="265"/>
      <c r="BB30" s="265"/>
      <c r="BC30" s="265"/>
      <c r="BD30" s="265"/>
      <c r="BE30" s="265"/>
      <c r="BF30" s="265"/>
      <c r="BG30" s="265"/>
      <c r="BH30" s="265"/>
      <c r="BI30" s="265"/>
      <c r="BJ30" s="265"/>
    </row>
    <row r="31" spans="1:62" ht="14.25" customHeight="1">
      <c r="A31" s="134" t="str">
        <f t="shared" si="3"/>
        <v/>
      </c>
      <c r="B31" s="160" t="str">
        <f>名簿!P28</f>
        <v/>
      </c>
      <c r="C31" s="160"/>
      <c r="D31" s="793"/>
      <c r="E31" s="180">
        <f>名簿!E28</f>
        <v>0</v>
      </c>
      <c r="F31" s="560" t="str">
        <f>名簿!CM28</f>
        <v/>
      </c>
      <c r="G31" s="160" t="str">
        <f>名簿!Z28</f>
        <v/>
      </c>
      <c r="H31" s="1302" t="str">
        <f>名簿!CM28</f>
        <v/>
      </c>
      <c r="I31" s="185" t="str">
        <f>名簿!Y28</f>
        <v/>
      </c>
      <c r="J31" s="1303" t="str">
        <f>名簿!CN28</f>
        <v/>
      </c>
      <c r="K31" s="1304">
        <f>名簿!CP28</f>
        <v>0</v>
      </c>
      <c r="L31" s="1305" t="str">
        <f>名簿!CU28</f>
        <v>00</v>
      </c>
      <c r="M31" s="160" t="str">
        <f>名簿!Q28</f>
        <v/>
      </c>
      <c r="N31" s="1312">
        <f>名簿!D28</f>
        <v>0</v>
      </c>
      <c r="O31" s="1295"/>
      <c r="P31" s="258" t="str">
        <f>IF(O31="","",IF(I31=1,VLOOKUP(O31,男子種目コード!$A$1:$B$33,2,FALSE),IF(I31=2,VLOOKUP(O31,女子種目コード!$A$1:$B$28,2,FALSE))))</f>
        <v/>
      </c>
      <c r="Q31" s="494" t="str">
        <f>IF(O31="","",HLOOKUP(O31,名簿!$AH$3:$CH$118,26,FALSE))</f>
        <v/>
      </c>
      <c r="R31" s="624" t="str">
        <f t="shared" si="4"/>
        <v/>
      </c>
      <c r="S31" s="625" t="str">
        <f t="shared" si="5"/>
        <v/>
      </c>
      <c r="T31" s="303"/>
      <c r="U31" s="258" t="str">
        <f>IF(T31="","",IF(I31=1,VLOOKUP(T31,男子種目コード!$A$1:$B$33,2,FALSE),IF(I31=2,VLOOKUP(T31,女子種目コード!$A$1:$B$28,2,FALSE))))</f>
        <v/>
      </c>
      <c r="V31" s="494" t="str">
        <f>IF(T31="","",HLOOKUP(T31,名簿!$AH$3:$CH$118,26,FALSE))</f>
        <v/>
      </c>
      <c r="W31" s="624" t="str">
        <f t="shared" si="6"/>
        <v/>
      </c>
      <c r="X31" s="625" t="str">
        <f t="shared" si="7"/>
        <v/>
      </c>
      <c r="Y31" s="816"/>
      <c r="Z31" s="812" t="str">
        <f>IF(Y31="","",IF(I31=1,VLOOKUP(Y31,男子種目コード!$A$1:$B$33,2,FALSE),IF(I31=2,VLOOKUP(Y31,女子種目コード!$A$1:$B$27,2,FALSE))))</f>
        <v/>
      </c>
      <c r="AA31" s="304"/>
      <c r="AB31" s="303"/>
      <c r="AC31" s="517"/>
      <c r="AD31" s="518"/>
      <c r="AE31" s="624" t="str">
        <f t="shared" si="8"/>
        <v/>
      </c>
      <c r="AF31" s="625" t="str">
        <f t="shared" si="9"/>
        <v/>
      </c>
      <c r="AG31" s="519"/>
      <c r="AH31" s="520"/>
      <c r="AI31" s="521"/>
      <c r="AJ31" s="20"/>
      <c r="AK31" s="20"/>
      <c r="AM31" s="67" t="s">
        <v>130</v>
      </c>
      <c r="AN31" s="134" t="str">
        <f t="shared" si="0"/>
        <v/>
      </c>
      <c r="AO31" s="134" t="str">
        <f t="shared" si="1"/>
        <v/>
      </c>
      <c r="AQ31" s="134"/>
      <c r="AR31" s="134"/>
      <c r="AS31" s="181">
        <f t="shared" si="2"/>
        <v>0</v>
      </c>
      <c r="AT31" s="194" t="s">
        <v>336</v>
      </c>
      <c r="AU31" s="193">
        <f>COUNTIF($P$7:$P$116,26)+COUNTIF($U$7:$U$116,26)</f>
        <v>0</v>
      </c>
      <c r="AV31" s="289"/>
      <c r="AW31" s="289"/>
      <c r="AX31" s="265"/>
      <c r="AY31" s="300" t="s">
        <v>130</v>
      </c>
      <c r="AZ31" s="289"/>
      <c r="BA31" s="265"/>
      <c r="BB31" s="265"/>
      <c r="BC31" s="265"/>
      <c r="BD31" s="265"/>
      <c r="BE31" s="265"/>
      <c r="BF31" s="265"/>
      <c r="BG31" s="265"/>
      <c r="BH31" s="265"/>
      <c r="BI31" s="265"/>
      <c r="BJ31" s="265"/>
    </row>
    <row r="32" spans="1:62" ht="14.25" customHeight="1">
      <c r="A32" s="134" t="str">
        <f t="shared" si="3"/>
        <v/>
      </c>
      <c r="B32" s="160" t="str">
        <f>名簿!P29</f>
        <v/>
      </c>
      <c r="C32" s="160"/>
      <c r="D32" s="793"/>
      <c r="E32" s="180">
        <f>名簿!E29</f>
        <v>0</v>
      </c>
      <c r="F32" s="560" t="str">
        <f>名簿!CM29</f>
        <v/>
      </c>
      <c r="G32" s="160" t="str">
        <f>名簿!Z29</f>
        <v/>
      </c>
      <c r="H32" s="1302" t="str">
        <f>名簿!CM29</f>
        <v/>
      </c>
      <c r="I32" s="185" t="str">
        <f>名簿!Y29</f>
        <v/>
      </c>
      <c r="J32" s="1303" t="str">
        <f>名簿!CN29</f>
        <v/>
      </c>
      <c r="K32" s="1304">
        <f>名簿!CP29</f>
        <v>0</v>
      </c>
      <c r="L32" s="1305" t="str">
        <f>名簿!CU29</f>
        <v>00</v>
      </c>
      <c r="M32" s="160" t="str">
        <f>名簿!Q29</f>
        <v/>
      </c>
      <c r="N32" s="1312">
        <f>名簿!D29</f>
        <v>0</v>
      </c>
      <c r="O32" s="1295"/>
      <c r="P32" s="258" t="str">
        <f>IF(O32="","",IF(I32=1,VLOOKUP(O32,男子種目コード!$A$1:$B$33,2,FALSE),IF(I32=2,VLOOKUP(O32,女子種目コード!$A$1:$B$28,2,FALSE))))</f>
        <v/>
      </c>
      <c r="Q32" s="494" t="str">
        <f>IF(O32="","",HLOOKUP(O32,名簿!$AH$3:$CH$118,27,FALSE))</f>
        <v/>
      </c>
      <c r="R32" s="624" t="str">
        <f t="shared" si="4"/>
        <v/>
      </c>
      <c r="S32" s="625" t="str">
        <f t="shared" si="5"/>
        <v/>
      </c>
      <c r="T32" s="303"/>
      <c r="U32" s="258" t="str">
        <f>IF(T32="","",IF(I32=1,VLOOKUP(T32,男子種目コード!$A$1:$B$33,2,FALSE),IF(I32=2,VLOOKUP(T32,女子種目コード!$A$1:$B$28,2,FALSE))))</f>
        <v/>
      </c>
      <c r="V32" s="494" t="str">
        <f>IF(T32="","",HLOOKUP(T32,名簿!$AH$3:$CH$118,27,FALSE))</f>
        <v/>
      </c>
      <c r="W32" s="624" t="str">
        <f t="shared" si="6"/>
        <v/>
      </c>
      <c r="X32" s="625" t="str">
        <f t="shared" si="7"/>
        <v/>
      </c>
      <c r="Y32" s="816"/>
      <c r="Z32" s="812" t="str">
        <f>IF(Y32="","",IF(I32=1,VLOOKUP(Y32,男子種目コード!$A$1:$B$33,2,FALSE),IF(I32=2,VLOOKUP(Y32,女子種目コード!$A$1:$B$27,2,FALSE))))</f>
        <v/>
      </c>
      <c r="AA32" s="304"/>
      <c r="AB32" s="303"/>
      <c r="AC32" s="517"/>
      <c r="AD32" s="518"/>
      <c r="AE32" s="624" t="str">
        <f t="shared" si="8"/>
        <v/>
      </c>
      <c r="AF32" s="625" t="str">
        <f t="shared" si="9"/>
        <v/>
      </c>
      <c r="AG32" s="519"/>
      <c r="AH32" s="520"/>
      <c r="AI32" s="521"/>
      <c r="AJ32" s="20"/>
      <c r="AK32" s="20"/>
      <c r="AM32" s="182" t="s">
        <v>201</v>
      </c>
      <c r="AN32" s="134" t="str">
        <f t="shared" si="0"/>
        <v/>
      </c>
      <c r="AO32" s="134" t="str">
        <f t="shared" si="1"/>
        <v/>
      </c>
      <c r="AQ32" s="134"/>
      <c r="AR32" s="134"/>
      <c r="AS32" s="181">
        <f t="shared" si="2"/>
        <v>0</v>
      </c>
      <c r="AT32" s="194" t="s">
        <v>451</v>
      </c>
      <c r="AU32" s="193">
        <f>COUNTIF($P$7:$P$116,29)+COUNTIF($U$7:$U$116,29)</f>
        <v>0</v>
      </c>
      <c r="AV32" s="289"/>
      <c r="AW32" s="289"/>
      <c r="AX32" s="265"/>
      <c r="AY32" s="300" t="s">
        <v>167</v>
      </c>
      <c r="AZ32" s="289"/>
      <c r="BA32" s="265"/>
      <c r="BB32" s="265"/>
      <c r="BC32" s="265"/>
      <c r="BD32" s="265"/>
      <c r="BE32" s="265"/>
      <c r="BF32" s="265"/>
      <c r="BG32" s="265"/>
      <c r="BH32" s="265"/>
      <c r="BI32" s="265"/>
      <c r="BJ32" s="265"/>
    </row>
    <row r="33" spans="1:62" ht="14.25" customHeight="1">
      <c r="A33" s="134" t="str">
        <f t="shared" si="3"/>
        <v/>
      </c>
      <c r="B33" s="160" t="str">
        <f>名簿!P30</f>
        <v/>
      </c>
      <c r="C33" s="160"/>
      <c r="D33" s="793"/>
      <c r="E33" s="180">
        <f>名簿!E30</f>
        <v>0</v>
      </c>
      <c r="F33" s="560" t="str">
        <f>名簿!CM30</f>
        <v/>
      </c>
      <c r="G33" s="160" t="str">
        <f>名簿!Z30</f>
        <v/>
      </c>
      <c r="H33" s="1302" t="str">
        <f>名簿!CM30</f>
        <v/>
      </c>
      <c r="I33" s="185" t="str">
        <f>名簿!Y30</f>
        <v/>
      </c>
      <c r="J33" s="1303" t="str">
        <f>名簿!CN30</f>
        <v/>
      </c>
      <c r="K33" s="1304">
        <f>名簿!CP30</f>
        <v>0</v>
      </c>
      <c r="L33" s="1305" t="str">
        <f>名簿!CU30</f>
        <v>00</v>
      </c>
      <c r="M33" s="160" t="str">
        <f>名簿!Q30</f>
        <v/>
      </c>
      <c r="N33" s="1312">
        <f>名簿!D30</f>
        <v>0</v>
      </c>
      <c r="O33" s="1295"/>
      <c r="P33" s="258" t="str">
        <f>IF(O33="","",IF(I33=1,VLOOKUP(O33,男子種目コード!$A$1:$B$33,2,FALSE),IF(I33=2,VLOOKUP(O33,女子種目コード!$A$1:$B$28,2,FALSE))))</f>
        <v/>
      </c>
      <c r="Q33" s="494" t="str">
        <f>IF(O33="","",HLOOKUP(O33,名簿!$AH$3:$CH$118,28,FALSE))</f>
        <v/>
      </c>
      <c r="R33" s="624" t="str">
        <f t="shared" si="4"/>
        <v/>
      </c>
      <c r="S33" s="625" t="str">
        <f t="shared" si="5"/>
        <v/>
      </c>
      <c r="T33" s="303"/>
      <c r="U33" s="258" t="str">
        <f>IF(T33="","",IF(I33=1,VLOOKUP(T33,男子種目コード!$A$1:$B$33,2,FALSE),IF(I33=2,VLOOKUP(T33,女子種目コード!$A$1:$B$28,2,FALSE))))</f>
        <v/>
      </c>
      <c r="V33" s="494" t="str">
        <f>IF(T33="","",HLOOKUP(T33,名簿!$AH$3:$CH$118,28,FALSE))</f>
        <v/>
      </c>
      <c r="W33" s="624" t="str">
        <f t="shared" si="6"/>
        <v/>
      </c>
      <c r="X33" s="625" t="str">
        <f t="shared" si="7"/>
        <v/>
      </c>
      <c r="Y33" s="816"/>
      <c r="Z33" s="812" t="str">
        <f>IF(Y33="","",IF(I33=1,VLOOKUP(Y33,男子種目コード!$A$1:$B$33,2,FALSE),IF(I33=2,VLOOKUP(Y33,女子種目コード!$A$1:$B$27,2,FALSE))))</f>
        <v/>
      </c>
      <c r="AA33" s="304"/>
      <c r="AB33" s="303"/>
      <c r="AC33" s="517"/>
      <c r="AD33" s="518"/>
      <c r="AE33" s="624" t="str">
        <f t="shared" si="8"/>
        <v/>
      </c>
      <c r="AF33" s="625" t="str">
        <f t="shared" si="9"/>
        <v/>
      </c>
      <c r="AG33" s="519"/>
      <c r="AH33" s="520"/>
      <c r="AI33" s="521"/>
      <c r="AJ33" s="20"/>
      <c r="AK33" s="20"/>
      <c r="AM33" s="182" t="s">
        <v>202</v>
      </c>
      <c r="AN33" s="134" t="str">
        <f t="shared" si="0"/>
        <v/>
      </c>
      <c r="AO33" s="134" t="str">
        <f t="shared" si="1"/>
        <v/>
      </c>
      <c r="AQ33" s="134"/>
      <c r="AR33" s="134"/>
      <c r="AS33" s="181">
        <f t="shared" si="2"/>
        <v>0</v>
      </c>
      <c r="AT33" s="195" t="s">
        <v>340</v>
      </c>
      <c r="AU33" s="196">
        <f>COUNTIF($P$7:$P$116,27)+COUNTIF($U$7:$U$116,27)</f>
        <v>0</v>
      </c>
      <c r="AV33" s="289"/>
      <c r="AW33" s="289"/>
      <c r="AX33" s="265"/>
      <c r="AY33" s="300"/>
      <c r="AZ33" s="289"/>
      <c r="BA33" s="265"/>
      <c r="BB33" s="265"/>
      <c r="BC33" s="265"/>
      <c r="BD33" s="265"/>
      <c r="BE33" s="265"/>
      <c r="BF33" s="265"/>
      <c r="BG33" s="265"/>
      <c r="BH33" s="265"/>
      <c r="BI33" s="265"/>
      <c r="BJ33" s="265"/>
    </row>
    <row r="34" spans="1:62" ht="14.25" customHeight="1" thickBot="1">
      <c r="A34" s="134" t="str">
        <f t="shared" si="3"/>
        <v/>
      </c>
      <c r="B34" s="160" t="str">
        <f>名簿!P31</f>
        <v/>
      </c>
      <c r="C34" s="160"/>
      <c r="D34" s="793"/>
      <c r="E34" s="180">
        <f>名簿!E31</f>
        <v>0</v>
      </c>
      <c r="F34" s="560" t="str">
        <f>名簿!CM31</f>
        <v/>
      </c>
      <c r="G34" s="160" t="str">
        <f>名簿!Z31</f>
        <v/>
      </c>
      <c r="H34" s="1302" t="str">
        <f>名簿!CM31</f>
        <v/>
      </c>
      <c r="I34" s="185" t="str">
        <f>名簿!Y31</f>
        <v/>
      </c>
      <c r="J34" s="1303" t="str">
        <f>名簿!CN31</f>
        <v/>
      </c>
      <c r="K34" s="1304">
        <f>名簿!CP31</f>
        <v>0</v>
      </c>
      <c r="L34" s="1305" t="str">
        <f>名簿!CU31</f>
        <v>00</v>
      </c>
      <c r="M34" s="160" t="str">
        <f>名簿!Q31</f>
        <v/>
      </c>
      <c r="N34" s="1312">
        <f>名簿!D31</f>
        <v>0</v>
      </c>
      <c r="O34" s="1295"/>
      <c r="P34" s="258" t="str">
        <f>IF(O34="","",IF(I34=1,VLOOKUP(O34,男子種目コード!$A$1:$B$33,2,FALSE),IF(I34=2,VLOOKUP(O34,女子種目コード!$A$1:$B$28,2,FALSE))))</f>
        <v/>
      </c>
      <c r="Q34" s="494" t="str">
        <f>IF(O34="","",HLOOKUP(O34,名簿!$AH$3:$CH$118,29,FALSE))</f>
        <v/>
      </c>
      <c r="R34" s="624" t="str">
        <f t="shared" si="4"/>
        <v/>
      </c>
      <c r="S34" s="625" t="str">
        <f t="shared" si="5"/>
        <v/>
      </c>
      <c r="T34" s="303"/>
      <c r="U34" s="258" t="str">
        <f>IF(T34="","",IF(I34=1,VLOOKUP(T34,男子種目コード!$A$1:$B$33,2,FALSE),IF(I34=2,VLOOKUP(T34,女子種目コード!$A$1:$B$28,2,FALSE))))</f>
        <v/>
      </c>
      <c r="V34" s="494" t="str">
        <f>IF(T34="","",HLOOKUP(T34,名簿!$AH$3:$CH$118,29,FALSE))</f>
        <v/>
      </c>
      <c r="W34" s="624" t="str">
        <f t="shared" si="6"/>
        <v/>
      </c>
      <c r="X34" s="625" t="str">
        <f t="shared" si="7"/>
        <v/>
      </c>
      <c r="Y34" s="816"/>
      <c r="Z34" s="812" t="str">
        <f>IF(Y34="","",IF(I34=1,VLOOKUP(Y34,男子種目コード!$A$1:$B$33,2,FALSE),IF(I34=2,VLOOKUP(Y34,女子種目コード!$A$1:$B$27,2,FALSE))))</f>
        <v/>
      </c>
      <c r="AA34" s="304"/>
      <c r="AB34" s="303"/>
      <c r="AC34" s="517"/>
      <c r="AD34" s="518"/>
      <c r="AE34" s="624" t="str">
        <f t="shared" si="8"/>
        <v/>
      </c>
      <c r="AF34" s="625" t="str">
        <f t="shared" si="9"/>
        <v/>
      </c>
      <c r="AG34" s="519"/>
      <c r="AH34" s="520"/>
      <c r="AI34" s="521"/>
      <c r="AJ34" s="20"/>
      <c r="AK34" s="20"/>
      <c r="AM34" s="182" t="s">
        <v>203</v>
      </c>
      <c r="AN34" s="134" t="str">
        <f t="shared" si="0"/>
        <v/>
      </c>
      <c r="AO34" s="134" t="str">
        <f t="shared" si="1"/>
        <v/>
      </c>
      <c r="AQ34" s="134"/>
      <c r="AR34" s="134"/>
      <c r="AS34" s="181">
        <f t="shared" si="2"/>
        <v>0</v>
      </c>
      <c r="AT34" s="197" t="s">
        <v>262</v>
      </c>
      <c r="AU34" s="198">
        <f>SUM(AU8:AU33)</f>
        <v>0</v>
      </c>
      <c r="AV34" s="289"/>
      <c r="AW34" s="289"/>
      <c r="AX34" s="265"/>
      <c r="AY34" s="300"/>
      <c r="AZ34" s="289"/>
      <c r="BA34" s="265"/>
      <c r="BB34" s="265"/>
      <c r="BC34" s="265"/>
      <c r="BD34" s="265"/>
      <c r="BE34" s="265"/>
      <c r="BF34" s="265"/>
      <c r="BG34" s="265"/>
      <c r="BH34" s="265"/>
      <c r="BI34" s="265"/>
      <c r="BJ34" s="265"/>
    </row>
    <row r="35" spans="1:62" ht="14.25" customHeight="1" thickBot="1">
      <c r="A35" s="134" t="str">
        <f t="shared" si="3"/>
        <v/>
      </c>
      <c r="B35" s="160" t="str">
        <f>名簿!P32</f>
        <v/>
      </c>
      <c r="C35" s="160"/>
      <c r="D35" s="793"/>
      <c r="E35" s="180">
        <f>名簿!E32</f>
        <v>0</v>
      </c>
      <c r="F35" s="560" t="str">
        <f>名簿!CM32</f>
        <v/>
      </c>
      <c r="G35" s="160" t="str">
        <f>名簿!Z32</f>
        <v/>
      </c>
      <c r="H35" s="1302" t="str">
        <f>名簿!CM32</f>
        <v/>
      </c>
      <c r="I35" s="185" t="str">
        <f>名簿!Y32</f>
        <v/>
      </c>
      <c r="J35" s="1303" t="str">
        <f>名簿!CN32</f>
        <v/>
      </c>
      <c r="K35" s="1304">
        <f>名簿!CP32</f>
        <v>0</v>
      </c>
      <c r="L35" s="1305" t="str">
        <f>名簿!CU32</f>
        <v>00</v>
      </c>
      <c r="M35" s="160" t="str">
        <f>名簿!Q32</f>
        <v/>
      </c>
      <c r="N35" s="1312">
        <f>名簿!D32</f>
        <v>0</v>
      </c>
      <c r="O35" s="1295"/>
      <c r="P35" s="258" t="str">
        <f>IF(O35="","",IF(I35=1,VLOOKUP(O35,男子種目コード!$A$1:$B$33,2,FALSE),IF(I35=2,VLOOKUP(O35,女子種目コード!$A$1:$B$28,2,FALSE))))</f>
        <v/>
      </c>
      <c r="Q35" s="494" t="str">
        <f>IF(O35="","",HLOOKUP(O35,名簿!$AH$3:$CH$118,30,FALSE))</f>
        <v/>
      </c>
      <c r="R35" s="624" t="str">
        <f t="shared" si="4"/>
        <v/>
      </c>
      <c r="S35" s="625" t="str">
        <f t="shared" si="5"/>
        <v/>
      </c>
      <c r="T35" s="303"/>
      <c r="U35" s="258" t="str">
        <f>IF(T35="","",IF(I35=1,VLOOKUP(T35,男子種目コード!$A$1:$B$33,2,FALSE),IF(I35=2,VLOOKUP(T35,女子種目コード!$A$1:$B$28,2,FALSE))))</f>
        <v/>
      </c>
      <c r="V35" s="494" t="str">
        <f>IF(T35="","",HLOOKUP(T35,名簿!$AH$3:$CH$118,30,FALSE))</f>
        <v/>
      </c>
      <c r="W35" s="624" t="str">
        <f t="shared" si="6"/>
        <v/>
      </c>
      <c r="X35" s="625" t="str">
        <f t="shared" si="7"/>
        <v/>
      </c>
      <c r="Y35" s="816"/>
      <c r="Z35" s="812" t="str">
        <f>IF(Y35="","",IF(I35=1,VLOOKUP(Y35,男子種目コード!$A$1:$B$33,2,FALSE),IF(I35=2,VLOOKUP(Y35,女子種目コード!$A$1:$B$27,2,FALSE))))</f>
        <v/>
      </c>
      <c r="AA35" s="304"/>
      <c r="AB35" s="303"/>
      <c r="AC35" s="517"/>
      <c r="AD35" s="518"/>
      <c r="AE35" s="624" t="str">
        <f t="shared" si="8"/>
        <v/>
      </c>
      <c r="AF35" s="625" t="str">
        <f t="shared" si="9"/>
        <v/>
      </c>
      <c r="AG35" s="519"/>
      <c r="AH35" s="520"/>
      <c r="AI35" s="521"/>
      <c r="AJ35" s="20"/>
      <c r="AK35" s="20"/>
      <c r="AM35" s="182" t="s">
        <v>204</v>
      </c>
      <c r="AN35" s="134" t="str">
        <f t="shared" si="0"/>
        <v/>
      </c>
      <c r="AO35" s="134" t="str">
        <f t="shared" si="1"/>
        <v/>
      </c>
      <c r="AQ35" s="134"/>
      <c r="AR35" s="134"/>
      <c r="AS35" s="181">
        <f t="shared" si="2"/>
        <v>0</v>
      </c>
      <c r="AT35" s="1156" t="s">
        <v>108</v>
      </c>
      <c r="AU35" s="1157"/>
      <c r="AV35" s="289"/>
      <c r="AW35" s="289"/>
      <c r="AX35" s="265"/>
      <c r="AY35" s="300"/>
      <c r="AZ35" s="289"/>
      <c r="BA35" s="265"/>
      <c r="BB35" s="265"/>
      <c r="BC35" s="265"/>
      <c r="BD35" s="265"/>
      <c r="BE35" s="265"/>
      <c r="BF35" s="265"/>
      <c r="BG35" s="265"/>
      <c r="BH35" s="265"/>
      <c r="BI35" s="265"/>
      <c r="BJ35" s="265"/>
    </row>
    <row r="36" spans="1:62" ht="14.25" customHeight="1">
      <c r="A36" s="134" t="str">
        <f t="shared" si="3"/>
        <v/>
      </c>
      <c r="B36" s="160" t="str">
        <f>名簿!P33</f>
        <v/>
      </c>
      <c r="C36" s="160"/>
      <c r="D36" s="793"/>
      <c r="E36" s="180">
        <f>名簿!E33</f>
        <v>0</v>
      </c>
      <c r="F36" s="560" t="str">
        <f>名簿!CM33</f>
        <v/>
      </c>
      <c r="G36" s="160" t="str">
        <f>名簿!Z33</f>
        <v/>
      </c>
      <c r="H36" s="1302" t="str">
        <f>名簿!CM33</f>
        <v/>
      </c>
      <c r="I36" s="185" t="str">
        <f>名簿!Y33</f>
        <v/>
      </c>
      <c r="J36" s="1303" t="str">
        <f>名簿!CN33</f>
        <v/>
      </c>
      <c r="K36" s="1304">
        <f>名簿!CP33</f>
        <v>0</v>
      </c>
      <c r="L36" s="1305" t="str">
        <f>名簿!CU33</f>
        <v>00</v>
      </c>
      <c r="M36" s="160" t="str">
        <f>名簿!Q33</f>
        <v/>
      </c>
      <c r="N36" s="1312">
        <f>名簿!D33</f>
        <v>0</v>
      </c>
      <c r="O36" s="1295"/>
      <c r="P36" s="258" t="str">
        <f>IF(O36="","",IF(I36=1,VLOOKUP(O36,男子種目コード!$A$1:$B$33,2,FALSE),IF(I36=2,VLOOKUP(O36,女子種目コード!$A$1:$B$28,2,FALSE))))</f>
        <v/>
      </c>
      <c r="Q36" s="494" t="str">
        <f>IF(O36="","",HLOOKUP(O36,名簿!$AH$3:$CH$118,31,FALSE))</f>
        <v/>
      </c>
      <c r="R36" s="624" t="str">
        <f t="shared" si="4"/>
        <v/>
      </c>
      <c r="S36" s="625" t="str">
        <f t="shared" si="5"/>
        <v/>
      </c>
      <c r="T36" s="303"/>
      <c r="U36" s="258" t="str">
        <f>IF(T36="","",IF(I36=1,VLOOKUP(T36,男子種目コード!$A$1:$B$33,2,FALSE),IF(I36=2,VLOOKUP(T36,女子種目コード!$A$1:$B$28,2,FALSE))))</f>
        <v/>
      </c>
      <c r="V36" s="494" t="str">
        <f>IF(T36="","",HLOOKUP(T36,名簿!$AH$3:$CH$118,31,FALSE))</f>
        <v/>
      </c>
      <c r="W36" s="624" t="str">
        <f t="shared" si="6"/>
        <v/>
      </c>
      <c r="X36" s="625" t="str">
        <f t="shared" si="7"/>
        <v/>
      </c>
      <c r="Y36" s="816"/>
      <c r="Z36" s="812" t="str">
        <f>IF(Y36="","",IF(I36=1,VLOOKUP(Y36,男子種目コード!$A$1:$B$33,2,FALSE),IF(I36=2,VLOOKUP(Y36,女子種目コード!$A$1:$B$27,2,FALSE))))</f>
        <v/>
      </c>
      <c r="AA36" s="304"/>
      <c r="AB36" s="303"/>
      <c r="AC36" s="517"/>
      <c r="AD36" s="518"/>
      <c r="AE36" s="624" t="str">
        <f t="shared" si="8"/>
        <v/>
      </c>
      <c r="AF36" s="625" t="str">
        <f t="shared" si="9"/>
        <v/>
      </c>
      <c r="AG36" s="519"/>
      <c r="AH36" s="520"/>
      <c r="AI36" s="521"/>
      <c r="AJ36" s="20"/>
      <c r="AK36" s="20"/>
      <c r="AM36" s="182" t="s">
        <v>205</v>
      </c>
      <c r="AN36" s="134" t="str">
        <f t="shared" si="0"/>
        <v/>
      </c>
      <c r="AO36" s="134" t="str">
        <f t="shared" si="1"/>
        <v/>
      </c>
      <c r="AQ36" s="134"/>
      <c r="AR36" s="134"/>
      <c r="AS36" s="181">
        <f t="shared" si="2"/>
        <v>0</v>
      </c>
      <c r="AT36" s="199">
        <v>100</v>
      </c>
      <c r="AU36" s="193">
        <f>COUNTIF($P$7:$P$116,40)+COUNTIF($U$7:$U$116,40)</f>
        <v>0</v>
      </c>
      <c r="AV36" s="289"/>
      <c r="AW36" s="289"/>
      <c r="AX36" s="265"/>
      <c r="AY36" s="300"/>
      <c r="AZ36" s="289"/>
      <c r="BA36" s="265"/>
      <c r="BB36" s="265"/>
      <c r="BC36" s="265"/>
      <c r="BD36" s="265"/>
      <c r="BE36" s="265"/>
      <c r="BF36" s="265"/>
      <c r="BG36" s="265"/>
      <c r="BH36" s="265"/>
      <c r="BI36" s="265"/>
      <c r="BJ36" s="265"/>
    </row>
    <row r="37" spans="1:62" ht="14.25" customHeight="1">
      <c r="A37" s="134" t="str">
        <f t="shared" si="3"/>
        <v/>
      </c>
      <c r="B37" s="160" t="str">
        <f>名簿!P34</f>
        <v/>
      </c>
      <c r="C37" s="160"/>
      <c r="D37" s="793"/>
      <c r="E37" s="180">
        <f>名簿!E34</f>
        <v>0</v>
      </c>
      <c r="F37" s="560" t="str">
        <f>名簿!CM34</f>
        <v/>
      </c>
      <c r="G37" s="160" t="str">
        <f>名簿!Z34</f>
        <v/>
      </c>
      <c r="H37" s="1302" t="str">
        <f>名簿!CM34</f>
        <v/>
      </c>
      <c r="I37" s="185" t="str">
        <f>名簿!Y34</f>
        <v/>
      </c>
      <c r="J37" s="1303" t="str">
        <f>名簿!CN34</f>
        <v/>
      </c>
      <c r="K37" s="1304">
        <f>名簿!CP34</f>
        <v>0</v>
      </c>
      <c r="L37" s="1305" t="str">
        <f>名簿!CU34</f>
        <v>00</v>
      </c>
      <c r="M37" s="160" t="str">
        <f>名簿!Q34</f>
        <v/>
      </c>
      <c r="N37" s="1312">
        <f>名簿!D34</f>
        <v>0</v>
      </c>
      <c r="O37" s="1295"/>
      <c r="P37" s="258" t="str">
        <f>IF(O37="","",IF(I37=1,VLOOKUP(O37,男子種目コード!$A$1:$B$33,2,FALSE),IF(I37=2,VLOOKUP(O37,女子種目コード!$A$1:$B$28,2,FALSE))))</f>
        <v/>
      </c>
      <c r="Q37" s="494" t="str">
        <f>IF(O37="","",HLOOKUP(O37,名簿!$AH$3:$CH$118,32,FALSE))</f>
        <v/>
      </c>
      <c r="R37" s="624" t="str">
        <f t="shared" si="4"/>
        <v/>
      </c>
      <c r="S37" s="625" t="str">
        <f t="shared" si="5"/>
        <v/>
      </c>
      <c r="T37" s="303"/>
      <c r="U37" s="258" t="str">
        <f>IF(T37="","",IF(I37=1,VLOOKUP(T37,男子種目コード!$A$1:$B$33,2,FALSE),IF(I37=2,VLOOKUP(T37,女子種目コード!$A$1:$B$28,2,FALSE))))</f>
        <v/>
      </c>
      <c r="V37" s="494" t="str">
        <f>IF(T37="","",HLOOKUP(T37,名簿!$AH$3:$CH$118,32,FALSE))</f>
        <v/>
      </c>
      <c r="W37" s="624" t="str">
        <f t="shared" si="6"/>
        <v/>
      </c>
      <c r="X37" s="625" t="str">
        <f t="shared" si="7"/>
        <v/>
      </c>
      <c r="Y37" s="816"/>
      <c r="Z37" s="812" t="str">
        <f>IF(Y37="","",IF(I37=1,VLOOKUP(Y37,男子種目コード!$A$1:$B$33,2,FALSE),IF(I37=2,VLOOKUP(Y37,女子種目コード!$A$1:$B$27,2,FALSE))))</f>
        <v/>
      </c>
      <c r="AA37" s="304"/>
      <c r="AB37" s="303"/>
      <c r="AC37" s="517"/>
      <c r="AD37" s="518"/>
      <c r="AE37" s="624" t="str">
        <f t="shared" si="8"/>
        <v/>
      </c>
      <c r="AF37" s="625" t="str">
        <f t="shared" si="9"/>
        <v/>
      </c>
      <c r="AG37" s="519"/>
      <c r="AH37" s="520"/>
      <c r="AI37" s="521"/>
      <c r="AJ37" s="20"/>
      <c r="AK37" s="20"/>
      <c r="AM37" s="182" t="s">
        <v>206</v>
      </c>
      <c r="AN37" s="134" t="str">
        <f t="shared" si="0"/>
        <v/>
      </c>
      <c r="AO37" s="134" t="str">
        <f t="shared" si="1"/>
        <v/>
      </c>
      <c r="AQ37" s="134"/>
      <c r="AR37" s="134"/>
      <c r="AS37" s="181">
        <f t="shared" si="2"/>
        <v>0</v>
      </c>
      <c r="AT37" s="192">
        <v>200</v>
      </c>
      <c r="AU37" s="193">
        <f>COUNTIF($P$7:$P$116,41)+COUNTIF($U$7:$U$116,41)</f>
        <v>0</v>
      </c>
      <c r="AV37" s="289"/>
      <c r="AW37" s="289"/>
      <c r="AX37" s="265"/>
      <c r="AY37" s="300"/>
      <c r="AZ37" s="289"/>
      <c r="BA37" s="265"/>
      <c r="BB37" s="265"/>
      <c r="BC37" s="265"/>
      <c r="BD37" s="265"/>
      <c r="BE37" s="265"/>
      <c r="BF37" s="265"/>
      <c r="BG37" s="265"/>
      <c r="BH37" s="265"/>
      <c r="BI37" s="265"/>
      <c r="BJ37" s="265"/>
    </row>
    <row r="38" spans="1:62" ht="14.25" customHeight="1">
      <c r="A38" s="134" t="str">
        <f t="shared" si="3"/>
        <v/>
      </c>
      <c r="B38" s="160" t="str">
        <f>名簿!P35</f>
        <v/>
      </c>
      <c r="C38" s="160"/>
      <c r="D38" s="793"/>
      <c r="E38" s="180">
        <f>名簿!E35</f>
        <v>0</v>
      </c>
      <c r="F38" s="560" t="str">
        <f>名簿!CM35</f>
        <v/>
      </c>
      <c r="G38" s="160" t="str">
        <f>名簿!Z35</f>
        <v/>
      </c>
      <c r="H38" s="1302" t="str">
        <f>名簿!CM35</f>
        <v/>
      </c>
      <c r="I38" s="185" t="str">
        <f>名簿!Y35</f>
        <v/>
      </c>
      <c r="J38" s="1303" t="str">
        <f>名簿!CN35</f>
        <v/>
      </c>
      <c r="K38" s="1304">
        <f>名簿!CP35</f>
        <v>0</v>
      </c>
      <c r="L38" s="1305" t="str">
        <f>名簿!CU35</f>
        <v>00</v>
      </c>
      <c r="M38" s="160" t="str">
        <f>名簿!Q35</f>
        <v/>
      </c>
      <c r="N38" s="1312">
        <f>名簿!D35</f>
        <v>0</v>
      </c>
      <c r="O38" s="1295"/>
      <c r="P38" s="258" t="str">
        <f>IF(O38="","",IF(I38=1,VLOOKUP(O38,男子種目コード!$A$1:$B$33,2,FALSE),IF(I38=2,VLOOKUP(O38,女子種目コード!$A$1:$B$28,2,FALSE))))</f>
        <v/>
      </c>
      <c r="Q38" s="494" t="str">
        <f>IF(O38="","",HLOOKUP(O38,名簿!$AH$3:$CH$118,33,FALSE))</f>
        <v/>
      </c>
      <c r="R38" s="624" t="str">
        <f t="shared" si="4"/>
        <v/>
      </c>
      <c r="S38" s="625" t="str">
        <f t="shared" si="5"/>
        <v/>
      </c>
      <c r="T38" s="303"/>
      <c r="U38" s="258" t="str">
        <f>IF(T38="","",IF(I38=1,VLOOKUP(T38,男子種目コード!$A$1:$B$33,2,FALSE),IF(I38=2,VLOOKUP(T38,女子種目コード!$A$1:$B$28,2,FALSE))))</f>
        <v/>
      </c>
      <c r="V38" s="494" t="str">
        <f>IF(T38="","",HLOOKUP(T38,名簿!$AH$3:$CH$118,33,FALSE))</f>
        <v/>
      </c>
      <c r="W38" s="624" t="str">
        <f t="shared" si="6"/>
        <v/>
      </c>
      <c r="X38" s="625" t="str">
        <f t="shared" si="7"/>
        <v/>
      </c>
      <c r="Y38" s="816"/>
      <c r="Z38" s="812" t="str">
        <f>IF(Y38="","",IF(I38=1,VLOOKUP(Y38,男子種目コード!$A$1:$B$33,2,FALSE),IF(I38=2,VLOOKUP(Y38,女子種目コード!$A$1:$B$27,2,FALSE))))</f>
        <v/>
      </c>
      <c r="AA38" s="304"/>
      <c r="AB38" s="303"/>
      <c r="AC38" s="517"/>
      <c r="AD38" s="518"/>
      <c r="AE38" s="624" t="str">
        <f t="shared" si="8"/>
        <v/>
      </c>
      <c r="AF38" s="625" t="str">
        <f t="shared" si="9"/>
        <v/>
      </c>
      <c r="AG38" s="519"/>
      <c r="AH38" s="520"/>
      <c r="AI38" s="521"/>
      <c r="AJ38" s="20"/>
      <c r="AK38" s="20"/>
      <c r="AM38" s="142"/>
      <c r="AN38" s="134" t="str">
        <f t="shared" si="0"/>
        <v/>
      </c>
      <c r="AO38" s="134" t="str">
        <f t="shared" si="1"/>
        <v/>
      </c>
      <c r="AQ38" s="134"/>
      <c r="AR38" s="134"/>
      <c r="AS38" s="181">
        <f t="shared" si="2"/>
        <v>0</v>
      </c>
      <c r="AT38" s="192">
        <v>400</v>
      </c>
      <c r="AU38" s="193">
        <f>COUNTIF($P$7:$P$116,42)+COUNTIF($U$7:$U$116,42)</f>
        <v>0</v>
      </c>
      <c r="AV38" s="289"/>
      <c r="AW38" s="289"/>
      <c r="AX38" s="265"/>
      <c r="AY38" s="290"/>
      <c r="AZ38" s="290"/>
      <c r="BA38" s="265"/>
      <c r="BB38" s="265"/>
      <c r="BC38" s="265"/>
      <c r="BD38" s="265"/>
      <c r="BE38" s="265"/>
      <c r="BF38" s="265"/>
      <c r="BG38" s="265"/>
      <c r="BH38" s="265"/>
      <c r="BI38" s="265"/>
      <c r="BJ38" s="265"/>
    </row>
    <row r="39" spans="1:62" ht="14.25" customHeight="1">
      <c r="A39" s="134" t="str">
        <f t="shared" si="3"/>
        <v/>
      </c>
      <c r="B39" s="160" t="str">
        <f>名簿!P36</f>
        <v/>
      </c>
      <c r="C39" s="160"/>
      <c r="D39" s="793"/>
      <c r="E39" s="180">
        <f>名簿!E36</f>
        <v>0</v>
      </c>
      <c r="F39" s="560" t="str">
        <f>名簿!CM36</f>
        <v/>
      </c>
      <c r="G39" s="160" t="str">
        <f>名簿!Z36</f>
        <v/>
      </c>
      <c r="H39" s="1302" t="str">
        <f>名簿!CM36</f>
        <v/>
      </c>
      <c r="I39" s="185" t="str">
        <f>名簿!Y36</f>
        <v/>
      </c>
      <c r="J39" s="1303" t="str">
        <f>名簿!CN36</f>
        <v/>
      </c>
      <c r="K39" s="1304">
        <f>名簿!CP36</f>
        <v>0</v>
      </c>
      <c r="L39" s="1305" t="str">
        <f>名簿!CU36</f>
        <v>00</v>
      </c>
      <c r="M39" s="160" t="str">
        <f>名簿!Q36</f>
        <v/>
      </c>
      <c r="N39" s="1312">
        <f>名簿!D36</f>
        <v>0</v>
      </c>
      <c r="O39" s="1295"/>
      <c r="P39" s="258" t="str">
        <f>IF(O39="","",IF(I39=1,VLOOKUP(O39,男子種目コード!$A$1:$B$33,2,FALSE),IF(I39=2,VLOOKUP(O39,女子種目コード!$A$1:$B$28,2,FALSE))))</f>
        <v/>
      </c>
      <c r="Q39" s="494" t="str">
        <f>IF(O39="","",HLOOKUP(O39,名簿!$AH$3:$CH$118,34,FALSE))</f>
        <v/>
      </c>
      <c r="R39" s="624" t="str">
        <f t="shared" si="4"/>
        <v/>
      </c>
      <c r="S39" s="625" t="str">
        <f t="shared" si="5"/>
        <v/>
      </c>
      <c r="T39" s="303"/>
      <c r="U39" s="258" t="str">
        <f>IF(T39="","",IF(I39=1,VLOOKUP(T39,男子種目コード!$A$1:$B$33,2,FALSE),IF(I39=2,VLOOKUP(T39,女子種目コード!$A$1:$B$28,2,FALSE))))</f>
        <v/>
      </c>
      <c r="V39" s="494" t="str">
        <f>IF(T39="","",HLOOKUP(T39,名簿!$AH$3:$CH$118,34,FALSE))</f>
        <v/>
      </c>
      <c r="W39" s="624" t="str">
        <f t="shared" si="6"/>
        <v/>
      </c>
      <c r="X39" s="625" t="str">
        <f t="shared" si="7"/>
        <v/>
      </c>
      <c r="Y39" s="816"/>
      <c r="Z39" s="812" t="str">
        <f>IF(Y39="","",IF(I39=1,VLOOKUP(Y39,男子種目コード!$A$1:$B$33,2,FALSE),IF(I39=2,VLOOKUP(Y39,女子種目コード!$A$1:$B$27,2,FALSE))))</f>
        <v/>
      </c>
      <c r="AA39" s="304"/>
      <c r="AB39" s="303"/>
      <c r="AC39" s="517"/>
      <c r="AD39" s="518"/>
      <c r="AE39" s="624" t="str">
        <f t="shared" si="8"/>
        <v/>
      </c>
      <c r="AF39" s="625" t="str">
        <f t="shared" si="9"/>
        <v/>
      </c>
      <c r="AG39" s="519"/>
      <c r="AH39" s="520"/>
      <c r="AI39" s="521"/>
      <c r="AJ39" s="20"/>
      <c r="AK39" s="20"/>
      <c r="AM39" s="142"/>
      <c r="AN39" s="134" t="str">
        <f t="shared" ref="AN39:AN70" si="12">IF(O39="","",1)</f>
        <v/>
      </c>
      <c r="AO39" s="134" t="str">
        <f t="shared" ref="AO39:AO70" si="13">IF(T39="","",1)</f>
        <v/>
      </c>
      <c r="AQ39" s="134"/>
      <c r="AR39" s="134"/>
      <c r="AS39" s="181">
        <f t="shared" ref="AS39:AS70" si="14">E39</f>
        <v>0</v>
      </c>
      <c r="AT39" s="192">
        <v>800</v>
      </c>
      <c r="AU39" s="193">
        <f>COUNTIF($P$7:$P$116,43)+COUNTIF($U$7:$U$116,43)</f>
        <v>0</v>
      </c>
      <c r="AV39" s="289"/>
      <c r="AW39" s="289"/>
      <c r="AX39" s="265"/>
      <c r="AY39" s="290"/>
      <c r="AZ39" s="290"/>
      <c r="BA39" s="265"/>
      <c r="BB39" s="265"/>
      <c r="BC39" s="265"/>
      <c r="BD39" s="265"/>
      <c r="BE39" s="265"/>
      <c r="BF39" s="265"/>
      <c r="BG39" s="265"/>
      <c r="BH39" s="265"/>
      <c r="BI39" s="265"/>
      <c r="BJ39" s="265"/>
    </row>
    <row r="40" spans="1:62" ht="14.25" customHeight="1">
      <c r="A40" s="134" t="str">
        <f t="shared" si="3"/>
        <v/>
      </c>
      <c r="B40" s="160" t="str">
        <f>名簿!P37</f>
        <v/>
      </c>
      <c r="C40" s="160"/>
      <c r="D40" s="793"/>
      <c r="E40" s="180">
        <f>名簿!E37</f>
        <v>0</v>
      </c>
      <c r="F40" s="560" t="str">
        <f>名簿!CM37</f>
        <v/>
      </c>
      <c r="G40" s="160" t="str">
        <f>名簿!Z37</f>
        <v/>
      </c>
      <c r="H40" s="1302" t="str">
        <f>名簿!CM37</f>
        <v/>
      </c>
      <c r="I40" s="185" t="str">
        <f>名簿!Y37</f>
        <v/>
      </c>
      <c r="J40" s="1303" t="str">
        <f>名簿!CN37</f>
        <v/>
      </c>
      <c r="K40" s="1304">
        <f>名簿!CP37</f>
        <v>0</v>
      </c>
      <c r="L40" s="1305" t="str">
        <f>名簿!CU37</f>
        <v>00</v>
      </c>
      <c r="M40" s="160" t="str">
        <f>名簿!Q37</f>
        <v/>
      </c>
      <c r="N40" s="1312">
        <f>名簿!D37</f>
        <v>0</v>
      </c>
      <c r="O40" s="1295"/>
      <c r="P40" s="258" t="str">
        <f>IF(O40="","",IF(I40=1,VLOOKUP(O40,男子種目コード!$A$1:$B$33,2,FALSE),IF(I40=2,VLOOKUP(O40,女子種目コード!$A$1:$B$28,2,FALSE))))</f>
        <v/>
      </c>
      <c r="Q40" s="494" t="str">
        <f>IF(O40="","",HLOOKUP(O40,名簿!$AH$3:$CH$118,35,FALSE))</f>
        <v/>
      </c>
      <c r="R40" s="624" t="str">
        <f t="shared" si="4"/>
        <v/>
      </c>
      <c r="S40" s="625" t="str">
        <f t="shared" si="5"/>
        <v/>
      </c>
      <c r="T40" s="303"/>
      <c r="U40" s="258" t="str">
        <f>IF(T40="","",IF(I40=1,VLOOKUP(T40,男子種目コード!$A$1:$B$33,2,FALSE),IF(I40=2,VLOOKUP(T40,女子種目コード!$A$1:$B$28,2,FALSE))))</f>
        <v/>
      </c>
      <c r="V40" s="494" t="str">
        <f>IF(T40="","",HLOOKUP(T40,名簿!$AH$3:$CH$118,35,FALSE))</f>
        <v/>
      </c>
      <c r="W40" s="624" t="str">
        <f t="shared" si="6"/>
        <v/>
      </c>
      <c r="X40" s="625" t="str">
        <f t="shared" si="7"/>
        <v/>
      </c>
      <c r="Y40" s="816"/>
      <c r="Z40" s="812" t="str">
        <f>IF(Y40="","",IF(I40=1,VLOOKUP(Y40,男子種目コード!$A$1:$B$33,2,FALSE),IF(I40=2,VLOOKUP(Y40,女子種目コード!$A$1:$B$27,2,FALSE))))</f>
        <v/>
      </c>
      <c r="AA40" s="304"/>
      <c r="AB40" s="303"/>
      <c r="AC40" s="517"/>
      <c r="AD40" s="518"/>
      <c r="AE40" s="624" t="str">
        <f t="shared" si="8"/>
        <v/>
      </c>
      <c r="AF40" s="625" t="str">
        <f t="shared" si="9"/>
        <v/>
      </c>
      <c r="AG40" s="519"/>
      <c r="AH40" s="520"/>
      <c r="AI40" s="521"/>
      <c r="AJ40" s="20"/>
      <c r="AK40" s="20"/>
      <c r="AM40" s="142"/>
      <c r="AN40" s="134" t="str">
        <f t="shared" si="12"/>
        <v/>
      </c>
      <c r="AO40" s="134" t="str">
        <f t="shared" si="13"/>
        <v/>
      </c>
      <c r="AQ40" s="134"/>
      <c r="AR40" s="134"/>
      <c r="AS40" s="181">
        <f t="shared" si="14"/>
        <v>0</v>
      </c>
      <c r="AT40" s="192">
        <v>1500</v>
      </c>
      <c r="AU40" s="193">
        <f>COUNTIF($P$7:$P$116,44)+COUNTIF($U$7:$U$116,44)</f>
        <v>0</v>
      </c>
      <c r="AV40" s="289"/>
      <c r="AW40" s="289"/>
      <c r="AX40" s="265"/>
      <c r="AY40" s="290"/>
      <c r="AZ40" s="290"/>
      <c r="BA40" s="265"/>
      <c r="BB40" s="265"/>
      <c r="BC40" s="265"/>
      <c r="BD40" s="265"/>
      <c r="BE40" s="265"/>
      <c r="BF40" s="265"/>
      <c r="BG40" s="265"/>
      <c r="BH40" s="265"/>
      <c r="BI40" s="265"/>
      <c r="BJ40" s="265"/>
    </row>
    <row r="41" spans="1:62" ht="14.25" customHeight="1">
      <c r="A41" s="134" t="str">
        <f t="shared" si="3"/>
        <v/>
      </c>
      <c r="B41" s="160" t="str">
        <f>名簿!P38</f>
        <v/>
      </c>
      <c r="C41" s="160"/>
      <c r="D41" s="793"/>
      <c r="E41" s="180">
        <f>名簿!E38</f>
        <v>0</v>
      </c>
      <c r="F41" s="560" t="str">
        <f>名簿!CM38</f>
        <v/>
      </c>
      <c r="G41" s="160" t="str">
        <f>名簿!Z38</f>
        <v/>
      </c>
      <c r="H41" s="1302" t="str">
        <f>名簿!CM38</f>
        <v/>
      </c>
      <c r="I41" s="185" t="str">
        <f>名簿!Y38</f>
        <v/>
      </c>
      <c r="J41" s="1303" t="str">
        <f>名簿!CN38</f>
        <v/>
      </c>
      <c r="K41" s="1304">
        <f>名簿!CP38</f>
        <v>0</v>
      </c>
      <c r="L41" s="1305" t="str">
        <f>名簿!CU38</f>
        <v>00</v>
      </c>
      <c r="M41" s="160" t="str">
        <f>名簿!Q38</f>
        <v/>
      </c>
      <c r="N41" s="1312">
        <f>名簿!D38</f>
        <v>0</v>
      </c>
      <c r="O41" s="1295"/>
      <c r="P41" s="258" t="str">
        <f>IF(O41="","",IF(I41=1,VLOOKUP(O41,男子種目コード!$A$1:$B$33,2,FALSE),IF(I41=2,VLOOKUP(O41,女子種目コード!$A$1:$B$28,2,FALSE))))</f>
        <v/>
      </c>
      <c r="Q41" s="494" t="str">
        <f>IF(O41="","",HLOOKUP(O41,名簿!$AH$3:$CH$118,36,FALSE))</f>
        <v/>
      </c>
      <c r="R41" s="624" t="str">
        <f t="shared" si="4"/>
        <v/>
      </c>
      <c r="S41" s="625" t="str">
        <f t="shared" si="5"/>
        <v/>
      </c>
      <c r="T41" s="303"/>
      <c r="U41" s="258" t="str">
        <f>IF(T41="","",IF(I41=1,VLOOKUP(T41,男子種目コード!$A$1:$B$33,2,FALSE),IF(I41=2,VLOOKUP(T41,女子種目コード!$A$1:$B$28,2,FALSE))))</f>
        <v/>
      </c>
      <c r="V41" s="494" t="str">
        <f>IF(T41="","",HLOOKUP(T41,名簿!$AH$3:$CH$118,36,FALSE))</f>
        <v/>
      </c>
      <c r="W41" s="624" t="str">
        <f t="shared" si="6"/>
        <v/>
      </c>
      <c r="X41" s="625" t="str">
        <f t="shared" si="7"/>
        <v/>
      </c>
      <c r="Y41" s="816"/>
      <c r="Z41" s="812" t="str">
        <f>IF(Y41="","",IF(I41=1,VLOOKUP(Y41,男子種目コード!$A$1:$B$33,2,FALSE),IF(I41=2,VLOOKUP(Y41,女子種目コード!$A$1:$B$27,2,FALSE))))</f>
        <v/>
      </c>
      <c r="AA41" s="304"/>
      <c r="AB41" s="303"/>
      <c r="AC41" s="517"/>
      <c r="AD41" s="518"/>
      <c r="AE41" s="624" t="str">
        <f t="shared" si="8"/>
        <v/>
      </c>
      <c r="AF41" s="625" t="str">
        <f t="shared" si="9"/>
        <v/>
      </c>
      <c r="AG41" s="519"/>
      <c r="AH41" s="520"/>
      <c r="AI41" s="521"/>
      <c r="AJ41" s="20"/>
      <c r="AK41" s="20"/>
      <c r="AM41" s="142"/>
      <c r="AN41" s="134" t="str">
        <f t="shared" si="12"/>
        <v/>
      </c>
      <c r="AO41" s="134" t="str">
        <f t="shared" si="13"/>
        <v/>
      </c>
      <c r="AQ41" s="134"/>
      <c r="AR41" s="134"/>
      <c r="AS41" s="181">
        <f t="shared" si="14"/>
        <v>0</v>
      </c>
      <c r="AT41" s="194" t="s">
        <v>338</v>
      </c>
      <c r="AU41" s="193">
        <f>COUNTIF($P$7:$P$116,64)+COUNTIF($U$7:$U$116,64)</f>
        <v>0</v>
      </c>
      <c r="AV41" s="289"/>
      <c r="AW41" s="289"/>
      <c r="AX41" s="265"/>
      <c r="AY41" s="290"/>
      <c r="AZ41" s="290"/>
      <c r="BA41" s="265"/>
      <c r="BB41" s="265"/>
      <c r="BC41" s="265"/>
      <c r="BD41" s="265"/>
      <c r="BE41" s="265"/>
      <c r="BF41" s="265"/>
      <c r="BG41" s="265"/>
      <c r="BH41" s="265"/>
      <c r="BI41" s="265"/>
      <c r="BJ41" s="265"/>
    </row>
    <row r="42" spans="1:62" ht="14.25" customHeight="1">
      <c r="A42" s="134" t="str">
        <f t="shared" si="3"/>
        <v/>
      </c>
      <c r="B42" s="160" t="str">
        <f>名簿!P39</f>
        <v/>
      </c>
      <c r="C42" s="160"/>
      <c r="D42" s="793"/>
      <c r="E42" s="180">
        <f>名簿!E39</f>
        <v>0</v>
      </c>
      <c r="F42" s="560" t="str">
        <f>名簿!CM39</f>
        <v/>
      </c>
      <c r="G42" s="160" t="str">
        <f>名簿!Z39</f>
        <v/>
      </c>
      <c r="H42" s="1302" t="str">
        <f>名簿!CM39</f>
        <v/>
      </c>
      <c r="I42" s="185" t="str">
        <f>名簿!Y39</f>
        <v/>
      </c>
      <c r="J42" s="1303" t="str">
        <f>名簿!CN39</f>
        <v/>
      </c>
      <c r="K42" s="1304">
        <f>名簿!CP39</f>
        <v>0</v>
      </c>
      <c r="L42" s="1305" t="str">
        <f>名簿!CU39</f>
        <v>00</v>
      </c>
      <c r="M42" s="160" t="str">
        <f>名簿!Q39</f>
        <v/>
      </c>
      <c r="N42" s="1312">
        <f>名簿!D39</f>
        <v>0</v>
      </c>
      <c r="O42" s="1295"/>
      <c r="P42" s="258" t="str">
        <f>IF(O42="","",IF(I42=1,VLOOKUP(O42,男子種目コード!$A$1:$B$33,2,FALSE),IF(I42=2,VLOOKUP(O42,女子種目コード!$A$1:$B$28,2,FALSE))))</f>
        <v/>
      </c>
      <c r="Q42" s="494" t="str">
        <f>IF(O42="","",HLOOKUP(O42,名簿!$AH$3:$CH$118,37,FALSE))</f>
        <v/>
      </c>
      <c r="R42" s="624" t="str">
        <f t="shared" si="4"/>
        <v/>
      </c>
      <c r="S42" s="625" t="str">
        <f t="shared" si="5"/>
        <v/>
      </c>
      <c r="T42" s="303"/>
      <c r="U42" s="258" t="str">
        <f>IF(T42="","",IF(I42=1,VLOOKUP(T42,男子種目コード!$A$1:$B$33,2,FALSE),IF(I42=2,VLOOKUP(T42,女子種目コード!$A$1:$B$28,2,FALSE))))</f>
        <v/>
      </c>
      <c r="V42" s="494" t="str">
        <f>IF(T42="","",HLOOKUP(T42,名簿!$AH$3:$CH$118,37,FALSE))</f>
        <v/>
      </c>
      <c r="W42" s="624" t="str">
        <f t="shared" si="6"/>
        <v/>
      </c>
      <c r="X42" s="625" t="str">
        <f t="shared" si="7"/>
        <v/>
      </c>
      <c r="Y42" s="816"/>
      <c r="Z42" s="812" t="str">
        <f>IF(Y42="","",IF(I42=1,VLOOKUP(Y42,男子種目コード!$A$1:$B$33,2,FALSE),IF(I42=2,VLOOKUP(Y42,女子種目コード!$A$1:$B$27,2,FALSE))))</f>
        <v/>
      </c>
      <c r="AA42" s="304"/>
      <c r="AB42" s="303"/>
      <c r="AC42" s="517"/>
      <c r="AD42" s="518"/>
      <c r="AE42" s="624" t="str">
        <f t="shared" si="8"/>
        <v/>
      </c>
      <c r="AF42" s="625" t="str">
        <f t="shared" si="9"/>
        <v/>
      </c>
      <c r="AG42" s="519"/>
      <c r="AH42" s="520"/>
      <c r="AI42" s="521"/>
      <c r="AJ42" s="20"/>
      <c r="AK42" s="20"/>
      <c r="AM42" s="142"/>
      <c r="AN42" s="134" t="str">
        <f t="shared" si="12"/>
        <v/>
      </c>
      <c r="AO42" s="134" t="str">
        <f t="shared" si="13"/>
        <v/>
      </c>
      <c r="AQ42" s="134"/>
      <c r="AR42" s="134"/>
      <c r="AS42" s="181">
        <f t="shared" si="14"/>
        <v>0</v>
      </c>
      <c r="AT42" s="192">
        <v>5000</v>
      </c>
      <c r="AU42" s="193">
        <f>COUNTIF($P$7:$P$116,46)+COUNTIF($U$7:$U$116,46)</f>
        <v>0</v>
      </c>
      <c r="AV42" s="289"/>
      <c r="AW42" s="289"/>
      <c r="AX42" s="265"/>
      <c r="AY42" s="290"/>
      <c r="AZ42" s="290"/>
      <c r="BA42" s="265"/>
      <c r="BB42" s="265"/>
      <c r="BC42" s="265"/>
      <c r="BD42" s="265"/>
      <c r="BE42" s="265"/>
      <c r="BF42" s="265"/>
      <c r="BG42" s="265"/>
      <c r="BH42" s="265"/>
      <c r="BI42" s="265"/>
      <c r="BJ42" s="265"/>
    </row>
    <row r="43" spans="1:62" ht="14.25" customHeight="1">
      <c r="A43" s="134" t="str">
        <f t="shared" si="3"/>
        <v/>
      </c>
      <c r="B43" s="160" t="str">
        <f>名簿!P40</f>
        <v/>
      </c>
      <c r="C43" s="160"/>
      <c r="D43" s="793"/>
      <c r="E43" s="180">
        <f>名簿!E40</f>
        <v>0</v>
      </c>
      <c r="F43" s="560" t="str">
        <f>名簿!CM40</f>
        <v/>
      </c>
      <c r="G43" s="160" t="str">
        <f>名簿!Z40</f>
        <v/>
      </c>
      <c r="H43" s="1302" t="str">
        <f>名簿!CM40</f>
        <v/>
      </c>
      <c r="I43" s="185" t="str">
        <f>名簿!Y40</f>
        <v/>
      </c>
      <c r="J43" s="1303" t="str">
        <f>名簿!CN40</f>
        <v/>
      </c>
      <c r="K43" s="1304">
        <f>名簿!CP40</f>
        <v>0</v>
      </c>
      <c r="L43" s="1305" t="str">
        <f>名簿!CU40</f>
        <v>00</v>
      </c>
      <c r="M43" s="160" t="str">
        <f>名簿!Q40</f>
        <v/>
      </c>
      <c r="N43" s="1312">
        <f>名簿!D40</f>
        <v>0</v>
      </c>
      <c r="O43" s="1295"/>
      <c r="P43" s="258" t="str">
        <f>IF(O43="","",IF(I43=1,VLOOKUP(O43,男子種目コード!$A$1:$B$33,2,FALSE),IF(I43=2,VLOOKUP(O43,女子種目コード!$A$1:$B$28,2,FALSE))))</f>
        <v/>
      </c>
      <c r="Q43" s="494" t="str">
        <f>IF(O43="","",HLOOKUP(O43,名簿!$AH$3:$CH$118,38,FALSE))</f>
        <v/>
      </c>
      <c r="R43" s="624" t="str">
        <f t="shared" si="4"/>
        <v/>
      </c>
      <c r="S43" s="625" t="str">
        <f t="shared" si="5"/>
        <v/>
      </c>
      <c r="T43" s="303"/>
      <c r="U43" s="258" t="str">
        <f>IF(T43="","",IF(I43=1,VLOOKUP(T43,男子種目コード!$A$1:$B$33,2,FALSE),IF(I43=2,VLOOKUP(T43,女子種目コード!$A$1:$B$28,2,FALSE))))</f>
        <v/>
      </c>
      <c r="V43" s="494" t="str">
        <f>IF(T43="","",HLOOKUP(T43,名簿!$AH$3:$CH$118,38,FALSE))</f>
        <v/>
      </c>
      <c r="W43" s="624" t="str">
        <f t="shared" si="6"/>
        <v/>
      </c>
      <c r="X43" s="625" t="str">
        <f t="shared" si="7"/>
        <v/>
      </c>
      <c r="Y43" s="816"/>
      <c r="Z43" s="812" t="str">
        <f>IF(Y43="","",IF(I43=1,VLOOKUP(Y43,男子種目コード!$A$1:$B$33,2,FALSE),IF(I43=2,VLOOKUP(Y43,女子種目コード!$A$1:$B$27,2,FALSE))))</f>
        <v/>
      </c>
      <c r="AA43" s="304"/>
      <c r="AB43" s="303"/>
      <c r="AC43" s="517"/>
      <c r="AD43" s="518"/>
      <c r="AE43" s="624" t="str">
        <f t="shared" si="8"/>
        <v/>
      </c>
      <c r="AF43" s="625" t="str">
        <f t="shared" si="9"/>
        <v/>
      </c>
      <c r="AG43" s="519"/>
      <c r="AH43" s="520"/>
      <c r="AI43" s="521"/>
      <c r="AJ43" s="20"/>
      <c r="AK43" s="20"/>
      <c r="AM43" s="142"/>
      <c r="AN43" s="134" t="str">
        <f t="shared" si="12"/>
        <v/>
      </c>
      <c r="AO43" s="134" t="str">
        <f t="shared" si="13"/>
        <v/>
      </c>
      <c r="AQ43" s="134"/>
      <c r="AR43" s="134"/>
      <c r="AS43" s="181">
        <f t="shared" si="14"/>
        <v>0</v>
      </c>
      <c r="AT43" s="192">
        <v>10000</v>
      </c>
      <c r="AU43" s="193">
        <f>COUNTIF($P$7:$P$116,47)+COUNTIF($U$7:$U$116,47)</f>
        <v>0</v>
      </c>
      <c r="AV43" s="289"/>
      <c r="AW43" s="289"/>
      <c r="AX43" s="265"/>
      <c r="AY43" s="290"/>
      <c r="AZ43" s="290"/>
      <c r="BA43" s="265"/>
      <c r="BB43" s="265"/>
      <c r="BC43" s="265"/>
      <c r="BD43" s="265"/>
      <c r="BE43" s="265"/>
      <c r="BF43" s="265"/>
      <c r="BG43" s="265"/>
      <c r="BH43" s="265"/>
      <c r="BI43" s="265"/>
      <c r="BJ43" s="265"/>
    </row>
    <row r="44" spans="1:62" ht="14.25" customHeight="1">
      <c r="A44" s="134" t="str">
        <f t="shared" si="3"/>
        <v/>
      </c>
      <c r="B44" s="160" t="str">
        <f>名簿!P41</f>
        <v/>
      </c>
      <c r="C44" s="160"/>
      <c r="D44" s="793"/>
      <c r="E44" s="180">
        <f>名簿!E41</f>
        <v>0</v>
      </c>
      <c r="F44" s="560" t="str">
        <f>名簿!CM41</f>
        <v/>
      </c>
      <c r="G44" s="160" t="str">
        <f>名簿!Z41</f>
        <v/>
      </c>
      <c r="H44" s="1302" t="str">
        <f>名簿!CM41</f>
        <v/>
      </c>
      <c r="I44" s="185" t="str">
        <f>名簿!Y41</f>
        <v/>
      </c>
      <c r="J44" s="1303" t="str">
        <f>名簿!CN41</f>
        <v/>
      </c>
      <c r="K44" s="1304">
        <f>名簿!CP41</f>
        <v>0</v>
      </c>
      <c r="L44" s="1305" t="str">
        <f>名簿!CU41</f>
        <v>00</v>
      </c>
      <c r="M44" s="160" t="str">
        <f>名簿!Q41</f>
        <v/>
      </c>
      <c r="N44" s="1312">
        <f>名簿!D41</f>
        <v>0</v>
      </c>
      <c r="O44" s="1295"/>
      <c r="P44" s="258" t="str">
        <f>IF(O44="","",IF(I44=1,VLOOKUP(O44,男子種目コード!$A$1:$B$33,2,FALSE),IF(I44=2,VLOOKUP(O44,女子種目コード!$A$1:$B$28,2,FALSE))))</f>
        <v/>
      </c>
      <c r="Q44" s="494" t="str">
        <f>IF(O44="","",HLOOKUP(O44,名簿!$AH$3:$CH$118,39,FALSE))</f>
        <v/>
      </c>
      <c r="R44" s="624" t="str">
        <f t="shared" si="4"/>
        <v/>
      </c>
      <c r="S44" s="625" t="str">
        <f t="shared" si="5"/>
        <v/>
      </c>
      <c r="T44" s="303"/>
      <c r="U44" s="258" t="str">
        <f>IF(T44="","",IF(I44=1,VLOOKUP(T44,男子種目コード!$A$1:$B$33,2,FALSE),IF(I44=2,VLOOKUP(T44,女子種目コード!$A$1:$B$28,2,FALSE))))</f>
        <v/>
      </c>
      <c r="V44" s="494" t="str">
        <f>IF(T44="","",HLOOKUP(T44,名簿!$AH$3:$CH$118,39,FALSE))</f>
        <v/>
      </c>
      <c r="W44" s="624" t="str">
        <f t="shared" si="6"/>
        <v/>
      </c>
      <c r="X44" s="625" t="str">
        <f t="shared" si="7"/>
        <v/>
      </c>
      <c r="Y44" s="816"/>
      <c r="Z44" s="812" t="str">
        <f>IF(Y44="","",IF(I44=1,VLOOKUP(Y44,男子種目コード!$A$1:$B$33,2,FALSE),IF(I44=2,VLOOKUP(Y44,女子種目コード!$A$1:$B$27,2,FALSE))))</f>
        <v/>
      </c>
      <c r="AA44" s="304"/>
      <c r="AB44" s="303"/>
      <c r="AC44" s="517"/>
      <c r="AD44" s="518"/>
      <c r="AE44" s="624" t="str">
        <f t="shared" si="8"/>
        <v/>
      </c>
      <c r="AF44" s="625" t="str">
        <f t="shared" si="9"/>
        <v/>
      </c>
      <c r="AG44" s="519"/>
      <c r="AH44" s="520"/>
      <c r="AI44" s="521"/>
      <c r="AJ44" s="20"/>
      <c r="AK44" s="20"/>
      <c r="AM44" s="142"/>
      <c r="AN44" s="134" t="str">
        <f t="shared" si="12"/>
        <v/>
      </c>
      <c r="AO44" s="134" t="str">
        <f t="shared" si="13"/>
        <v/>
      </c>
      <c r="AQ44" s="134"/>
      <c r="AR44" s="134"/>
      <c r="AS44" s="181">
        <f t="shared" si="14"/>
        <v>0</v>
      </c>
      <c r="AT44" s="192" t="s">
        <v>267</v>
      </c>
      <c r="AU44" s="193">
        <f>COUNTIF($P$7:$P$116,48)+COUNTIF($U$7:$U$116,48)</f>
        <v>0</v>
      </c>
      <c r="AV44" s="289"/>
      <c r="AW44" s="289"/>
      <c r="AX44" s="265"/>
      <c r="AY44" s="290"/>
      <c r="AZ44" s="290"/>
      <c r="BA44" s="265"/>
      <c r="BB44" s="265"/>
      <c r="BC44" s="265"/>
      <c r="BD44" s="265"/>
      <c r="BE44" s="265"/>
      <c r="BF44" s="265"/>
      <c r="BG44" s="265"/>
      <c r="BH44" s="265"/>
      <c r="BI44" s="265"/>
      <c r="BJ44" s="265"/>
    </row>
    <row r="45" spans="1:62" ht="14.25" customHeight="1">
      <c r="A45" s="134" t="str">
        <f t="shared" si="3"/>
        <v/>
      </c>
      <c r="B45" s="160" t="str">
        <f>名簿!P42</f>
        <v/>
      </c>
      <c r="C45" s="160"/>
      <c r="D45" s="793"/>
      <c r="E45" s="180">
        <f>名簿!E42</f>
        <v>0</v>
      </c>
      <c r="F45" s="560" t="str">
        <f>名簿!CM42</f>
        <v/>
      </c>
      <c r="G45" s="160" t="str">
        <f>名簿!Z42</f>
        <v/>
      </c>
      <c r="H45" s="1302" t="str">
        <f>名簿!CM42</f>
        <v/>
      </c>
      <c r="I45" s="185" t="str">
        <f>名簿!Y42</f>
        <v/>
      </c>
      <c r="J45" s="1303" t="str">
        <f>名簿!CN42</f>
        <v/>
      </c>
      <c r="K45" s="1304">
        <f>名簿!CP42</f>
        <v>0</v>
      </c>
      <c r="L45" s="1305" t="str">
        <f>名簿!CU42</f>
        <v>00</v>
      </c>
      <c r="M45" s="160" t="str">
        <f>名簿!Q42</f>
        <v/>
      </c>
      <c r="N45" s="1312">
        <f>名簿!D42</f>
        <v>0</v>
      </c>
      <c r="O45" s="1295"/>
      <c r="P45" s="258" t="str">
        <f>IF(O45="","",IF(I45=1,VLOOKUP(O45,男子種目コード!$A$1:$B$33,2,FALSE),IF(I45=2,VLOOKUP(O45,女子種目コード!$A$1:$B$28,2,FALSE))))</f>
        <v/>
      </c>
      <c r="Q45" s="494" t="str">
        <f>IF(O45="","",HLOOKUP(O45,名簿!$AH$3:$CH$118,40,FALSE))</f>
        <v/>
      </c>
      <c r="R45" s="624" t="str">
        <f t="shared" si="4"/>
        <v/>
      </c>
      <c r="S45" s="625" t="str">
        <f t="shared" si="5"/>
        <v/>
      </c>
      <c r="T45" s="303"/>
      <c r="U45" s="258" t="str">
        <f>IF(T45="","",IF(I45=1,VLOOKUP(T45,男子種目コード!$A$1:$B$33,2,FALSE),IF(I45=2,VLOOKUP(T45,女子種目コード!$A$1:$B$28,2,FALSE))))</f>
        <v/>
      </c>
      <c r="V45" s="494" t="str">
        <f>IF(T45="","",HLOOKUP(T45,名簿!$AH$3:$CH$118,40,FALSE))</f>
        <v/>
      </c>
      <c r="W45" s="624" t="str">
        <f t="shared" si="6"/>
        <v/>
      </c>
      <c r="X45" s="625" t="str">
        <f t="shared" si="7"/>
        <v/>
      </c>
      <c r="Y45" s="816"/>
      <c r="Z45" s="812" t="str">
        <f>IF(Y45="","",IF(I45=1,VLOOKUP(Y45,男子種目コード!$A$1:$B$33,2,FALSE),IF(I45=2,VLOOKUP(Y45,女子種目コード!$A$1:$B$27,2,FALSE))))</f>
        <v/>
      </c>
      <c r="AA45" s="304"/>
      <c r="AB45" s="303"/>
      <c r="AC45" s="517"/>
      <c r="AD45" s="518"/>
      <c r="AE45" s="624" t="str">
        <f t="shared" si="8"/>
        <v/>
      </c>
      <c r="AF45" s="625" t="str">
        <f t="shared" si="9"/>
        <v/>
      </c>
      <c r="AG45" s="519"/>
      <c r="AH45" s="520"/>
      <c r="AI45" s="521"/>
      <c r="AJ45" s="20"/>
      <c r="AK45" s="20"/>
      <c r="AM45" s="142"/>
      <c r="AN45" s="134" t="str">
        <f t="shared" si="12"/>
        <v/>
      </c>
      <c r="AO45" s="134" t="str">
        <f t="shared" si="13"/>
        <v/>
      </c>
      <c r="AQ45" s="134"/>
      <c r="AR45" s="134"/>
      <c r="AS45" s="181">
        <f t="shared" si="14"/>
        <v>0</v>
      </c>
      <c r="AT45" s="194" t="s">
        <v>511</v>
      </c>
      <c r="AU45" s="193">
        <f>COUNTIF($P$7:$P$116,66)+COUNTIF($U$7:$U$116,66)</f>
        <v>0</v>
      </c>
      <c r="AV45" s="289"/>
      <c r="AW45" s="289"/>
      <c r="AX45" s="265"/>
      <c r="AY45" s="290"/>
      <c r="AZ45" s="290"/>
      <c r="BA45" s="265"/>
      <c r="BB45" s="265"/>
      <c r="BC45" s="265"/>
      <c r="BD45" s="265"/>
      <c r="BE45" s="265"/>
      <c r="BF45" s="265"/>
      <c r="BG45" s="265"/>
      <c r="BH45" s="265"/>
      <c r="BI45" s="265"/>
      <c r="BJ45" s="265"/>
    </row>
    <row r="46" spans="1:62" ht="14.25" customHeight="1">
      <c r="A46" s="134" t="str">
        <f t="shared" si="3"/>
        <v/>
      </c>
      <c r="B46" s="160" t="str">
        <f>名簿!P43</f>
        <v/>
      </c>
      <c r="C46" s="160"/>
      <c r="D46" s="793"/>
      <c r="E46" s="180">
        <f>名簿!E43</f>
        <v>0</v>
      </c>
      <c r="F46" s="560" t="str">
        <f>名簿!CM43</f>
        <v/>
      </c>
      <c r="G46" s="160" t="str">
        <f>名簿!Z43</f>
        <v/>
      </c>
      <c r="H46" s="1302" t="str">
        <f>名簿!CM43</f>
        <v/>
      </c>
      <c r="I46" s="185" t="str">
        <f>名簿!Y43</f>
        <v/>
      </c>
      <c r="J46" s="1303" t="str">
        <f>名簿!CN43</f>
        <v/>
      </c>
      <c r="K46" s="1304">
        <f>名簿!CP43</f>
        <v>0</v>
      </c>
      <c r="L46" s="1305" t="str">
        <f>名簿!CU43</f>
        <v>00</v>
      </c>
      <c r="M46" s="160" t="str">
        <f>名簿!Q43</f>
        <v/>
      </c>
      <c r="N46" s="1312">
        <f>名簿!D43</f>
        <v>0</v>
      </c>
      <c r="O46" s="1295"/>
      <c r="P46" s="258" t="str">
        <f>IF(O46="","",IF(I46=1,VLOOKUP(O46,男子種目コード!$A$1:$B$33,2,FALSE),IF(I46=2,VLOOKUP(O46,女子種目コード!$A$1:$B$28,2,FALSE))))</f>
        <v/>
      </c>
      <c r="Q46" s="494" t="str">
        <f>IF(O46="","",HLOOKUP(O46,名簿!$AH$3:$CH$118,41,FALSE))</f>
        <v/>
      </c>
      <c r="R46" s="624" t="str">
        <f t="shared" si="4"/>
        <v/>
      </c>
      <c r="S46" s="625" t="str">
        <f t="shared" si="5"/>
        <v/>
      </c>
      <c r="T46" s="303"/>
      <c r="U46" s="258" t="str">
        <f>IF(T46="","",IF(I46=1,VLOOKUP(T46,男子種目コード!$A$1:$B$33,2,FALSE),IF(I46=2,VLOOKUP(T46,女子種目コード!$A$1:$B$28,2,FALSE))))</f>
        <v/>
      </c>
      <c r="V46" s="494" t="str">
        <f>IF(T46="","",HLOOKUP(T46,名簿!$AH$3:$CH$118,41,FALSE))</f>
        <v/>
      </c>
      <c r="W46" s="624" t="str">
        <f t="shared" si="6"/>
        <v/>
      </c>
      <c r="X46" s="625" t="str">
        <f t="shared" si="7"/>
        <v/>
      </c>
      <c r="Y46" s="816"/>
      <c r="Z46" s="812" t="str">
        <f>IF(Y46="","",IF(I46=1,VLOOKUP(Y46,男子種目コード!$A$1:$B$33,2,FALSE),IF(I46=2,VLOOKUP(Y46,女子種目コード!$A$1:$B$27,2,FALSE))))</f>
        <v/>
      </c>
      <c r="AA46" s="304"/>
      <c r="AB46" s="303"/>
      <c r="AC46" s="517"/>
      <c r="AD46" s="518"/>
      <c r="AE46" s="624" t="str">
        <f t="shared" si="8"/>
        <v/>
      </c>
      <c r="AF46" s="625" t="str">
        <f t="shared" si="9"/>
        <v/>
      </c>
      <c r="AG46" s="519"/>
      <c r="AH46" s="520"/>
      <c r="AI46" s="521"/>
      <c r="AJ46" s="20"/>
      <c r="AK46" s="20"/>
      <c r="AM46" s="142"/>
      <c r="AN46" s="134" t="str">
        <f t="shared" si="12"/>
        <v/>
      </c>
      <c r="AO46" s="134" t="str">
        <f t="shared" si="13"/>
        <v/>
      </c>
      <c r="AQ46" s="134"/>
      <c r="AR46" s="134"/>
      <c r="AS46" s="181">
        <f t="shared" si="14"/>
        <v>0</v>
      </c>
      <c r="AT46" s="194" t="s">
        <v>339</v>
      </c>
      <c r="AU46" s="193">
        <f>COUNTIF($P$7:$P$116,65)+COUNTIF($U$7:$U$116,65)</f>
        <v>0</v>
      </c>
      <c r="AV46" s="289"/>
      <c r="AW46" s="289"/>
      <c r="AX46" s="265"/>
      <c r="AY46" s="290"/>
      <c r="AZ46" s="290"/>
      <c r="BA46" s="265"/>
      <c r="BB46" s="265"/>
      <c r="BC46" s="265"/>
      <c r="BD46" s="265"/>
      <c r="BE46" s="265"/>
      <c r="BF46" s="265"/>
      <c r="BG46" s="265"/>
      <c r="BH46" s="265"/>
      <c r="BI46" s="265"/>
      <c r="BJ46" s="265"/>
    </row>
    <row r="47" spans="1:62" ht="14.25" customHeight="1">
      <c r="A47" s="134" t="str">
        <f t="shared" si="3"/>
        <v/>
      </c>
      <c r="B47" s="160" t="str">
        <f>名簿!P44</f>
        <v/>
      </c>
      <c r="C47" s="160"/>
      <c r="D47" s="793"/>
      <c r="E47" s="180">
        <f>名簿!E44</f>
        <v>0</v>
      </c>
      <c r="F47" s="560" t="str">
        <f>名簿!CM44</f>
        <v/>
      </c>
      <c r="G47" s="160" t="str">
        <f>名簿!Z44</f>
        <v/>
      </c>
      <c r="H47" s="1302" t="str">
        <f>名簿!CM44</f>
        <v/>
      </c>
      <c r="I47" s="185" t="str">
        <f>名簿!Y44</f>
        <v/>
      </c>
      <c r="J47" s="1303" t="str">
        <f>名簿!CN44</f>
        <v/>
      </c>
      <c r="K47" s="1304">
        <f>名簿!CP44</f>
        <v>0</v>
      </c>
      <c r="L47" s="1305" t="str">
        <f>名簿!CU44</f>
        <v>00</v>
      </c>
      <c r="M47" s="160" t="str">
        <f>名簿!Q44</f>
        <v/>
      </c>
      <c r="N47" s="1312">
        <f>名簿!D44</f>
        <v>0</v>
      </c>
      <c r="O47" s="1295"/>
      <c r="P47" s="258" t="str">
        <f>IF(O47="","",IF(I47=1,VLOOKUP(O47,男子種目コード!$A$1:$B$33,2,FALSE),IF(I47=2,VLOOKUP(O47,女子種目コード!$A$1:$B$28,2,FALSE))))</f>
        <v/>
      </c>
      <c r="Q47" s="494" t="str">
        <f>IF(O47="","",HLOOKUP(O47,名簿!$AH$3:$CH$118,42,FALSE))</f>
        <v/>
      </c>
      <c r="R47" s="624" t="str">
        <f t="shared" si="4"/>
        <v/>
      </c>
      <c r="S47" s="625" t="str">
        <f t="shared" si="5"/>
        <v/>
      </c>
      <c r="T47" s="303"/>
      <c r="U47" s="258" t="str">
        <f>IF(T47="","",IF(I47=1,VLOOKUP(T47,男子種目コード!$A$1:$B$33,2,FALSE),IF(I47=2,VLOOKUP(T47,女子種目コード!$A$1:$B$28,2,FALSE))))</f>
        <v/>
      </c>
      <c r="V47" s="494" t="str">
        <f>IF(T47="","",HLOOKUP(T47,名簿!$AH$3:$CH$118,42,FALSE))</f>
        <v/>
      </c>
      <c r="W47" s="624" t="str">
        <f t="shared" si="6"/>
        <v/>
      </c>
      <c r="X47" s="625" t="str">
        <f t="shared" si="7"/>
        <v/>
      </c>
      <c r="Y47" s="816"/>
      <c r="Z47" s="812" t="str">
        <f>IF(Y47="","",IF(I47=1,VLOOKUP(Y47,男子種目コード!$A$1:$B$33,2,FALSE),IF(I47=2,VLOOKUP(Y47,女子種目コード!$A$1:$B$27,2,FALSE))))</f>
        <v/>
      </c>
      <c r="AA47" s="304"/>
      <c r="AB47" s="303"/>
      <c r="AC47" s="517"/>
      <c r="AD47" s="518"/>
      <c r="AE47" s="624" t="str">
        <f t="shared" si="8"/>
        <v/>
      </c>
      <c r="AF47" s="625" t="str">
        <f t="shared" si="9"/>
        <v/>
      </c>
      <c r="AG47" s="519"/>
      <c r="AH47" s="520"/>
      <c r="AI47" s="521"/>
      <c r="AJ47" s="20"/>
      <c r="AK47" s="20"/>
      <c r="AM47" s="142"/>
      <c r="AN47" s="134" t="str">
        <f t="shared" si="12"/>
        <v/>
      </c>
      <c r="AO47" s="134" t="str">
        <f t="shared" si="13"/>
        <v/>
      </c>
      <c r="AQ47" s="134"/>
      <c r="AR47" s="134"/>
      <c r="AS47" s="181">
        <f t="shared" si="14"/>
        <v>0</v>
      </c>
      <c r="AT47" s="194" t="s">
        <v>264</v>
      </c>
      <c r="AU47" s="193">
        <f>COUNTIF($P$7:$P$116,49)+COUNTIF($U$7:$U$116,49)</f>
        <v>0</v>
      </c>
      <c r="AV47" s="289"/>
      <c r="AW47" s="289"/>
      <c r="AX47" s="265"/>
      <c r="AY47" s="290"/>
      <c r="AZ47" s="290"/>
      <c r="BA47" s="265"/>
      <c r="BB47" s="265"/>
      <c r="BC47" s="265"/>
      <c r="BD47" s="265"/>
      <c r="BE47" s="265"/>
      <c r="BF47" s="265"/>
      <c r="BG47" s="265"/>
      <c r="BH47" s="265"/>
      <c r="BI47" s="265"/>
      <c r="BJ47" s="265"/>
    </row>
    <row r="48" spans="1:62" ht="14.25" customHeight="1">
      <c r="A48" s="134" t="str">
        <f t="shared" si="3"/>
        <v/>
      </c>
      <c r="B48" s="160" t="str">
        <f>名簿!P45</f>
        <v/>
      </c>
      <c r="C48" s="160"/>
      <c r="D48" s="793"/>
      <c r="E48" s="180">
        <f>名簿!E45</f>
        <v>0</v>
      </c>
      <c r="F48" s="560" t="str">
        <f>名簿!CM45</f>
        <v/>
      </c>
      <c r="G48" s="160" t="str">
        <f>名簿!Z45</f>
        <v/>
      </c>
      <c r="H48" s="1302" t="str">
        <f>名簿!CM45</f>
        <v/>
      </c>
      <c r="I48" s="185" t="str">
        <f>名簿!Y45</f>
        <v/>
      </c>
      <c r="J48" s="1303" t="str">
        <f>名簿!CN45</f>
        <v/>
      </c>
      <c r="K48" s="1304">
        <f>名簿!CP45</f>
        <v>0</v>
      </c>
      <c r="L48" s="1305" t="str">
        <f>名簿!CU45</f>
        <v>00</v>
      </c>
      <c r="M48" s="160" t="str">
        <f>名簿!Q45</f>
        <v/>
      </c>
      <c r="N48" s="1312">
        <f>名簿!D45</f>
        <v>0</v>
      </c>
      <c r="O48" s="1295"/>
      <c r="P48" s="258" t="str">
        <f>IF(O48="","",IF(I48=1,VLOOKUP(O48,男子種目コード!$A$1:$B$33,2,FALSE),IF(I48=2,VLOOKUP(O48,女子種目コード!$A$1:$B$28,2,FALSE))))</f>
        <v/>
      </c>
      <c r="Q48" s="494" t="str">
        <f>IF(O48="","",HLOOKUP(O48,名簿!$AH$3:$CH$118,43,FALSE))</f>
        <v/>
      </c>
      <c r="R48" s="624" t="str">
        <f t="shared" si="4"/>
        <v/>
      </c>
      <c r="S48" s="625" t="str">
        <f t="shared" si="5"/>
        <v/>
      </c>
      <c r="T48" s="303"/>
      <c r="U48" s="258" t="str">
        <f>IF(T48="","",IF(I48=1,VLOOKUP(T48,男子種目コード!$A$1:$B$33,2,FALSE),IF(I48=2,VLOOKUP(T48,女子種目コード!$A$1:$B$28,2,FALSE))))</f>
        <v/>
      </c>
      <c r="V48" s="494" t="str">
        <f>IF(T48="","",HLOOKUP(T48,名簿!$AH$3:$CH$118,43,FALSE))</f>
        <v/>
      </c>
      <c r="W48" s="624" t="str">
        <f t="shared" si="6"/>
        <v/>
      </c>
      <c r="X48" s="625" t="str">
        <f t="shared" si="7"/>
        <v/>
      </c>
      <c r="Y48" s="816"/>
      <c r="Z48" s="812" t="str">
        <f>IF(Y48="","",IF(I48=1,VLOOKUP(Y48,男子種目コード!$A$1:$B$33,2,FALSE),IF(I48=2,VLOOKUP(Y48,女子種目コード!$A$1:$B$27,2,FALSE))))</f>
        <v/>
      </c>
      <c r="AA48" s="304"/>
      <c r="AB48" s="303"/>
      <c r="AC48" s="517"/>
      <c r="AD48" s="518"/>
      <c r="AE48" s="624" t="str">
        <f t="shared" si="8"/>
        <v/>
      </c>
      <c r="AF48" s="625" t="str">
        <f t="shared" si="9"/>
        <v/>
      </c>
      <c r="AG48" s="519"/>
      <c r="AH48" s="520"/>
      <c r="AI48" s="521"/>
      <c r="AJ48" s="20"/>
      <c r="AK48" s="20"/>
      <c r="AM48" s="142"/>
      <c r="AN48" s="134" t="str">
        <f t="shared" si="12"/>
        <v/>
      </c>
      <c r="AO48" s="134" t="str">
        <f t="shared" si="13"/>
        <v/>
      </c>
      <c r="AQ48" s="134"/>
      <c r="AR48" s="134"/>
      <c r="AS48" s="181">
        <f t="shared" si="14"/>
        <v>0</v>
      </c>
      <c r="AT48" s="194" t="s">
        <v>266</v>
      </c>
      <c r="AU48" s="193">
        <f>COUNTIF($P$7:$P$116,52)+COUNTIF($U$7:$U$116,52)</f>
        <v>0</v>
      </c>
      <c r="AV48" s="289"/>
      <c r="AW48" s="289"/>
      <c r="AX48" s="265"/>
      <c r="AY48" s="290"/>
      <c r="AZ48" s="290"/>
      <c r="BA48" s="265"/>
      <c r="BB48" s="265"/>
      <c r="BC48" s="265"/>
      <c r="BD48" s="265"/>
      <c r="BE48" s="265"/>
      <c r="BF48" s="265"/>
      <c r="BG48" s="265"/>
      <c r="BH48" s="265"/>
      <c r="BI48" s="265"/>
      <c r="BJ48" s="265"/>
    </row>
    <row r="49" spans="1:62" ht="14.25" customHeight="1">
      <c r="A49" s="134" t="str">
        <f t="shared" si="3"/>
        <v/>
      </c>
      <c r="B49" s="160" t="str">
        <f>名簿!P46</f>
        <v/>
      </c>
      <c r="C49" s="160"/>
      <c r="D49" s="793"/>
      <c r="E49" s="180">
        <f>名簿!E46</f>
        <v>0</v>
      </c>
      <c r="F49" s="560" t="str">
        <f>名簿!CM46</f>
        <v/>
      </c>
      <c r="G49" s="160" t="str">
        <f>名簿!Z46</f>
        <v/>
      </c>
      <c r="H49" s="1302" t="str">
        <f>名簿!CM46</f>
        <v/>
      </c>
      <c r="I49" s="185" t="str">
        <f>名簿!Y46</f>
        <v/>
      </c>
      <c r="J49" s="1303" t="str">
        <f>名簿!CN46</f>
        <v/>
      </c>
      <c r="K49" s="1304">
        <f>名簿!CP46</f>
        <v>0</v>
      </c>
      <c r="L49" s="1305" t="str">
        <f>名簿!CU46</f>
        <v>00</v>
      </c>
      <c r="M49" s="160" t="str">
        <f>名簿!Q46</f>
        <v/>
      </c>
      <c r="N49" s="1312">
        <f>名簿!D46</f>
        <v>0</v>
      </c>
      <c r="O49" s="1295"/>
      <c r="P49" s="258" t="str">
        <f>IF(O49="","",IF(I49=1,VLOOKUP(O49,男子種目コード!$A$1:$B$33,2,FALSE),IF(I49=2,VLOOKUP(O49,女子種目コード!$A$1:$B$28,2,FALSE))))</f>
        <v/>
      </c>
      <c r="Q49" s="494" t="str">
        <f>IF(O49="","",HLOOKUP(O49,名簿!$AH$3:$CH$118,44,FALSE))</f>
        <v/>
      </c>
      <c r="R49" s="624" t="str">
        <f t="shared" si="4"/>
        <v/>
      </c>
      <c r="S49" s="625" t="str">
        <f t="shared" si="5"/>
        <v/>
      </c>
      <c r="T49" s="303"/>
      <c r="U49" s="258" t="str">
        <f>IF(T49="","",IF(I49=1,VLOOKUP(T49,男子種目コード!$A$1:$B$33,2,FALSE),IF(I49=2,VLOOKUP(T49,女子種目コード!$A$1:$B$28,2,FALSE))))</f>
        <v/>
      </c>
      <c r="V49" s="494" t="str">
        <f>IF(T49="","",HLOOKUP(T49,名簿!$AH$3:$CH$118,44,FALSE))</f>
        <v/>
      </c>
      <c r="W49" s="624" t="str">
        <f t="shared" si="6"/>
        <v/>
      </c>
      <c r="X49" s="625" t="str">
        <f t="shared" si="7"/>
        <v/>
      </c>
      <c r="Y49" s="816"/>
      <c r="Z49" s="812" t="str">
        <f>IF(Y49="","",IF(I49=1,VLOOKUP(Y49,男子種目コード!$A$1:$B$33,2,FALSE),IF(I49=2,VLOOKUP(Y49,女子種目コード!$A$1:$B$27,2,FALSE))))</f>
        <v/>
      </c>
      <c r="AA49" s="304"/>
      <c r="AB49" s="303"/>
      <c r="AC49" s="517"/>
      <c r="AD49" s="518"/>
      <c r="AE49" s="624" t="str">
        <f t="shared" si="8"/>
        <v/>
      </c>
      <c r="AF49" s="625" t="str">
        <f t="shared" si="9"/>
        <v/>
      </c>
      <c r="AG49" s="519"/>
      <c r="AH49" s="520"/>
      <c r="AI49" s="521"/>
      <c r="AJ49" s="20"/>
      <c r="AK49" s="20"/>
      <c r="AM49" s="142"/>
      <c r="AN49" s="134" t="str">
        <f t="shared" si="12"/>
        <v/>
      </c>
      <c r="AO49" s="134" t="str">
        <f t="shared" si="13"/>
        <v/>
      </c>
      <c r="AQ49" s="134"/>
      <c r="AR49" s="134"/>
      <c r="AS49" s="181">
        <f t="shared" si="14"/>
        <v>0</v>
      </c>
      <c r="AT49" s="194" t="s">
        <v>16</v>
      </c>
      <c r="AU49" s="193">
        <f>COUNTIF($P$7:$P$116,55)+COUNTIF($U$7:$U$116,55)</f>
        <v>0</v>
      </c>
      <c r="AV49" s="289"/>
      <c r="AW49" s="289"/>
      <c r="AX49" s="265"/>
      <c r="AY49" s="290"/>
      <c r="AZ49" s="290"/>
      <c r="BA49" s="265"/>
      <c r="BB49" s="265"/>
      <c r="BC49" s="265"/>
      <c r="BD49" s="265"/>
      <c r="BE49" s="265"/>
      <c r="BF49" s="265"/>
      <c r="BG49" s="265"/>
      <c r="BH49" s="265"/>
      <c r="BI49" s="265"/>
      <c r="BJ49" s="265"/>
    </row>
    <row r="50" spans="1:62" ht="14.25" customHeight="1">
      <c r="A50" s="134" t="str">
        <f t="shared" si="3"/>
        <v/>
      </c>
      <c r="B50" s="160" t="str">
        <f>名簿!P47</f>
        <v/>
      </c>
      <c r="C50" s="160"/>
      <c r="D50" s="793"/>
      <c r="E50" s="180">
        <f>名簿!E47</f>
        <v>0</v>
      </c>
      <c r="F50" s="560" t="str">
        <f>名簿!CM47</f>
        <v/>
      </c>
      <c r="G50" s="160" t="str">
        <f>名簿!Z47</f>
        <v/>
      </c>
      <c r="H50" s="1302" t="str">
        <f>名簿!CM47</f>
        <v/>
      </c>
      <c r="I50" s="185" t="str">
        <f>名簿!Y47</f>
        <v/>
      </c>
      <c r="J50" s="1303" t="str">
        <f>名簿!CN47</f>
        <v/>
      </c>
      <c r="K50" s="1304">
        <f>名簿!CP47</f>
        <v>0</v>
      </c>
      <c r="L50" s="1305" t="str">
        <f>名簿!CU47</f>
        <v>00</v>
      </c>
      <c r="M50" s="160" t="str">
        <f>名簿!Q47</f>
        <v/>
      </c>
      <c r="N50" s="1312">
        <f>名簿!D47</f>
        <v>0</v>
      </c>
      <c r="O50" s="1295"/>
      <c r="P50" s="258" t="str">
        <f>IF(O50="","",IF(I50=1,VLOOKUP(O50,男子種目コード!$A$1:$B$33,2,FALSE),IF(I50=2,VLOOKUP(O50,女子種目コード!$A$1:$B$28,2,FALSE))))</f>
        <v/>
      </c>
      <c r="Q50" s="494" t="str">
        <f>IF(O50="","",HLOOKUP(O50,名簿!$AH$3:$CH$118,45,FALSE))</f>
        <v/>
      </c>
      <c r="R50" s="624" t="str">
        <f t="shared" si="4"/>
        <v/>
      </c>
      <c r="S50" s="625" t="str">
        <f t="shared" si="5"/>
        <v/>
      </c>
      <c r="T50" s="303"/>
      <c r="U50" s="258" t="str">
        <f>IF(T50="","",IF(I50=1,VLOOKUP(T50,男子種目コード!$A$1:$B$33,2,FALSE),IF(I50=2,VLOOKUP(T50,女子種目コード!$A$1:$B$28,2,FALSE))))</f>
        <v/>
      </c>
      <c r="V50" s="494" t="str">
        <f>IF(T50="","",HLOOKUP(T50,名簿!$AH$3:$CH$118,45,FALSE))</f>
        <v/>
      </c>
      <c r="W50" s="624" t="str">
        <f t="shared" si="6"/>
        <v/>
      </c>
      <c r="X50" s="625" t="str">
        <f t="shared" si="7"/>
        <v/>
      </c>
      <c r="Y50" s="816"/>
      <c r="Z50" s="812" t="str">
        <f>IF(Y50="","",IF(I50=1,VLOOKUP(Y50,男子種目コード!$A$1:$B$33,2,FALSE),IF(I50=2,VLOOKUP(Y50,女子種目コード!$A$1:$B$27,2,FALSE))))</f>
        <v/>
      </c>
      <c r="AA50" s="304"/>
      <c r="AB50" s="303"/>
      <c r="AC50" s="517"/>
      <c r="AD50" s="518"/>
      <c r="AE50" s="624" t="str">
        <f t="shared" si="8"/>
        <v/>
      </c>
      <c r="AF50" s="625" t="str">
        <f t="shared" si="9"/>
        <v/>
      </c>
      <c r="AG50" s="519"/>
      <c r="AH50" s="520"/>
      <c r="AI50" s="521"/>
      <c r="AJ50" s="20"/>
      <c r="AK50" s="20"/>
      <c r="AM50" s="142"/>
      <c r="AN50" s="134" t="str">
        <f t="shared" si="12"/>
        <v/>
      </c>
      <c r="AO50" s="134" t="str">
        <f t="shared" si="13"/>
        <v/>
      </c>
      <c r="AQ50" s="134"/>
      <c r="AR50" s="134"/>
      <c r="AS50" s="181">
        <f t="shared" si="14"/>
        <v>0</v>
      </c>
      <c r="AT50" s="194" t="s">
        <v>20</v>
      </c>
      <c r="AU50" s="193">
        <f>COUNTIF($P$7:$P$116,56)+COUNTIF($U$7:$U$116,56)</f>
        <v>0</v>
      </c>
      <c r="AV50" s="289"/>
      <c r="AW50" s="289"/>
      <c r="AX50" s="265"/>
      <c r="AY50" s="290"/>
      <c r="AZ50" s="290"/>
      <c r="BA50" s="265"/>
      <c r="BB50" s="265"/>
      <c r="BC50" s="265"/>
      <c r="BD50" s="265"/>
      <c r="BE50" s="265"/>
      <c r="BF50" s="265"/>
      <c r="BG50" s="265"/>
      <c r="BH50" s="265"/>
      <c r="BI50" s="265"/>
      <c r="BJ50" s="265"/>
    </row>
    <row r="51" spans="1:62" ht="14.25" customHeight="1">
      <c r="A51" s="134" t="str">
        <f t="shared" si="3"/>
        <v/>
      </c>
      <c r="B51" s="160" t="str">
        <f>名簿!P48</f>
        <v/>
      </c>
      <c r="C51" s="160"/>
      <c r="D51" s="793"/>
      <c r="E51" s="180">
        <f>名簿!E48</f>
        <v>0</v>
      </c>
      <c r="F51" s="560" t="str">
        <f>名簿!CM48</f>
        <v/>
      </c>
      <c r="G51" s="160" t="str">
        <f>名簿!Z48</f>
        <v/>
      </c>
      <c r="H51" s="1302" t="str">
        <f>名簿!CM48</f>
        <v/>
      </c>
      <c r="I51" s="185" t="str">
        <f>名簿!Y48</f>
        <v/>
      </c>
      <c r="J51" s="1303" t="str">
        <f>名簿!CN48</f>
        <v/>
      </c>
      <c r="K51" s="1304">
        <f>名簿!CP48</f>
        <v>0</v>
      </c>
      <c r="L51" s="1305" t="str">
        <f>名簿!CU48</f>
        <v>00</v>
      </c>
      <c r="M51" s="160" t="str">
        <f>名簿!Q48</f>
        <v/>
      </c>
      <c r="N51" s="1312">
        <f>名簿!D48</f>
        <v>0</v>
      </c>
      <c r="O51" s="1295"/>
      <c r="P51" s="258" t="str">
        <f>IF(O51="","",IF(I51=1,VLOOKUP(O51,男子種目コード!$A$1:$B$33,2,FALSE),IF(I51=2,VLOOKUP(O51,女子種目コード!$A$1:$B$28,2,FALSE))))</f>
        <v/>
      </c>
      <c r="Q51" s="494" t="str">
        <f>IF(O51="","",HLOOKUP(O51,名簿!$AH$3:$CH$118,46,FALSE))</f>
        <v/>
      </c>
      <c r="R51" s="624" t="str">
        <f t="shared" si="4"/>
        <v/>
      </c>
      <c r="S51" s="625" t="str">
        <f t="shared" si="5"/>
        <v/>
      </c>
      <c r="T51" s="303"/>
      <c r="U51" s="258" t="str">
        <f>IF(T51="","",IF(I51=1,VLOOKUP(T51,男子種目コード!$A$1:$B$33,2,FALSE),IF(I51=2,VLOOKUP(T51,女子種目コード!$A$1:$B$28,2,FALSE))))</f>
        <v/>
      </c>
      <c r="V51" s="494" t="str">
        <f>IF(T51="","",HLOOKUP(T51,名簿!$AH$3:$CH$118,46,FALSE))</f>
        <v/>
      </c>
      <c r="W51" s="624" t="str">
        <f t="shared" si="6"/>
        <v/>
      </c>
      <c r="X51" s="625" t="str">
        <f t="shared" si="7"/>
        <v/>
      </c>
      <c r="Y51" s="816"/>
      <c r="Z51" s="812" t="str">
        <f>IF(Y51="","",IF(I51=1,VLOOKUP(Y51,男子種目コード!$A$1:$B$33,2,FALSE),IF(I51=2,VLOOKUP(Y51,女子種目コード!$A$1:$B$27,2,FALSE))))</f>
        <v/>
      </c>
      <c r="AA51" s="304"/>
      <c r="AB51" s="303"/>
      <c r="AC51" s="517"/>
      <c r="AD51" s="518"/>
      <c r="AE51" s="624" t="str">
        <f t="shared" si="8"/>
        <v/>
      </c>
      <c r="AF51" s="625" t="str">
        <f t="shared" si="9"/>
        <v/>
      </c>
      <c r="AG51" s="519"/>
      <c r="AH51" s="520"/>
      <c r="AI51" s="521"/>
      <c r="AJ51" s="20"/>
      <c r="AK51" s="20"/>
      <c r="AM51" s="142"/>
      <c r="AN51" s="134" t="str">
        <f t="shared" si="12"/>
        <v/>
      </c>
      <c r="AO51" s="134" t="str">
        <f t="shared" si="13"/>
        <v/>
      </c>
      <c r="AQ51" s="134"/>
      <c r="AR51" s="134"/>
      <c r="AS51" s="181">
        <f t="shared" si="14"/>
        <v>0</v>
      </c>
      <c r="AT51" s="194" t="s">
        <v>19</v>
      </c>
      <c r="AU51" s="193">
        <f>COUNTIF($P$7:$P$116,57)+COUNTIF($U$7:$U$116,57)</f>
        <v>0</v>
      </c>
      <c r="AV51" s="289"/>
      <c r="AW51" s="289"/>
      <c r="AX51" s="265"/>
      <c r="AY51" s="290"/>
      <c r="AZ51" s="290"/>
      <c r="BA51" s="265"/>
      <c r="BB51" s="265"/>
      <c r="BC51" s="265"/>
      <c r="BD51" s="265"/>
      <c r="BE51" s="265"/>
      <c r="BF51" s="265"/>
      <c r="BG51" s="265"/>
      <c r="BH51" s="265"/>
      <c r="BI51" s="265"/>
      <c r="BJ51" s="265"/>
    </row>
    <row r="52" spans="1:62" ht="14.25" customHeight="1">
      <c r="A52" s="134" t="str">
        <f t="shared" si="3"/>
        <v/>
      </c>
      <c r="B52" s="160" t="str">
        <f>名簿!P49</f>
        <v/>
      </c>
      <c r="C52" s="160"/>
      <c r="D52" s="793"/>
      <c r="E52" s="180">
        <f>名簿!E49</f>
        <v>0</v>
      </c>
      <c r="F52" s="560" t="str">
        <f>名簿!CM49</f>
        <v/>
      </c>
      <c r="G52" s="160" t="str">
        <f>名簿!Z49</f>
        <v/>
      </c>
      <c r="H52" s="1302" t="str">
        <f>名簿!CM49</f>
        <v/>
      </c>
      <c r="I52" s="185" t="str">
        <f>名簿!Y49</f>
        <v/>
      </c>
      <c r="J52" s="1303" t="str">
        <f>名簿!CN49</f>
        <v/>
      </c>
      <c r="K52" s="1304">
        <f>名簿!CP49</f>
        <v>0</v>
      </c>
      <c r="L52" s="1305" t="str">
        <f>名簿!CU49</f>
        <v>00</v>
      </c>
      <c r="M52" s="160" t="str">
        <f>名簿!Q49</f>
        <v/>
      </c>
      <c r="N52" s="1312">
        <f>名簿!D49</f>
        <v>0</v>
      </c>
      <c r="O52" s="1295"/>
      <c r="P52" s="258" t="str">
        <f>IF(O52="","",IF(I52=1,VLOOKUP(O52,男子種目コード!$A$1:$B$33,2,FALSE),IF(I52=2,VLOOKUP(O52,女子種目コード!$A$1:$B$28,2,FALSE))))</f>
        <v/>
      </c>
      <c r="Q52" s="494" t="str">
        <f>IF(O52="","",HLOOKUP(O52,名簿!$AH$3:$CH$118,47,FALSE))</f>
        <v/>
      </c>
      <c r="R52" s="624" t="str">
        <f t="shared" si="4"/>
        <v/>
      </c>
      <c r="S52" s="625" t="str">
        <f t="shared" si="5"/>
        <v/>
      </c>
      <c r="T52" s="303"/>
      <c r="U52" s="258" t="str">
        <f>IF(T52="","",IF(I52=1,VLOOKUP(T52,男子種目コード!$A$1:$B$33,2,FALSE),IF(I52=2,VLOOKUP(T52,女子種目コード!$A$1:$B$28,2,FALSE))))</f>
        <v/>
      </c>
      <c r="V52" s="494" t="str">
        <f>IF(T52="","",HLOOKUP(T52,名簿!$AH$3:$CH$118,47,FALSE))</f>
        <v/>
      </c>
      <c r="W52" s="624" t="str">
        <f t="shared" si="6"/>
        <v/>
      </c>
      <c r="X52" s="625" t="str">
        <f t="shared" si="7"/>
        <v/>
      </c>
      <c r="Y52" s="816"/>
      <c r="Z52" s="812" t="str">
        <f>IF(Y52="","",IF(I52=1,VLOOKUP(Y52,男子種目コード!$A$1:$B$33,2,FALSE),IF(I52=2,VLOOKUP(Y52,女子種目コード!$A$1:$B$27,2,FALSE))))</f>
        <v/>
      </c>
      <c r="AA52" s="304"/>
      <c r="AB52" s="303"/>
      <c r="AC52" s="517"/>
      <c r="AD52" s="518"/>
      <c r="AE52" s="624" t="str">
        <f t="shared" si="8"/>
        <v/>
      </c>
      <c r="AF52" s="625" t="str">
        <f t="shared" si="9"/>
        <v/>
      </c>
      <c r="AG52" s="519"/>
      <c r="AH52" s="520"/>
      <c r="AI52" s="521"/>
      <c r="AJ52" s="20"/>
      <c r="AK52" s="20"/>
      <c r="AM52" s="142"/>
      <c r="AN52" s="134" t="str">
        <f t="shared" si="12"/>
        <v/>
      </c>
      <c r="AO52" s="134" t="str">
        <f t="shared" si="13"/>
        <v/>
      </c>
      <c r="AQ52" s="134"/>
      <c r="AR52" s="134"/>
      <c r="AS52" s="181">
        <f t="shared" si="14"/>
        <v>0</v>
      </c>
      <c r="AT52" s="194" t="s">
        <v>23</v>
      </c>
      <c r="AU52" s="193">
        <f>COUNTIF($P$7:$P$116,58)+COUNTIF($U$7:$U$116,58)</f>
        <v>0</v>
      </c>
      <c r="AV52" s="289"/>
      <c r="AW52" s="289"/>
      <c r="AX52" s="265"/>
      <c r="AY52" s="290"/>
      <c r="AZ52" s="290"/>
      <c r="BA52" s="265"/>
      <c r="BB52" s="265"/>
      <c r="BC52" s="265"/>
      <c r="BD52" s="265"/>
      <c r="BE52" s="265"/>
      <c r="BF52" s="265"/>
      <c r="BG52" s="265"/>
      <c r="BH52" s="265"/>
      <c r="BI52" s="265"/>
      <c r="BJ52" s="265"/>
    </row>
    <row r="53" spans="1:62" ht="14.25" customHeight="1">
      <c r="A53" s="134" t="str">
        <f t="shared" si="3"/>
        <v/>
      </c>
      <c r="B53" s="160" t="str">
        <f>名簿!P50</f>
        <v/>
      </c>
      <c r="C53" s="160"/>
      <c r="D53" s="793"/>
      <c r="E53" s="180">
        <f>名簿!E50</f>
        <v>0</v>
      </c>
      <c r="F53" s="560" t="str">
        <f>名簿!CM50</f>
        <v/>
      </c>
      <c r="G53" s="160" t="str">
        <f>名簿!Z50</f>
        <v/>
      </c>
      <c r="H53" s="1302" t="str">
        <f>名簿!CM50</f>
        <v/>
      </c>
      <c r="I53" s="185" t="str">
        <f>名簿!Y50</f>
        <v/>
      </c>
      <c r="J53" s="1303" t="str">
        <f>名簿!CN50</f>
        <v/>
      </c>
      <c r="K53" s="1304">
        <f>名簿!CP50</f>
        <v>0</v>
      </c>
      <c r="L53" s="1305" t="str">
        <f>名簿!CU50</f>
        <v>00</v>
      </c>
      <c r="M53" s="160" t="str">
        <f>名簿!Q50</f>
        <v/>
      </c>
      <c r="N53" s="1312">
        <f>名簿!D50</f>
        <v>0</v>
      </c>
      <c r="O53" s="1295"/>
      <c r="P53" s="258" t="str">
        <f>IF(O53="","",IF(I53=1,VLOOKUP(O53,男子種目コード!$A$1:$B$33,2,FALSE),IF(I53=2,VLOOKUP(O53,女子種目コード!$A$1:$B$28,2,FALSE))))</f>
        <v/>
      </c>
      <c r="Q53" s="494" t="str">
        <f>IF(O53="","",HLOOKUP(O53,名簿!$AH$3:$CH$118,48,FALSE))</f>
        <v/>
      </c>
      <c r="R53" s="624" t="str">
        <f t="shared" si="4"/>
        <v/>
      </c>
      <c r="S53" s="625" t="str">
        <f t="shared" si="5"/>
        <v/>
      </c>
      <c r="T53" s="303"/>
      <c r="U53" s="258" t="str">
        <f>IF(T53="","",IF(I53=1,VLOOKUP(T53,男子種目コード!$A$1:$B$33,2,FALSE),IF(I53=2,VLOOKUP(T53,女子種目コード!$A$1:$B$28,2,FALSE))))</f>
        <v/>
      </c>
      <c r="V53" s="494" t="str">
        <f>IF(T53="","",HLOOKUP(T53,名簿!$AH$3:$CH$118,48,FALSE))</f>
        <v/>
      </c>
      <c r="W53" s="624" t="str">
        <f t="shared" si="6"/>
        <v/>
      </c>
      <c r="X53" s="625" t="str">
        <f t="shared" si="7"/>
        <v/>
      </c>
      <c r="Y53" s="816"/>
      <c r="Z53" s="812" t="str">
        <f>IF(Y53="","",IF(I53=1,VLOOKUP(Y53,男子種目コード!$A$1:$B$33,2,FALSE),IF(I53=2,VLOOKUP(Y53,女子種目コード!$A$1:$B$27,2,FALSE))))</f>
        <v/>
      </c>
      <c r="AA53" s="304"/>
      <c r="AB53" s="303"/>
      <c r="AC53" s="517"/>
      <c r="AD53" s="518"/>
      <c r="AE53" s="624" t="str">
        <f t="shared" si="8"/>
        <v/>
      </c>
      <c r="AF53" s="625" t="str">
        <f t="shared" si="9"/>
        <v/>
      </c>
      <c r="AG53" s="519"/>
      <c r="AH53" s="520"/>
      <c r="AI53" s="521"/>
      <c r="AJ53" s="20"/>
      <c r="AK53" s="20"/>
      <c r="AM53" s="142"/>
      <c r="AN53" s="134" t="str">
        <f t="shared" si="12"/>
        <v/>
      </c>
      <c r="AO53" s="134" t="str">
        <f t="shared" si="13"/>
        <v/>
      </c>
      <c r="AQ53" s="134"/>
      <c r="AR53" s="134"/>
      <c r="AS53" s="181">
        <f t="shared" si="14"/>
        <v>0</v>
      </c>
      <c r="AT53" s="194" t="s">
        <v>24</v>
      </c>
      <c r="AU53" s="193">
        <f>COUNTIF($P$7:$P$116,59)+COUNTIF($U$7:$U$116,59)</f>
        <v>0</v>
      </c>
      <c r="AV53" s="289"/>
      <c r="AW53" s="289"/>
      <c r="AX53" s="265"/>
      <c r="AY53" s="290"/>
      <c r="AZ53" s="290"/>
      <c r="BA53" s="265"/>
      <c r="BB53" s="265"/>
      <c r="BC53" s="265"/>
      <c r="BD53" s="265"/>
      <c r="BE53" s="265"/>
      <c r="BF53" s="265"/>
      <c r="BG53" s="265"/>
      <c r="BH53" s="265"/>
      <c r="BI53" s="265"/>
      <c r="BJ53" s="265"/>
    </row>
    <row r="54" spans="1:62" ht="14.25" customHeight="1">
      <c r="A54" s="134" t="str">
        <f t="shared" si="3"/>
        <v/>
      </c>
      <c r="B54" s="160" t="str">
        <f>名簿!P51</f>
        <v/>
      </c>
      <c r="C54" s="160"/>
      <c r="D54" s="793"/>
      <c r="E54" s="180">
        <f>名簿!E51</f>
        <v>0</v>
      </c>
      <c r="F54" s="560" t="str">
        <f>名簿!CM51</f>
        <v/>
      </c>
      <c r="G54" s="160" t="str">
        <f>名簿!Z51</f>
        <v/>
      </c>
      <c r="H54" s="1302" t="str">
        <f>名簿!CM51</f>
        <v/>
      </c>
      <c r="I54" s="185" t="str">
        <f>名簿!Y51</f>
        <v/>
      </c>
      <c r="J54" s="1303" t="str">
        <f>名簿!CN51</f>
        <v/>
      </c>
      <c r="K54" s="1304">
        <f>名簿!CP51</f>
        <v>0</v>
      </c>
      <c r="L54" s="1305" t="str">
        <f>名簿!CU51</f>
        <v>00</v>
      </c>
      <c r="M54" s="160" t="str">
        <f>名簿!Q51</f>
        <v/>
      </c>
      <c r="N54" s="1312">
        <f>名簿!D51</f>
        <v>0</v>
      </c>
      <c r="O54" s="1295"/>
      <c r="P54" s="258" t="str">
        <f>IF(O54="","",IF(I54=1,VLOOKUP(O54,男子種目コード!$A$1:$B$33,2,FALSE),IF(I54=2,VLOOKUP(O54,女子種目コード!$A$1:$B$28,2,FALSE))))</f>
        <v/>
      </c>
      <c r="Q54" s="494" t="str">
        <f>IF(O54="","",HLOOKUP(O54,名簿!$AH$3:$CH$118,49,FALSE))</f>
        <v/>
      </c>
      <c r="R54" s="624" t="str">
        <f t="shared" si="4"/>
        <v/>
      </c>
      <c r="S54" s="625" t="str">
        <f t="shared" si="5"/>
        <v/>
      </c>
      <c r="T54" s="303"/>
      <c r="U54" s="258" t="str">
        <f>IF(T54="","",IF(I54=1,VLOOKUP(T54,男子種目コード!$A$1:$B$33,2,FALSE),IF(I54=2,VLOOKUP(T54,女子種目コード!$A$1:$B$28,2,FALSE))))</f>
        <v/>
      </c>
      <c r="V54" s="494" t="str">
        <f>IF(T54="","",HLOOKUP(T54,名簿!$AH$3:$CH$118,49,FALSE))</f>
        <v/>
      </c>
      <c r="W54" s="624" t="str">
        <f t="shared" si="6"/>
        <v/>
      </c>
      <c r="X54" s="625" t="str">
        <f t="shared" si="7"/>
        <v/>
      </c>
      <c r="Y54" s="816"/>
      <c r="Z54" s="812" t="str">
        <f>IF(Y54="","",IF(I54=1,VLOOKUP(Y54,男子種目コード!$A$1:$B$33,2,FALSE),IF(I54=2,VLOOKUP(Y54,女子種目コード!$A$1:$B$27,2,FALSE))))</f>
        <v/>
      </c>
      <c r="AA54" s="304"/>
      <c r="AB54" s="303"/>
      <c r="AC54" s="517"/>
      <c r="AD54" s="518"/>
      <c r="AE54" s="624" t="str">
        <f t="shared" si="8"/>
        <v/>
      </c>
      <c r="AF54" s="625" t="str">
        <f t="shared" si="9"/>
        <v/>
      </c>
      <c r="AG54" s="519"/>
      <c r="AH54" s="520"/>
      <c r="AI54" s="521"/>
      <c r="AJ54" s="20"/>
      <c r="AK54" s="20"/>
      <c r="AM54" s="142"/>
      <c r="AN54" s="134" t="str">
        <f t="shared" si="12"/>
        <v/>
      </c>
      <c r="AO54" s="134" t="str">
        <f t="shared" si="13"/>
        <v/>
      </c>
      <c r="AQ54" s="134"/>
      <c r="AR54" s="134"/>
      <c r="AS54" s="181">
        <f t="shared" si="14"/>
        <v>0</v>
      </c>
      <c r="AT54" s="194" t="s">
        <v>22</v>
      </c>
      <c r="AU54" s="193">
        <f>COUNTIF($P$7:$P$116,60)+COUNTIF($U$7:$U$116,60)</f>
        <v>0</v>
      </c>
      <c r="AV54" s="289"/>
      <c r="AW54" s="289"/>
      <c r="AX54" s="265"/>
      <c r="AY54" s="290"/>
      <c r="AZ54" s="290"/>
      <c r="BA54" s="265"/>
      <c r="BB54" s="265"/>
      <c r="BC54" s="265"/>
      <c r="BD54" s="265"/>
      <c r="BE54" s="265"/>
      <c r="BF54" s="265"/>
      <c r="BG54" s="265"/>
      <c r="BH54" s="265"/>
      <c r="BI54" s="265"/>
      <c r="BJ54" s="265"/>
    </row>
    <row r="55" spans="1:62" ht="14.25" customHeight="1">
      <c r="A55" s="134" t="str">
        <f t="shared" si="3"/>
        <v/>
      </c>
      <c r="B55" s="160" t="str">
        <f>名簿!P52</f>
        <v/>
      </c>
      <c r="C55" s="160"/>
      <c r="D55" s="793"/>
      <c r="E55" s="180">
        <f>名簿!E52</f>
        <v>0</v>
      </c>
      <c r="F55" s="560" t="str">
        <f>名簿!CM52</f>
        <v/>
      </c>
      <c r="G55" s="160" t="str">
        <f>名簿!Z52</f>
        <v/>
      </c>
      <c r="H55" s="1302" t="str">
        <f>名簿!CM52</f>
        <v/>
      </c>
      <c r="I55" s="185" t="str">
        <f>名簿!Y52</f>
        <v/>
      </c>
      <c r="J55" s="1303" t="str">
        <f>名簿!CN52</f>
        <v/>
      </c>
      <c r="K55" s="1304">
        <f>名簿!CP52</f>
        <v>0</v>
      </c>
      <c r="L55" s="1305" t="str">
        <f>名簿!CU52</f>
        <v>00</v>
      </c>
      <c r="M55" s="160" t="str">
        <f>名簿!Q52</f>
        <v/>
      </c>
      <c r="N55" s="1312">
        <f>名簿!D52</f>
        <v>0</v>
      </c>
      <c r="O55" s="1295"/>
      <c r="P55" s="258" t="str">
        <f>IF(O55="","",IF(I55=1,VLOOKUP(O55,男子種目コード!$A$1:$B$33,2,FALSE),IF(I55=2,VLOOKUP(O55,女子種目コード!$A$1:$B$28,2,FALSE))))</f>
        <v/>
      </c>
      <c r="Q55" s="494" t="str">
        <f>IF(O55="","",HLOOKUP(O55,名簿!$AH$3:$CH$118,50,FALSE))</f>
        <v/>
      </c>
      <c r="R55" s="624" t="str">
        <f t="shared" si="4"/>
        <v/>
      </c>
      <c r="S55" s="625" t="str">
        <f t="shared" si="5"/>
        <v/>
      </c>
      <c r="T55" s="303"/>
      <c r="U55" s="258" t="str">
        <f>IF(T55="","",IF(I55=1,VLOOKUP(T55,男子種目コード!$A$1:$B$33,2,FALSE),IF(I55=2,VLOOKUP(T55,女子種目コード!$A$1:$B$28,2,FALSE))))</f>
        <v/>
      </c>
      <c r="V55" s="494" t="str">
        <f>IF(T55="","",HLOOKUP(T55,名簿!$AH$3:$CH$118,50,FALSE))</f>
        <v/>
      </c>
      <c r="W55" s="624" t="str">
        <f t="shared" si="6"/>
        <v/>
      </c>
      <c r="X55" s="625" t="str">
        <f t="shared" si="7"/>
        <v/>
      </c>
      <c r="Y55" s="816"/>
      <c r="Z55" s="812" t="str">
        <f>IF(Y55="","",IF(I55=1,VLOOKUP(Y55,男子種目コード!$A$1:$B$33,2,FALSE),IF(I55=2,VLOOKUP(Y55,女子種目コード!$A$1:$B$27,2,FALSE))))</f>
        <v/>
      </c>
      <c r="AA55" s="304"/>
      <c r="AB55" s="303"/>
      <c r="AC55" s="517"/>
      <c r="AD55" s="518"/>
      <c r="AE55" s="624" t="str">
        <f t="shared" si="8"/>
        <v/>
      </c>
      <c r="AF55" s="625" t="str">
        <f t="shared" si="9"/>
        <v/>
      </c>
      <c r="AG55" s="519"/>
      <c r="AH55" s="520"/>
      <c r="AI55" s="521"/>
      <c r="AJ55" s="20"/>
      <c r="AK55" s="20"/>
      <c r="AM55" s="142"/>
      <c r="AN55" s="134" t="str">
        <f t="shared" si="12"/>
        <v/>
      </c>
      <c r="AO55" s="134" t="str">
        <f t="shared" si="13"/>
        <v/>
      </c>
      <c r="AQ55" s="134"/>
      <c r="AR55" s="134"/>
      <c r="AS55" s="181">
        <f t="shared" si="14"/>
        <v>0</v>
      </c>
      <c r="AT55" s="194" t="s">
        <v>96</v>
      </c>
      <c r="AU55" s="193">
        <f>COUNTIF($P$7:$P$116,61)+COUNTIF($U$7:$U$116,61)</f>
        <v>0</v>
      </c>
      <c r="AV55" s="289"/>
      <c r="AW55" s="289"/>
      <c r="AX55" s="265"/>
      <c r="AY55" s="290"/>
      <c r="AZ55" s="290"/>
      <c r="BA55" s="265"/>
      <c r="BB55" s="265"/>
      <c r="BC55" s="265"/>
      <c r="BD55" s="265"/>
      <c r="BE55" s="265"/>
      <c r="BF55" s="265"/>
      <c r="BG55" s="265"/>
      <c r="BH55" s="265"/>
      <c r="BI55" s="265"/>
      <c r="BJ55" s="265"/>
    </row>
    <row r="56" spans="1:62" ht="14.25" customHeight="1" thickBot="1">
      <c r="A56" s="134" t="str">
        <f t="shared" si="3"/>
        <v/>
      </c>
      <c r="B56" s="160" t="str">
        <f>名簿!P53</f>
        <v/>
      </c>
      <c r="C56" s="160"/>
      <c r="D56" s="793"/>
      <c r="E56" s="180">
        <f>名簿!E53</f>
        <v>0</v>
      </c>
      <c r="F56" s="560" t="str">
        <f>名簿!CM53</f>
        <v/>
      </c>
      <c r="G56" s="160" t="str">
        <f>名簿!Z53</f>
        <v/>
      </c>
      <c r="H56" s="1302" t="str">
        <f>名簿!CM53</f>
        <v/>
      </c>
      <c r="I56" s="185" t="str">
        <f>名簿!Y53</f>
        <v/>
      </c>
      <c r="J56" s="1303" t="str">
        <f>名簿!CN53</f>
        <v/>
      </c>
      <c r="K56" s="1304">
        <f>名簿!CP53</f>
        <v>0</v>
      </c>
      <c r="L56" s="1305" t="str">
        <f>名簿!CU53</f>
        <v>00</v>
      </c>
      <c r="M56" s="160" t="str">
        <f>名簿!Q53</f>
        <v/>
      </c>
      <c r="N56" s="1312">
        <f>名簿!D53</f>
        <v>0</v>
      </c>
      <c r="O56" s="1295"/>
      <c r="P56" s="258" t="str">
        <f>IF(O56="","",IF(I56=1,VLOOKUP(O56,男子種目コード!$A$1:$B$33,2,FALSE),IF(I56=2,VLOOKUP(O56,女子種目コード!$A$1:$B$28,2,FALSE))))</f>
        <v/>
      </c>
      <c r="Q56" s="494" t="str">
        <f>IF(O56="","",HLOOKUP(O56,名簿!$AH$3:$CH$118,51,FALSE))</f>
        <v/>
      </c>
      <c r="R56" s="624" t="str">
        <f t="shared" si="4"/>
        <v/>
      </c>
      <c r="S56" s="625" t="str">
        <f t="shared" si="5"/>
        <v/>
      </c>
      <c r="T56" s="303"/>
      <c r="U56" s="258" t="str">
        <f>IF(T56="","",IF(I56=1,VLOOKUP(T56,男子種目コード!$A$1:$B$33,2,FALSE),IF(I56=2,VLOOKUP(T56,女子種目コード!$A$1:$B$28,2,FALSE))))</f>
        <v/>
      </c>
      <c r="V56" s="494" t="str">
        <f>IF(T56="","",HLOOKUP(T56,名簿!$AH$3:$CH$118,51,FALSE))</f>
        <v/>
      </c>
      <c r="W56" s="624" t="str">
        <f t="shared" si="6"/>
        <v/>
      </c>
      <c r="X56" s="625" t="str">
        <f t="shared" si="7"/>
        <v/>
      </c>
      <c r="Y56" s="816"/>
      <c r="Z56" s="812" t="str">
        <f>IF(Y56="","",IF(I56=1,VLOOKUP(Y56,男子種目コード!$A$1:$B$33,2,FALSE),IF(I56=2,VLOOKUP(Y56,女子種目コード!$A$1:$B$27,2,FALSE))))</f>
        <v/>
      </c>
      <c r="AA56" s="304"/>
      <c r="AB56" s="303"/>
      <c r="AC56" s="517"/>
      <c r="AD56" s="518"/>
      <c r="AE56" s="624" t="str">
        <f t="shared" si="8"/>
        <v/>
      </c>
      <c r="AF56" s="625" t="str">
        <f t="shared" si="9"/>
        <v/>
      </c>
      <c r="AG56" s="519"/>
      <c r="AH56" s="520"/>
      <c r="AI56" s="521"/>
      <c r="AJ56" s="20"/>
      <c r="AK56" s="20"/>
      <c r="AM56" s="142"/>
      <c r="AN56" s="134" t="str">
        <f t="shared" si="12"/>
        <v/>
      </c>
      <c r="AO56" s="134" t="str">
        <f t="shared" si="13"/>
        <v/>
      </c>
      <c r="AQ56" s="134"/>
      <c r="AR56" s="134"/>
      <c r="AS56" s="181">
        <f t="shared" si="14"/>
        <v>0</v>
      </c>
      <c r="AT56" s="200" t="s">
        <v>98</v>
      </c>
      <c r="AU56" s="201">
        <f>COUNTIF($P$7:$P$116,62)+COUNTIF($U$7:$U$116,62)</f>
        <v>0</v>
      </c>
      <c r="AV56" s="289"/>
      <c r="AW56" s="289"/>
      <c r="AX56" s="265"/>
      <c r="AY56" s="290"/>
      <c r="AZ56" s="290"/>
      <c r="BA56" s="265"/>
      <c r="BB56" s="265"/>
      <c r="BC56" s="265"/>
      <c r="BD56" s="265"/>
      <c r="BE56" s="265"/>
      <c r="BF56" s="265"/>
      <c r="BG56" s="265"/>
      <c r="BH56" s="265"/>
      <c r="BI56" s="265"/>
      <c r="BJ56" s="265"/>
    </row>
    <row r="57" spans="1:62" ht="14.25" customHeight="1" thickBot="1">
      <c r="A57" s="134" t="str">
        <f t="shared" si="3"/>
        <v/>
      </c>
      <c r="B57" s="160" t="str">
        <f>名簿!P54</f>
        <v/>
      </c>
      <c r="C57" s="160"/>
      <c r="D57" s="793"/>
      <c r="E57" s="180">
        <f>名簿!E54</f>
        <v>0</v>
      </c>
      <c r="F57" s="560" t="str">
        <f>名簿!CM54</f>
        <v/>
      </c>
      <c r="G57" s="160" t="str">
        <f>名簿!Z54</f>
        <v/>
      </c>
      <c r="H57" s="1302" t="str">
        <f>名簿!CM54</f>
        <v/>
      </c>
      <c r="I57" s="185" t="str">
        <f>名簿!Y54</f>
        <v/>
      </c>
      <c r="J57" s="1303" t="str">
        <f>名簿!CN54</f>
        <v/>
      </c>
      <c r="K57" s="1304">
        <f>名簿!CP54</f>
        <v>0</v>
      </c>
      <c r="L57" s="1305" t="str">
        <f>名簿!CU54</f>
        <v>00</v>
      </c>
      <c r="M57" s="160" t="str">
        <f>名簿!Q54</f>
        <v/>
      </c>
      <c r="N57" s="1312">
        <f>名簿!D54</f>
        <v>0</v>
      </c>
      <c r="O57" s="1295"/>
      <c r="P57" s="258" t="str">
        <f>IF(O57="","",IF(I57=1,VLOOKUP(O57,男子種目コード!$A$1:$B$33,2,FALSE),IF(I57=2,VLOOKUP(O57,女子種目コード!$A$1:$B$28,2,FALSE))))</f>
        <v/>
      </c>
      <c r="Q57" s="494" t="str">
        <f>IF(O57="","",HLOOKUP(O57,名簿!$AH$3:$CH$118,52,FALSE))</f>
        <v/>
      </c>
      <c r="R57" s="624" t="str">
        <f t="shared" si="4"/>
        <v/>
      </c>
      <c r="S57" s="625" t="str">
        <f t="shared" si="5"/>
        <v/>
      </c>
      <c r="T57" s="303"/>
      <c r="U57" s="258" t="str">
        <f>IF(T57="","",IF(I57=1,VLOOKUP(T57,男子種目コード!$A$1:$B$33,2,FALSE),IF(I57=2,VLOOKUP(T57,女子種目コード!$A$1:$B$28,2,FALSE))))</f>
        <v/>
      </c>
      <c r="V57" s="494" t="str">
        <f>IF(T57="","",HLOOKUP(T57,名簿!$AH$3:$CH$118,52,FALSE))</f>
        <v/>
      </c>
      <c r="W57" s="624" t="str">
        <f t="shared" si="6"/>
        <v/>
      </c>
      <c r="X57" s="625" t="str">
        <f t="shared" si="7"/>
        <v/>
      </c>
      <c r="Y57" s="816"/>
      <c r="Z57" s="812" t="str">
        <f>IF(Y57="","",IF(I57=1,VLOOKUP(Y57,男子種目コード!$A$1:$B$33,2,FALSE),IF(I57=2,VLOOKUP(Y57,女子種目コード!$A$1:$B$27,2,FALSE))))</f>
        <v/>
      </c>
      <c r="AA57" s="304"/>
      <c r="AB57" s="303"/>
      <c r="AC57" s="517"/>
      <c r="AD57" s="518"/>
      <c r="AE57" s="624" t="str">
        <f t="shared" si="8"/>
        <v/>
      </c>
      <c r="AF57" s="625" t="str">
        <f t="shared" si="9"/>
        <v/>
      </c>
      <c r="AG57" s="519"/>
      <c r="AH57" s="520"/>
      <c r="AI57" s="521"/>
      <c r="AJ57" s="20"/>
      <c r="AK57" s="20"/>
      <c r="AM57" s="142"/>
      <c r="AN57" s="134" t="str">
        <f t="shared" si="12"/>
        <v/>
      </c>
      <c r="AO57" s="134" t="str">
        <f t="shared" si="13"/>
        <v/>
      </c>
      <c r="AQ57" s="134"/>
      <c r="AR57" s="134"/>
      <c r="AS57" s="181">
        <f t="shared" si="14"/>
        <v>0</v>
      </c>
      <c r="AT57" s="202" t="s">
        <v>262</v>
      </c>
      <c r="AU57" s="203">
        <f>SUM(AU36:AU56)</f>
        <v>0</v>
      </c>
      <c r="AV57" s="289"/>
      <c r="AW57" s="289"/>
      <c r="AX57" s="265"/>
      <c r="AY57" s="290"/>
      <c r="AZ57" s="290"/>
      <c r="BA57" s="265"/>
      <c r="BB57" s="265"/>
      <c r="BC57" s="265"/>
      <c r="BD57" s="265"/>
      <c r="BE57" s="265"/>
      <c r="BF57" s="265"/>
      <c r="BG57" s="265"/>
      <c r="BH57" s="265"/>
      <c r="BI57" s="265"/>
      <c r="BJ57" s="265"/>
    </row>
    <row r="58" spans="1:62" ht="14.25" customHeight="1">
      <c r="A58" s="134" t="str">
        <f t="shared" si="3"/>
        <v/>
      </c>
      <c r="B58" s="160" t="str">
        <f>名簿!P55</f>
        <v/>
      </c>
      <c r="C58" s="160"/>
      <c r="D58" s="793"/>
      <c r="E58" s="180">
        <f>名簿!E55</f>
        <v>0</v>
      </c>
      <c r="F58" s="560" t="str">
        <f>名簿!CM55</f>
        <v/>
      </c>
      <c r="G58" s="160" t="str">
        <f>名簿!Z55</f>
        <v/>
      </c>
      <c r="H58" s="1302" t="str">
        <f>名簿!CM55</f>
        <v/>
      </c>
      <c r="I58" s="185" t="str">
        <f>名簿!Y55</f>
        <v/>
      </c>
      <c r="J58" s="1303" t="str">
        <f>名簿!CN55</f>
        <v/>
      </c>
      <c r="K58" s="1304">
        <f>名簿!CP55</f>
        <v>0</v>
      </c>
      <c r="L58" s="1305" t="str">
        <f>名簿!CU55</f>
        <v>00</v>
      </c>
      <c r="M58" s="160" t="str">
        <f>名簿!Q55</f>
        <v/>
      </c>
      <c r="N58" s="1312">
        <f>名簿!D55</f>
        <v>0</v>
      </c>
      <c r="O58" s="1295"/>
      <c r="P58" s="258" t="str">
        <f>IF(O58="","",IF(I58=1,VLOOKUP(O58,男子種目コード!$A$1:$B$33,2,FALSE),IF(I58=2,VLOOKUP(O58,女子種目コード!$A$1:$B$28,2,FALSE))))</f>
        <v/>
      </c>
      <c r="Q58" s="494" t="str">
        <f>IF(O58="","",HLOOKUP(O58,名簿!$AH$3:$CH$118,53,FALSE))</f>
        <v/>
      </c>
      <c r="R58" s="624" t="str">
        <f t="shared" si="4"/>
        <v/>
      </c>
      <c r="S58" s="625" t="str">
        <f t="shared" si="5"/>
        <v/>
      </c>
      <c r="T58" s="303"/>
      <c r="U58" s="258" t="str">
        <f>IF(T58="","",IF(I58=1,VLOOKUP(T58,男子種目コード!$A$1:$B$33,2,FALSE),IF(I58=2,VLOOKUP(T58,女子種目コード!$A$1:$B$28,2,FALSE))))</f>
        <v/>
      </c>
      <c r="V58" s="494" t="str">
        <f>IF(T58="","",HLOOKUP(T58,名簿!$AH$3:$CH$118,53,FALSE))</f>
        <v/>
      </c>
      <c r="W58" s="624" t="str">
        <f t="shared" si="6"/>
        <v/>
      </c>
      <c r="X58" s="625" t="str">
        <f t="shared" si="7"/>
        <v/>
      </c>
      <c r="Y58" s="816"/>
      <c r="Z58" s="812" t="str">
        <f>IF(Y58="","",IF(I58=1,VLOOKUP(Y58,男子種目コード!$A$1:$B$33,2,FALSE),IF(I58=2,VLOOKUP(Y58,女子種目コード!$A$1:$B$27,2,FALSE))))</f>
        <v/>
      </c>
      <c r="AA58" s="304"/>
      <c r="AB58" s="303"/>
      <c r="AC58" s="517"/>
      <c r="AD58" s="518"/>
      <c r="AE58" s="624" t="str">
        <f t="shared" si="8"/>
        <v/>
      </c>
      <c r="AF58" s="625" t="str">
        <f t="shared" si="9"/>
        <v/>
      </c>
      <c r="AG58" s="519"/>
      <c r="AH58" s="520"/>
      <c r="AI58" s="521"/>
      <c r="AJ58" s="20"/>
      <c r="AK58" s="20"/>
      <c r="AM58" s="142"/>
      <c r="AN58" s="134" t="str">
        <f t="shared" si="12"/>
        <v/>
      </c>
      <c r="AO58" s="134" t="str">
        <f t="shared" si="13"/>
        <v/>
      </c>
      <c r="AQ58" s="134"/>
      <c r="AR58" s="134"/>
      <c r="AS58" s="181">
        <f t="shared" si="14"/>
        <v>0</v>
      </c>
      <c r="AT58" s="320"/>
      <c r="AU58" s="289"/>
      <c r="AV58" s="289"/>
      <c r="AW58" s="289"/>
      <c r="AX58" s="265"/>
      <c r="AY58" s="290"/>
      <c r="AZ58" s="290"/>
      <c r="BA58" s="265"/>
      <c r="BB58" s="265"/>
      <c r="BC58" s="265"/>
      <c r="BD58" s="265"/>
      <c r="BE58" s="265"/>
      <c r="BF58" s="265"/>
      <c r="BG58" s="265"/>
      <c r="BH58" s="265"/>
      <c r="BI58" s="265"/>
      <c r="BJ58" s="265"/>
    </row>
    <row r="59" spans="1:62" ht="14.25" customHeight="1">
      <c r="A59" s="134" t="str">
        <f t="shared" si="3"/>
        <v/>
      </c>
      <c r="B59" s="160" t="str">
        <f>名簿!P56</f>
        <v/>
      </c>
      <c r="C59" s="160"/>
      <c r="D59" s="793"/>
      <c r="E59" s="180">
        <f>名簿!E56</f>
        <v>0</v>
      </c>
      <c r="F59" s="560" t="str">
        <f>名簿!CM56</f>
        <v/>
      </c>
      <c r="G59" s="160" t="str">
        <f>名簿!Z56</f>
        <v/>
      </c>
      <c r="H59" s="1302" t="str">
        <f>名簿!CM56</f>
        <v/>
      </c>
      <c r="I59" s="185" t="str">
        <f>名簿!Y56</f>
        <v/>
      </c>
      <c r="J59" s="1303" t="str">
        <f>名簿!CN56</f>
        <v/>
      </c>
      <c r="K59" s="1304">
        <f>名簿!CP56</f>
        <v>0</v>
      </c>
      <c r="L59" s="1305" t="str">
        <f>名簿!CU56</f>
        <v>00</v>
      </c>
      <c r="M59" s="160" t="str">
        <f>名簿!Q56</f>
        <v/>
      </c>
      <c r="N59" s="1312">
        <f>名簿!D56</f>
        <v>0</v>
      </c>
      <c r="O59" s="1295"/>
      <c r="P59" s="258" t="str">
        <f>IF(O59="","",IF(I59=1,VLOOKUP(O59,男子種目コード!$A$1:$B$33,2,FALSE),IF(I59=2,VLOOKUP(O59,女子種目コード!$A$1:$B$28,2,FALSE))))</f>
        <v/>
      </c>
      <c r="Q59" s="494" t="str">
        <f>IF(O59="","",HLOOKUP(O59,名簿!$AH$3:$CH$118,54,FALSE))</f>
        <v/>
      </c>
      <c r="R59" s="624" t="str">
        <f t="shared" si="4"/>
        <v/>
      </c>
      <c r="S59" s="625" t="str">
        <f t="shared" si="5"/>
        <v/>
      </c>
      <c r="T59" s="303"/>
      <c r="U59" s="258" t="str">
        <f>IF(T59="","",IF(I59=1,VLOOKUP(T59,男子種目コード!$A$1:$B$33,2,FALSE),IF(I59=2,VLOOKUP(T59,女子種目コード!$A$1:$B$28,2,FALSE))))</f>
        <v/>
      </c>
      <c r="V59" s="494" t="str">
        <f>IF(T59="","",HLOOKUP(T59,名簿!$AH$3:$CH$118,54,FALSE))</f>
        <v/>
      </c>
      <c r="W59" s="624" t="str">
        <f t="shared" si="6"/>
        <v/>
      </c>
      <c r="X59" s="625" t="str">
        <f t="shared" si="7"/>
        <v/>
      </c>
      <c r="Y59" s="816"/>
      <c r="Z59" s="812" t="str">
        <f>IF(Y59="","",IF(I59=1,VLOOKUP(Y59,男子種目コード!$A$1:$B$33,2,FALSE),IF(I59=2,VLOOKUP(Y59,女子種目コード!$A$1:$B$27,2,FALSE))))</f>
        <v/>
      </c>
      <c r="AA59" s="304"/>
      <c r="AB59" s="303"/>
      <c r="AC59" s="517"/>
      <c r="AD59" s="518"/>
      <c r="AE59" s="624" t="str">
        <f t="shared" si="8"/>
        <v/>
      </c>
      <c r="AF59" s="625" t="str">
        <f t="shared" si="9"/>
        <v/>
      </c>
      <c r="AG59" s="519"/>
      <c r="AH59" s="520"/>
      <c r="AI59" s="521"/>
      <c r="AJ59" s="20"/>
      <c r="AK59" s="20"/>
      <c r="AM59" s="142"/>
      <c r="AN59" s="134" t="str">
        <f t="shared" si="12"/>
        <v/>
      </c>
      <c r="AO59" s="134" t="str">
        <f t="shared" si="13"/>
        <v/>
      </c>
      <c r="AQ59" s="134"/>
      <c r="AR59" s="134"/>
      <c r="AS59" s="181">
        <f t="shared" si="14"/>
        <v>0</v>
      </c>
      <c r="AT59" s="320"/>
      <c r="AU59" s="289"/>
      <c r="AV59" s="289"/>
      <c r="AW59" s="289"/>
      <c r="AX59" s="265"/>
      <c r="AY59" s="290"/>
      <c r="AZ59" s="290"/>
      <c r="BA59" s="265"/>
      <c r="BB59" s="265"/>
      <c r="BC59" s="265"/>
      <c r="BD59" s="265"/>
      <c r="BE59" s="265"/>
      <c r="BF59" s="265"/>
      <c r="BG59" s="265"/>
      <c r="BH59" s="265"/>
      <c r="BI59" s="265"/>
      <c r="BJ59" s="265"/>
    </row>
    <row r="60" spans="1:62" ht="14.25" customHeight="1">
      <c r="A60" s="134" t="str">
        <f t="shared" si="3"/>
        <v/>
      </c>
      <c r="B60" s="160" t="str">
        <f>名簿!P57</f>
        <v/>
      </c>
      <c r="C60" s="160"/>
      <c r="D60" s="793"/>
      <c r="E60" s="180">
        <f>名簿!E57</f>
        <v>0</v>
      </c>
      <c r="F60" s="560" t="str">
        <f>名簿!CM57</f>
        <v/>
      </c>
      <c r="G60" s="160" t="str">
        <f>名簿!Z57</f>
        <v/>
      </c>
      <c r="H60" s="1302" t="str">
        <f>名簿!CM57</f>
        <v/>
      </c>
      <c r="I60" s="185" t="str">
        <f>名簿!Y57</f>
        <v/>
      </c>
      <c r="J60" s="1303" t="str">
        <f>名簿!CN57</f>
        <v/>
      </c>
      <c r="K60" s="1304">
        <f>名簿!CP57</f>
        <v>0</v>
      </c>
      <c r="L60" s="1305" t="str">
        <f>名簿!CU57</f>
        <v>00</v>
      </c>
      <c r="M60" s="160" t="str">
        <f>名簿!Q57</f>
        <v/>
      </c>
      <c r="N60" s="1312">
        <f>名簿!D57</f>
        <v>0</v>
      </c>
      <c r="O60" s="1295"/>
      <c r="P60" s="258" t="str">
        <f>IF(O60="","",IF(I60=1,VLOOKUP(O60,男子種目コード!$A$1:$B$33,2,FALSE),IF(I60=2,VLOOKUP(O60,女子種目コード!$A$1:$B$28,2,FALSE))))</f>
        <v/>
      </c>
      <c r="Q60" s="494" t="str">
        <f>IF(O60="","",HLOOKUP(O60,名簿!$AH$3:$CH$118,55,FALSE))</f>
        <v/>
      </c>
      <c r="R60" s="624" t="str">
        <f t="shared" si="4"/>
        <v/>
      </c>
      <c r="S60" s="625" t="str">
        <f t="shared" si="5"/>
        <v/>
      </c>
      <c r="T60" s="303"/>
      <c r="U60" s="258" t="str">
        <f>IF(T60="","",IF(I60=1,VLOOKUP(T60,男子種目コード!$A$1:$B$33,2,FALSE),IF(I60=2,VLOOKUP(T60,女子種目コード!$A$1:$B$28,2,FALSE))))</f>
        <v/>
      </c>
      <c r="V60" s="494" t="str">
        <f>IF(T60="","",HLOOKUP(T60,名簿!$AH$3:$CH$118,55,FALSE))</f>
        <v/>
      </c>
      <c r="W60" s="624" t="str">
        <f t="shared" si="6"/>
        <v/>
      </c>
      <c r="X60" s="625" t="str">
        <f t="shared" si="7"/>
        <v/>
      </c>
      <c r="Y60" s="816"/>
      <c r="Z60" s="812" t="str">
        <f>IF(Y60="","",IF(I60=1,VLOOKUP(Y60,男子種目コード!$A$1:$B$33,2,FALSE),IF(I60=2,VLOOKUP(Y60,女子種目コード!$A$1:$B$27,2,FALSE))))</f>
        <v/>
      </c>
      <c r="AA60" s="304"/>
      <c r="AB60" s="303"/>
      <c r="AC60" s="517"/>
      <c r="AD60" s="518"/>
      <c r="AE60" s="624" t="str">
        <f t="shared" si="8"/>
        <v/>
      </c>
      <c r="AF60" s="625" t="str">
        <f t="shared" si="9"/>
        <v/>
      </c>
      <c r="AG60" s="519"/>
      <c r="AH60" s="520"/>
      <c r="AI60" s="521"/>
      <c r="AJ60" s="20"/>
      <c r="AK60" s="20"/>
      <c r="AM60" s="142"/>
      <c r="AN60" s="134" t="str">
        <f t="shared" si="12"/>
        <v/>
      </c>
      <c r="AO60" s="134" t="str">
        <f t="shared" si="13"/>
        <v/>
      </c>
      <c r="AQ60" s="134"/>
      <c r="AR60" s="134"/>
      <c r="AS60" s="181">
        <f t="shared" si="14"/>
        <v>0</v>
      </c>
      <c r="AT60" s="320"/>
      <c r="AU60" s="289"/>
      <c r="AV60" s="289"/>
      <c r="AW60" s="289"/>
      <c r="AX60" s="265"/>
      <c r="AY60" s="290"/>
      <c r="AZ60" s="290"/>
      <c r="BA60" s="265"/>
      <c r="BB60" s="265"/>
      <c r="BC60" s="265"/>
      <c r="BD60" s="265"/>
      <c r="BE60" s="265"/>
      <c r="BF60" s="265"/>
      <c r="BG60" s="265"/>
      <c r="BH60" s="265"/>
      <c r="BI60" s="265"/>
      <c r="BJ60" s="265"/>
    </row>
    <row r="61" spans="1:62" ht="14.25" customHeight="1">
      <c r="A61" s="134" t="str">
        <f t="shared" si="3"/>
        <v/>
      </c>
      <c r="B61" s="160" t="str">
        <f>名簿!P58</f>
        <v/>
      </c>
      <c r="C61" s="160"/>
      <c r="D61" s="793"/>
      <c r="E61" s="180">
        <f>名簿!E58</f>
        <v>0</v>
      </c>
      <c r="F61" s="560" t="str">
        <f>名簿!CM58</f>
        <v/>
      </c>
      <c r="G61" s="160" t="str">
        <f>名簿!Z58</f>
        <v/>
      </c>
      <c r="H61" s="1302" t="str">
        <f>名簿!CM58</f>
        <v/>
      </c>
      <c r="I61" s="185" t="str">
        <f>名簿!Y58</f>
        <v/>
      </c>
      <c r="J61" s="1303" t="str">
        <f>名簿!CN58</f>
        <v/>
      </c>
      <c r="K61" s="1304">
        <f>名簿!CP58</f>
        <v>0</v>
      </c>
      <c r="L61" s="1305" t="str">
        <f>名簿!CU58</f>
        <v>00</v>
      </c>
      <c r="M61" s="160" t="str">
        <f>名簿!Q58</f>
        <v/>
      </c>
      <c r="N61" s="1312">
        <f>名簿!D58</f>
        <v>0</v>
      </c>
      <c r="O61" s="1295"/>
      <c r="P61" s="258" t="str">
        <f>IF(O61="","",IF(I61=1,VLOOKUP(O61,男子種目コード!$A$1:$B$33,2,FALSE),IF(I61=2,VLOOKUP(O61,女子種目コード!$A$1:$B$28,2,FALSE))))</f>
        <v/>
      </c>
      <c r="Q61" s="494" t="str">
        <f>IF(O61="","",HLOOKUP(O61,名簿!$AH$3:$CH$118,56,FALSE))</f>
        <v/>
      </c>
      <c r="R61" s="624" t="str">
        <f t="shared" si="4"/>
        <v/>
      </c>
      <c r="S61" s="625" t="str">
        <f t="shared" si="5"/>
        <v/>
      </c>
      <c r="T61" s="303"/>
      <c r="U61" s="258" t="str">
        <f>IF(T61="","",IF(I61=1,VLOOKUP(T61,男子種目コード!$A$1:$B$33,2,FALSE),IF(I61=2,VLOOKUP(T61,女子種目コード!$A$1:$B$28,2,FALSE))))</f>
        <v/>
      </c>
      <c r="V61" s="494" t="str">
        <f>IF(T61="","",HLOOKUP(T61,名簿!$AH$3:$CH$118,56,FALSE))</f>
        <v/>
      </c>
      <c r="W61" s="624" t="str">
        <f t="shared" si="6"/>
        <v/>
      </c>
      <c r="X61" s="625" t="str">
        <f t="shared" si="7"/>
        <v/>
      </c>
      <c r="Y61" s="816"/>
      <c r="Z61" s="812" t="str">
        <f>IF(Y61="","",IF(I61=1,VLOOKUP(Y61,男子種目コード!$A$1:$B$33,2,FALSE),IF(I61=2,VLOOKUP(Y61,女子種目コード!$A$1:$B$27,2,FALSE))))</f>
        <v/>
      </c>
      <c r="AA61" s="304"/>
      <c r="AB61" s="303"/>
      <c r="AC61" s="517"/>
      <c r="AD61" s="518"/>
      <c r="AE61" s="624" t="str">
        <f t="shared" si="8"/>
        <v/>
      </c>
      <c r="AF61" s="625" t="str">
        <f t="shared" si="9"/>
        <v/>
      </c>
      <c r="AG61" s="519"/>
      <c r="AH61" s="520"/>
      <c r="AI61" s="521"/>
      <c r="AJ61" s="20"/>
      <c r="AK61" s="20"/>
      <c r="AM61" s="142"/>
      <c r="AN61" s="134" t="str">
        <f t="shared" si="12"/>
        <v/>
      </c>
      <c r="AO61" s="134" t="str">
        <f t="shared" si="13"/>
        <v/>
      </c>
      <c r="AQ61" s="134"/>
      <c r="AR61" s="134"/>
      <c r="AS61" s="181">
        <f t="shared" si="14"/>
        <v>0</v>
      </c>
      <c r="AT61" s="320"/>
      <c r="AU61" s="289"/>
      <c r="AV61" s="289"/>
      <c r="AW61" s="289"/>
      <c r="AX61" s="265"/>
      <c r="AY61" s="290"/>
      <c r="AZ61" s="290"/>
      <c r="BA61" s="265"/>
      <c r="BB61" s="265"/>
      <c r="BC61" s="265"/>
      <c r="BD61" s="265"/>
      <c r="BE61" s="265"/>
      <c r="BF61" s="265"/>
      <c r="BG61" s="265"/>
      <c r="BH61" s="265"/>
      <c r="BI61" s="265"/>
      <c r="BJ61" s="265"/>
    </row>
    <row r="62" spans="1:62" ht="14.25" customHeight="1">
      <c r="A62" s="134" t="str">
        <f t="shared" si="3"/>
        <v/>
      </c>
      <c r="B62" s="160" t="str">
        <f>名簿!P59</f>
        <v/>
      </c>
      <c r="C62" s="160"/>
      <c r="D62" s="793"/>
      <c r="E62" s="180">
        <f>名簿!E59</f>
        <v>0</v>
      </c>
      <c r="F62" s="560" t="str">
        <f>名簿!CM59</f>
        <v/>
      </c>
      <c r="G62" s="160" t="str">
        <f>名簿!Z59</f>
        <v/>
      </c>
      <c r="H62" s="1302" t="str">
        <f>名簿!CM59</f>
        <v/>
      </c>
      <c r="I62" s="185" t="str">
        <f>名簿!Y59</f>
        <v/>
      </c>
      <c r="J62" s="1303" t="str">
        <f>名簿!CN59</f>
        <v/>
      </c>
      <c r="K62" s="1304">
        <f>名簿!CP59</f>
        <v>0</v>
      </c>
      <c r="L62" s="1305" t="str">
        <f>名簿!CU59</f>
        <v>00</v>
      </c>
      <c r="M62" s="160" t="str">
        <f>名簿!Q59</f>
        <v/>
      </c>
      <c r="N62" s="1312">
        <f>名簿!D59</f>
        <v>0</v>
      </c>
      <c r="O62" s="1295"/>
      <c r="P62" s="258" t="str">
        <f>IF(O62="","",IF(I62=1,VLOOKUP(O62,男子種目コード!$A$1:$B$33,2,FALSE),IF(I62=2,VLOOKUP(O62,女子種目コード!$A$1:$B$28,2,FALSE))))</f>
        <v/>
      </c>
      <c r="Q62" s="494" t="str">
        <f>IF(O62="","",HLOOKUP(O62,名簿!$AH$3:$CH$118,57,FALSE))</f>
        <v/>
      </c>
      <c r="R62" s="624" t="str">
        <f t="shared" si="4"/>
        <v/>
      </c>
      <c r="S62" s="625" t="str">
        <f t="shared" si="5"/>
        <v/>
      </c>
      <c r="T62" s="303"/>
      <c r="U62" s="258" t="str">
        <f>IF(T62="","",IF(I62=1,VLOOKUP(T62,男子種目コード!$A$1:$B$33,2,FALSE),IF(I62=2,VLOOKUP(T62,女子種目コード!$A$1:$B$28,2,FALSE))))</f>
        <v/>
      </c>
      <c r="V62" s="494" t="str">
        <f>IF(T62="","",HLOOKUP(T62,名簿!$AH$3:$CH$118,57,FALSE))</f>
        <v/>
      </c>
      <c r="W62" s="624" t="str">
        <f t="shared" si="6"/>
        <v/>
      </c>
      <c r="X62" s="625" t="str">
        <f t="shared" si="7"/>
        <v/>
      </c>
      <c r="Y62" s="816"/>
      <c r="Z62" s="812" t="str">
        <f>IF(Y62="","",IF(I62=1,VLOOKUP(Y62,男子種目コード!$A$1:$B$33,2,FALSE),IF(I62=2,VLOOKUP(Y62,女子種目コード!$A$1:$B$27,2,FALSE))))</f>
        <v/>
      </c>
      <c r="AA62" s="304"/>
      <c r="AB62" s="303"/>
      <c r="AC62" s="517"/>
      <c r="AD62" s="518"/>
      <c r="AE62" s="624" t="str">
        <f t="shared" si="8"/>
        <v/>
      </c>
      <c r="AF62" s="625" t="str">
        <f t="shared" si="9"/>
        <v/>
      </c>
      <c r="AG62" s="519"/>
      <c r="AH62" s="520"/>
      <c r="AI62" s="521"/>
      <c r="AJ62" s="20"/>
      <c r="AK62" s="20"/>
      <c r="AM62" s="142"/>
      <c r="AN62" s="134" t="str">
        <f t="shared" si="12"/>
        <v/>
      </c>
      <c r="AO62" s="134" t="str">
        <f t="shared" si="13"/>
        <v/>
      </c>
      <c r="AQ62" s="134"/>
      <c r="AR62" s="134"/>
      <c r="AS62" s="181">
        <f t="shared" si="14"/>
        <v>0</v>
      </c>
      <c r="AT62" s="320"/>
      <c r="AU62" s="289"/>
      <c r="AV62" s="289"/>
      <c r="AW62" s="289"/>
      <c r="AX62" s="265"/>
      <c r="AY62" s="290"/>
      <c r="AZ62" s="290"/>
      <c r="BA62" s="265"/>
      <c r="BB62" s="265"/>
      <c r="BC62" s="265"/>
      <c r="BD62" s="265"/>
      <c r="BE62" s="265"/>
      <c r="BF62" s="265"/>
      <c r="BG62" s="265"/>
      <c r="BH62" s="265"/>
      <c r="BI62" s="265"/>
      <c r="BJ62" s="265"/>
    </row>
    <row r="63" spans="1:62" ht="14.25" customHeight="1">
      <c r="A63" s="134" t="str">
        <f t="shared" si="3"/>
        <v/>
      </c>
      <c r="B63" s="160" t="str">
        <f>名簿!P60</f>
        <v/>
      </c>
      <c r="C63" s="160"/>
      <c r="D63" s="793"/>
      <c r="E63" s="180">
        <f>名簿!E60</f>
        <v>0</v>
      </c>
      <c r="F63" s="560" t="str">
        <f>名簿!CM60</f>
        <v/>
      </c>
      <c r="G63" s="160" t="str">
        <f>名簿!Z60</f>
        <v/>
      </c>
      <c r="H63" s="1302" t="str">
        <f>名簿!CM60</f>
        <v/>
      </c>
      <c r="I63" s="185" t="str">
        <f>名簿!Y60</f>
        <v/>
      </c>
      <c r="J63" s="1303" t="str">
        <f>名簿!CN60</f>
        <v/>
      </c>
      <c r="K63" s="1304">
        <f>名簿!CP60</f>
        <v>0</v>
      </c>
      <c r="L63" s="1305" t="str">
        <f>名簿!CU60</f>
        <v>00</v>
      </c>
      <c r="M63" s="160" t="str">
        <f>名簿!Q60</f>
        <v/>
      </c>
      <c r="N63" s="1312">
        <f>名簿!D60</f>
        <v>0</v>
      </c>
      <c r="O63" s="1295"/>
      <c r="P63" s="258" t="str">
        <f>IF(O63="","",IF(I63=1,VLOOKUP(O63,男子種目コード!$A$1:$B$33,2,FALSE),IF(I63=2,VLOOKUP(O63,女子種目コード!$A$1:$B$28,2,FALSE))))</f>
        <v/>
      </c>
      <c r="Q63" s="494" t="str">
        <f>IF(O63="","",HLOOKUP(O63,名簿!$AH$3:$CH$118,58,FALSE))</f>
        <v/>
      </c>
      <c r="R63" s="624" t="str">
        <f t="shared" si="4"/>
        <v/>
      </c>
      <c r="S63" s="625" t="str">
        <f t="shared" si="5"/>
        <v/>
      </c>
      <c r="T63" s="303"/>
      <c r="U63" s="258" t="str">
        <f>IF(T63="","",IF(I63=1,VLOOKUP(T63,男子種目コード!$A$1:$B$33,2,FALSE),IF(I63=2,VLOOKUP(T63,女子種目コード!$A$1:$B$28,2,FALSE))))</f>
        <v/>
      </c>
      <c r="V63" s="494" t="str">
        <f>IF(T63="","",HLOOKUP(T63,名簿!$AH$3:$CH$118,58,FALSE))</f>
        <v/>
      </c>
      <c r="W63" s="624" t="str">
        <f t="shared" si="6"/>
        <v/>
      </c>
      <c r="X63" s="625" t="str">
        <f t="shared" si="7"/>
        <v/>
      </c>
      <c r="Y63" s="816"/>
      <c r="Z63" s="812" t="str">
        <f>IF(Y63="","",IF(I63=1,VLOOKUP(Y63,男子種目コード!$A$1:$B$33,2,FALSE),IF(I63=2,VLOOKUP(Y63,女子種目コード!$A$1:$B$27,2,FALSE))))</f>
        <v/>
      </c>
      <c r="AA63" s="304"/>
      <c r="AB63" s="303"/>
      <c r="AC63" s="517"/>
      <c r="AD63" s="518"/>
      <c r="AE63" s="624" t="str">
        <f t="shared" si="8"/>
        <v/>
      </c>
      <c r="AF63" s="625" t="str">
        <f t="shared" si="9"/>
        <v/>
      </c>
      <c r="AG63" s="519"/>
      <c r="AH63" s="520"/>
      <c r="AI63" s="521"/>
      <c r="AJ63" s="20"/>
      <c r="AK63" s="20"/>
      <c r="AM63" s="142"/>
      <c r="AN63" s="134" t="str">
        <f t="shared" si="12"/>
        <v/>
      </c>
      <c r="AO63" s="134" t="str">
        <f t="shared" si="13"/>
        <v/>
      </c>
      <c r="AQ63" s="134"/>
      <c r="AR63" s="134"/>
      <c r="AS63" s="181">
        <f t="shared" si="14"/>
        <v>0</v>
      </c>
      <c r="AT63" s="320"/>
      <c r="AU63" s="289"/>
      <c r="AV63" s="289"/>
      <c r="AW63" s="289"/>
      <c r="AX63" s="265"/>
      <c r="AY63" s="290"/>
      <c r="AZ63" s="290"/>
      <c r="BA63" s="265"/>
      <c r="BB63" s="265"/>
      <c r="BC63" s="265"/>
      <c r="BD63" s="265"/>
      <c r="BE63" s="265"/>
      <c r="BF63" s="265"/>
      <c r="BG63" s="265"/>
      <c r="BH63" s="265"/>
      <c r="BI63" s="265"/>
      <c r="BJ63" s="265"/>
    </row>
    <row r="64" spans="1:62" ht="14.25" customHeight="1">
      <c r="A64" s="134" t="str">
        <f t="shared" si="3"/>
        <v/>
      </c>
      <c r="B64" s="160" t="str">
        <f>名簿!P61</f>
        <v/>
      </c>
      <c r="C64" s="160"/>
      <c r="D64" s="793"/>
      <c r="E64" s="180">
        <f>名簿!E61</f>
        <v>0</v>
      </c>
      <c r="F64" s="560" t="str">
        <f>名簿!CM61</f>
        <v/>
      </c>
      <c r="G64" s="160" t="str">
        <f>名簿!Z61</f>
        <v/>
      </c>
      <c r="H64" s="1302" t="str">
        <f>名簿!CM61</f>
        <v/>
      </c>
      <c r="I64" s="185" t="str">
        <f>名簿!Y61</f>
        <v/>
      </c>
      <c r="J64" s="1303" t="str">
        <f>名簿!CN61</f>
        <v/>
      </c>
      <c r="K64" s="1304">
        <f>名簿!CP61</f>
        <v>0</v>
      </c>
      <c r="L64" s="1305" t="str">
        <f>名簿!CU61</f>
        <v>00</v>
      </c>
      <c r="M64" s="160" t="str">
        <f>名簿!Q61</f>
        <v/>
      </c>
      <c r="N64" s="1312">
        <f>名簿!D61</f>
        <v>0</v>
      </c>
      <c r="O64" s="1295"/>
      <c r="P64" s="258" t="str">
        <f>IF(O64="","",IF(I64=1,VLOOKUP(O64,男子種目コード!$A$1:$B$33,2,FALSE),IF(I64=2,VLOOKUP(O64,女子種目コード!$A$1:$B$28,2,FALSE))))</f>
        <v/>
      </c>
      <c r="Q64" s="494" t="str">
        <f>IF(O64="","",HLOOKUP(O64,名簿!$AH$3:$CH$118,59,FALSE))</f>
        <v/>
      </c>
      <c r="R64" s="624" t="str">
        <f t="shared" si="4"/>
        <v/>
      </c>
      <c r="S64" s="625" t="str">
        <f t="shared" si="5"/>
        <v/>
      </c>
      <c r="T64" s="303"/>
      <c r="U64" s="258" t="str">
        <f>IF(T64="","",IF(I64=1,VLOOKUP(T64,男子種目コード!$A$1:$B$33,2,FALSE),IF(I64=2,VLOOKUP(T64,女子種目コード!$A$1:$B$28,2,FALSE))))</f>
        <v/>
      </c>
      <c r="V64" s="494" t="str">
        <f>IF(T64="","",HLOOKUP(T64,名簿!$AH$3:$CH$118,59,FALSE))</f>
        <v/>
      </c>
      <c r="W64" s="624" t="str">
        <f t="shared" si="6"/>
        <v/>
      </c>
      <c r="X64" s="625" t="str">
        <f t="shared" si="7"/>
        <v/>
      </c>
      <c r="Y64" s="816"/>
      <c r="Z64" s="812" t="str">
        <f>IF(Y64="","",IF(I64=1,VLOOKUP(Y64,男子種目コード!$A$1:$B$33,2,FALSE),IF(I64=2,VLOOKUP(Y64,女子種目コード!$A$1:$B$27,2,FALSE))))</f>
        <v/>
      </c>
      <c r="AA64" s="304"/>
      <c r="AB64" s="303"/>
      <c r="AC64" s="517"/>
      <c r="AD64" s="518"/>
      <c r="AE64" s="624" t="str">
        <f t="shared" si="8"/>
        <v/>
      </c>
      <c r="AF64" s="625" t="str">
        <f t="shared" si="9"/>
        <v/>
      </c>
      <c r="AG64" s="519"/>
      <c r="AH64" s="520"/>
      <c r="AI64" s="521"/>
      <c r="AJ64" s="20"/>
      <c r="AK64" s="20"/>
      <c r="AM64" s="142"/>
      <c r="AN64" s="134" t="str">
        <f t="shared" si="12"/>
        <v/>
      </c>
      <c r="AO64" s="134" t="str">
        <f t="shared" si="13"/>
        <v/>
      </c>
      <c r="AQ64" s="134"/>
      <c r="AR64" s="134"/>
      <c r="AS64" s="181">
        <f t="shared" si="14"/>
        <v>0</v>
      </c>
      <c r="AT64" s="320"/>
      <c r="AU64" s="289"/>
      <c r="AV64" s="289"/>
      <c r="AW64" s="289"/>
      <c r="AX64" s="265"/>
      <c r="AY64" s="290"/>
      <c r="AZ64" s="290"/>
      <c r="BA64" s="265"/>
      <c r="BB64" s="265"/>
      <c r="BC64" s="265"/>
      <c r="BD64" s="265"/>
      <c r="BE64" s="265"/>
      <c r="BF64" s="265"/>
      <c r="BG64" s="265"/>
      <c r="BH64" s="265"/>
      <c r="BI64" s="265"/>
      <c r="BJ64" s="265"/>
    </row>
    <row r="65" spans="1:62" ht="14.25" customHeight="1">
      <c r="A65" s="134" t="str">
        <f t="shared" si="3"/>
        <v/>
      </c>
      <c r="B65" s="160" t="str">
        <f>名簿!P62</f>
        <v/>
      </c>
      <c r="C65" s="160"/>
      <c r="D65" s="793"/>
      <c r="E65" s="180">
        <f>名簿!E62</f>
        <v>0</v>
      </c>
      <c r="F65" s="560" t="str">
        <f>名簿!CM62</f>
        <v/>
      </c>
      <c r="G65" s="160" t="str">
        <f>名簿!Z62</f>
        <v/>
      </c>
      <c r="H65" s="1302" t="str">
        <f>名簿!CM62</f>
        <v/>
      </c>
      <c r="I65" s="185" t="str">
        <f>名簿!Y62</f>
        <v/>
      </c>
      <c r="J65" s="1303" t="str">
        <f>名簿!CN62</f>
        <v/>
      </c>
      <c r="K65" s="1304">
        <f>名簿!CP62</f>
        <v>0</v>
      </c>
      <c r="L65" s="1305" t="str">
        <f>名簿!CU62</f>
        <v>00</v>
      </c>
      <c r="M65" s="160" t="str">
        <f>名簿!Q62</f>
        <v/>
      </c>
      <c r="N65" s="1312">
        <f>名簿!D62</f>
        <v>0</v>
      </c>
      <c r="O65" s="1295"/>
      <c r="P65" s="258" t="str">
        <f>IF(O65="","",IF(I65=1,VLOOKUP(O65,男子種目コード!$A$1:$B$33,2,FALSE),IF(I65=2,VLOOKUP(O65,女子種目コード!$A$1:$B$28,2,FALSE))))</f>
        <v/>
      </c>
      <c r="Q65" s="494" t="str">
        <f>IF(O65="","",HLOOKUP(O65,名簿!$AH$3:$CH$118,60,FALSE))</f>
        <v/>
      </c>
      <c r="R65" s="624" t="str">
        <f t="shared" si="4"/>
        <v/>
      </c>
      <c r="S65" s="625" t="str">
        <f t="shared" si="5"/>
        <v/>
      </c>
      <c r="T65" s="303"/>
      <c r="U65" s="258" t="str">
        <f>IF(T65="","",IF(I65=1,VLOOKUP(T65,男子種目コード!$A$1:$B$33,2,FALSE),IF(I65=2,VLOOKUP(T65,女子種目コード!$A$1:$B$28,2,FALSE))))</f>
        <v/>
      </c>
      <c r="V65" s="494" t="str">
        <f>IF(T65="","",HLOOKUP(T65,名簿!$AH$3:$CH$118,60,FALSE))</f>
        <v/>
      </c>
      <c r="W65" s="624" t="str">
        <f t="shared" si="6"/>
        <v/>
      </c>
      <c r="X65" s="625" t="str">
        <f t="shared" si="7"/>
        <v/>
      </c>
      <c r="Y65" s="816"/>
      <c r="Z65" s="812" t="str">
        <f>IF(Y65="","",IF(I65=1,VLOOKUP(Y65,男子種目コード!$A$1:$B$33,2,FALSE),IF(I65=2,VLOOKUP(Y65,女子種目コード!$A$1:$B$27,2,FALSE))))</f>
        <v/>
      </c>
      <c r="AA65" s="304"/>
      <c r="AB65" s="303"/>
      <c r="AC65" s="517"/>
      <c r="AD65" s="518"/>
      <c r="AE65" s="624" t="str">
        <f t="shared" si="8"/>
        <v/>
      </c>
      <c r="AF65" s="625" t="str">
        <f t="shared" si="9"/>
        <v/>
      </c>
      <c r="AG65" s="519"/>
      <c r="AH65" s="520"/>
      <c r="AI65" s="521"/>
      <c r="AJ65" s="20"/>
      <c r="AK65" s="20"/>
      <c r="AM65" s="142"/>
      <c r="AN65" s="134" t="str">
        <f t="shared" si="12"/>
        <v/>
      </c>
      <c r="AO65" s="134" t="str">
        <f t="shared" si="13"/>
        <v/>
      </c>
      <c r="AQ65" s="134"/>
      <c r="AR65" s="134"/>
      <c r="AS65" s="181">
        <f t="shared" si="14"/>
        <v>0</v>
      </c>
      <c r="AT65" s="320"/>
      <c r="AU65" s="289"/>
      <c r="AV65" s="289"/>
      <c r="AW65" s="289"/>
      <c r="AX65" s="265"/>
      <c r="AY65" s="290"/>
      <c r="AZ65" s="290"/>
      <c r="BA65" s="265"/>
      <c r="BB65" s="265"/>
      <c r="BC65" s="265"/>
      <c r="BD65" s="265"/>
      <c r="BE65" s="265"/>
      <c r="BF65" s="265"/>
      <c r="BG65" s="265"/>
      <c r="BH65" s="265"/>
      <c r="BI65" s="265"/>
      <c r="BJ65" s="265"/>
    </row>
    <row r="66" spans="1:62" ht="14.25" customHeight="1">
      <c r="A66" s="134" t="str">
        <f t="shared" si="3"/>
        <v/>
      </c>
      <c r="B66" s="160" t="str">
        <f>名簿!P63</f>
        <v/>
      </c>
      <c r="C66" s="160"/>
      <c r="D66" s="793"/>
      <c r="E66" s="180">
        <f>名簿!E63</f>
        <v>0</v>
      </c>
      <c r="F66" s="560" t="str">
        <f>名簿!CM63</f>
        <v/>
      </c>
      <c r="G66" s="160" t="str">
        <f>名簿!Z63</f>
        <v/>
      </c>
      <c r="H66" s="1302" t="str">
        <f>名簿!CM63</f>
        <v/>
      </c>
      <c r="I66" s="185" t="str">
        <f>名簿!Y63</f>
        <v/>
      </c>
      <c r="J66" s="1303" t="str">
        <f>名簿!CN63</f>
        <v/>
      </c>
      <c r="K66" s="1304">
        <f>名簿!CP63</f>
        <v>0</v>
      </c>
      <c r="L66" s="1305" t="str">
        <f>名簿!CU63</f>
        <v>00</v>
      </c>
      <c r="M66" s="160" t="str">
        <f>名簿!Q63</f>
        <v/>
      </c>
      <c r="N66" s="1312">
        <f>名簿!D63</f>
        <v>0</v>
      </c>
      <c r="O66" s="1295"/>
      <c r="P66" s="258" t="str">
        <f>IF(O66="","",IF(I66=1,VLOOKUP(O66,男子種目コード!$A$1:$B$33,2,FALSE),IF(I66=2,VLOOKUP(O66,女子種目コード!$A$1:$B$28,2,FALSE))))</f>
        <v/>
      </c>
      <c r="Q66" s="494" t="str">
        <f>IF(O66="","",HLOOKUP(O66,名簿!$AH$3:$CH$118,61,FALSE))</f>
        <v/>
      </c>
      <c r="R66" s="624" t="str">
        <f t="shared" si="4"/>
        <v/>
      </c>
      <c r="S66" s="625" t="str">
        <f t="shared" si="5"/>
        <v/>
      </c>
      <c r="T66" s="303"/>
      <c r="U66" s="258" t="str">
        <f>IF(T66="","",IF(I66=1,VLOOKUP(T66,男子種目コード!$A$1:$B$33,2,FALSE),IF(I66=2,VLOOKUP(T66,女子種目コード!$A$1:$B$28,2,FALSE))))</f>
        <v/>
      </c>
      <c r="V66" s="494" t="str">
        <f>IF(T66="","",HLOOKUP(T66,名簿!$AH$3:$CH$118,61,FALSE))</f>
        <v/>
      </c>
      <c r="W66" s="624" t="str">
        <f t="shared" si="6"/>
        <v/>
      </c>
      <c r="X66" s="625" t="str">
        <f t="shared" si="7"/>
        <v/>
      </c>
      <c r="Y66" s="816"/>
      <c r="Z66" s="812" t="str">
        <f>IF(Y66="","",IF(I66=1,VLOOKUP(Y66,男子種目コード!$A$1:$B$33,2,FALSE),IF(I66=2,VLOOKUP(Y66,女子種目コード!$A$1:$B$27,2,FALSE))))</f>
        <v/>
      </c>
      <c r="AA66" s="304"/>
      <c r="AB66" s="303"/>
      <c r="AC66" s="517"/>
      <c r="AD66" s="518"/>
      <c r="AE66" s="624" t="str">
        <f t="shared" si="8"/>
        <v/>
      </c>
      <c r="AF66" s="625" t="str">
        <f t="shared" si="9"/>
        <v/>
      </c>
      <c r="AG66" s="519"/>
      <c r="AH66" s="520"/>
      <c r="AI66" s="521"/>
      <c r="AJ66" s="20"/>
      <c r="AK66" s="20"/>
      <c r="AM66" s="142"/>
      <c r="AN66" s="134" t="str">
        <f t="shared" si="12"/>
        <v/>
      </c>
      <c r="AO66" s="134" t="str">
        <f t="shared" si="13"/>
        <v/>
      </c>
      <c r="AQ66" s="134"/>
      <c r="AR66" s="134"/>
      <c r="AS66" s="181">
        <f t="shared" si="14"/>
        <v>0</v>
      </c>
      <c r="AT66" s="320"/>
      <c r="AU66" s="289"/>
      <c r="AV66" s="289"/>
      <c r="AW66" s="289"/>
      <c r="AX66" s="265"/>
      <c r="AY66" s="290"/>
      <c r="AZ66" s="290"/>
      <c r="BA66" s="265"/>
      <c r="BB66" s="265"/>
      <c r="BC66" s="265"/>
      <c r="BD66" s="265"/>
      <c r="BE66" s="265"/>
      <c r="BF66" s="265"/>
      <c r="BG66" s="265"/>
      <c r="BH66" s="265"/>
      <c r="BI66" s="265"/>
      <c r="BJ66" s="265"/>
    </row>
    <row r="67" spans="1:62" ht="14.25" customHeight="1">
      <c r="A67" s="134" t="str">
        <f t="shared" si="3"/>
        <v/>
      </c>
      <c r="B67" s="160" t="str">
        <f>名簿!P64</f>
        <v/>
      </c>
      <c r="C67" s="160"/>
      <c r="D67" s="793"/>
      <c r="E67" s="180">
        <f>名簿!E64</f>
        <v>0</v>
      </c>
      <c r="F67" s="560" t="str">
        <f>名簿!CM64</f>
        <v/>
      </c>
      <c r="G67" s="160" t="str">
        <f>名簿!Z64</f>
        <v/>
      </c>
      <c r="H67" s="1302" t="str">
        <f>名簿!CM64</f>
        <v/>
      </c>
      <c r="I67" s="185" t="str">
        <f>名簿!Y64</f>
        <v/>
      </c>
      <c r="J67" s="1303" t="str">
        <f>名簿!CN64</f>
        <v/>
      </c>
      <c r="K67" s="1304">
        <f>名簿!CP64</f>
        <v>0</v>
      </c>
      <c r="L67" s="1305" t="str">
        <f>名簿!CU64</f>
        <v>00</v>
      </c>
      <c r="M67" s="160" t="str">
        <f>名簿!Q64</f>
        <v/>
      </c>
      <c r="N67" s="1312">
        <f>名簿!D64</f>
        <v>0</v>
      </c>
      <c r="O67" s="1295"/>
      <c r="P67" s="258" t="str">
        <f>IF(O67="","",IF(I67=1,VLOOKUP(O67,男子種目コード!$A$1:$B$33,2,FALSE),IF(I67=2,VLOOKUP(O67,女子種目コード!$A$1:$B$28,2,FALSE))))</f>
        <v/>
      </c>
      <c r="Q67" s="494" t="str">
        <f>IF(O67="","",HLOOKUP(O67,名簿!$AH$3:$CH$118,62,FALSE))</f>
        <v/>
      </c>
      <c r="R67" s="624" t="str">
        <f t="shared" si="4"/>
        <v/>
      </c>
      <c r="S67" s="625" t="str">
        <f t="shared" si="5"/>
        <v/>
      </c>
      <c r="T67" s="303"/>
      <c r="U67" s="258" t="str">
        <f>IF(T67="","",IF(I67=1,VLOOKUP(T67,男子種目コード!$A$1:$B$33,2,FALSE),IF(I67=2,VLOOKUP(T67,女子種目コード!$A$1:$B$28,2,FALSE))))</f>
        <v/>
      </c>
      <c r="V67" s="494" t="str">
        <f>IF(T67="","",HLOOKUP(T67,名簿!$AH$3:$CH$118,62,FALSE))</f>
        <v/>
      </c>
      <c r="W67" s="624" t="str">
        <f t="shared" si="6"/>
        <v/>
      </c>
      <c r="X67" s="625" t="str">
        <f t="shared" si="7"/>
        <v/>
      </c>
      <c r="Y67" s="816"/>
      <c r="Z67" s="812" t="str">
        <f>IF(Y67="","",IF(I67=1,VLOOKUP(Y67,男子種目コード!$A$1:$B$33,2,FALSE),IF(I67=2,VLOOKUP(Y67,女子種目コード!$A$1:$B$27,2,FALSE))))</f>
        <v/>
      </c>
      <c r="AA67" s="304"/>
      <c r="AB67" s="303"/>
      <c r="AC67" s="517"/>
      <c r="AD67" s="518"/>
      <c r="AE67" s="624" t="str">
        <f t="shared" si="8"/>
        <v/>
      </c>
      <c r="AF67" s="625" t="str">
        <f t="shared" si="9"/>
        <v/>
      </c>
      <c r="AG67" s="519"/>
      <c r="AH67" s="520"/>
      <c r="AI67" s="521"/>
      <c r="AJ67" s="20"/>
      <c r="AK67" s="20"/>
      <c r="AM67" s="142"/>
      <c r="AN67" s="134" t="str">
        <f t="shared" si="12"/>
        <v/>
      </c>
      <c r="AO67" s="134" t="str">
        <f t="shared" si="13"/>
        <v/>
      </c>
      <c r="AQ67" s="134"/>
      <c r="AR67" s="134"/>
      <c r="AS67" s="181">
        <f t="shared" si="14"/>
        <v>0</v>
      </c>
      <c r="AT67" s="320"/>
      <c r="AU67" s="289"/>
      <c r="AV67" s="289"/>
      <c r="AW67" s="289"/>
      <c r="AX67" s="265"/>
      <c r="AY67" s="290"/>
      <c r="AZ67" s="290"/>
      <c r="BA67" s="265"/>
      <c r="BB67" s="265"/>
      <c r="BC67" s="265"/>
      <c r="BD67" s="265"/>
      <c r="BE67" s="265"/>
      <c r="BF67" s="265"/>
      <c r="BG67" s="265"/>
      <c r="BH67" s="265"/>
      <c r="BI67" s="265"/>
      <c r="BJ67" s="265"/>
    </row>
    <row r="68" spans="1:62" ht="14.25" customHeight="1">
      <c r="A68" s="134" t="str">
        <f t="shared" si="3"/>
        <v/>
      </c>
      <c r="B68" s="160" t="str">
        <f>名簿!P65</f>
        <v/>
      </c>
      <c r="C68" s="160"/>
      <c r="D68" s="793"/>
      <c r="E68" s="180">
        <f>名簿!E65</f>
        <v>0</v>
      </c>
      <c r="F68" s="560" t="str">
        <f>名簿!CM65</f>
        <v/>
      </c>
      <c r="G68" s="160" t="str">
        <f>名簿!Z65</f>
        <v/>
      </c>
      <c r="H68" s="1302" t="str">
        <f>名簿!CM65</f>
        <v/>
      </c>
      <c r="I68" s="185" t="str">
        <f>名簿!Y65</f>
        <v/>
      </c>
      <c r="J68" s="1303" t="str">
        <f>名簿!CN65</f>
        <v/>
      </c>
      <c r="K68" s="1304">
        <f>名簿!CP65</f>
        <v>0</v>
      </c>
      <c r="L68" s="1305" t="str">
        <f>名簿!CU65</f>
        <v>00</v>
      </c>
      <c r="M68" s="160" t="str">
        <f>名簿!Q65</f>
        <v/>
      </c>
      <c r="N68" s="1312">
        <f>名簿!D65</f>
        <v>0</v>
      </c>
      <c r="O68" s="1295"/>
      <c r="P68" s="258" t="str">
        <f>IF(O68="","",IF(I68=1,VLOOKUP(O68,男子種目コード!$A$1:$B$33,2,FALSE),IF(I68=2,VLOOKUP(O68,女子種目コード!$A$1:$B$28,2,FALSE))))</f>
        <v/>
      </c>
      <c r="Q68" s="494" t="str">
        <f>IF(O68="","",HLOOKUP(O68,名簿!$AH$3:$CH$118,63,FALSE))</f>
        <v/>
      </c>
      <c r="R68" s="624" t="str">
        <f t="shared" si="4"/>
        <v/>
      </c>
      <c r="S68" s="625" t="str">
        <f t="shared" si="5"/>
        <v/>
      </c>
      <c r="T68" s="303"/>
      <c r="U68" s="258" t="str">
        <f>IF(T68="","",IF(I68=1,VLOOKUP(T68,男子種目コード!$A$1:$B$33,2,FALSE),IF(I68=2,VLOOKUP(T68,女子種目コード!$A$1:$B$28,2,FALSE))))</f>
        <v/>
      </c>
      <c r="V68" s="494" t="str">
        <f>IF(T68="","",HLOOKUP(T68,名簿!$AH$3:$CH$118,63,FALSE))</f>
        <v/>
      </c>
      <c r="W68" s="624" t="str">
        <f t="shared" si="6"/>
        <v/>
      </c>
      <c r="X68" s="625" t="str">
        <f t="shared" si="7"/>
        <v/>
      </c>
      <c r="Y68" s="816"/>
      <c r="Z68" s="812" t="str">
        <f>IF(Y68="","",IF(I68=1,VLOOKUP(Y68,男子種目コード!$A$1:$B$33,2,FALSE),IF(I68=2,VLOOKUP(Y68,女子種目コード!$A$1:$B$27,2,FALSE))))</f>
        <v/>
      </c>
      <c r="AA68" s="304"/>
      <c r="AB68" s="303"/>
      <c r="AC68" s="517"/>
      <c r="AD68" s="518"/>
      <c r="AE68" s="624" t="str">
        <f t="shared" si="8"/>
        <v/>
      </c>
      <c r="AF68" s="625" t="str">
        <f t="shared" si="9"/>
        <v/>
      </c>
      <c r="AG68" s="519"/>
      <c r="AH68" s="520"/>
      <c r="AI68" s="521"/>
      <c r="AJ68" s="20"/>
      <c r="AK68" s="20"/>
      <c r="AM68" s="142"/>
      <c r="AN68" s="134" t="str">
        <f t="shared" si="12"/>
        <v/>
      </c>
      <c r="AO68" s="134" t="str">
        <f t="shared" si="13"/>
        <v/>
      </c>
      <c r="AQ68" s="134"/>
      <c r="AR68" s="134"/>
      <c r="AS68" s="181">
        <f t="shared" si="14"/>
        <v>0</v>
      </c>
      <c r="AT68" s="320"/>
      <c r="AU68" s="289"/>
      <c r="AV68" s="289"/>
      <c r="AW68" s="289"/>
      <c r="AX68" s="265"/>
      <c r="AY68" s="290"/>
      <c r="AZ68" s="290"/>
      <c r="BA68" s="265"/>
      <c r="BB68" s="265"/>
      <c r="BC68" s="265"/>
      <c r="BD68" s="265"/>
      <c r="BE68" s="265"/>
      <c r="BF68" s="265"/>
      <c r="BG68" s="265"/>
      <c r="BH68" s="265"/>
      <c r="BI68" s="265"/>
      <c r="BJ68" s="265"/>
    </row>
    <row r="69" spans="1:62" ht="14.25" customHeight="1">
      <c r="A69" s="134" t="str">
        <f t="shared" si="3"/>
        <v/>
      </c>
      <c r="B69" s="160" t="str">
        <f>名簿!P66</f>
        <v/>
      </c>
      <c r="C69" s="160"/>
      <c r="D69" s="793"/>
      <c r="E69" s="180">
        <f>名簿!E66</f>
        <v>0</v>
      </c>
      <c r="F69" s="560" t="str">
        <f>名簿!CM66</f>
        <v/>
      </c>
      <c r="G69" s="160" t="str">
        <f>名簿!Z66</f>
        <v/>
      </c>
      <c r="H69" s="1302" t="str">
        <f>名簿!CM66</f>
        <v/>
      </c>
      <c r="I69" s="185" t="str">
        <f>名簿!Y66</f>
        <v/>
      </c>
      <c r="J69" s="1303" t="str">
        <f>名簿!CN66</f>
        <v/>
      </c>
      <c r="K69" s="1304">
        <f>名簿!CP66</f>
        <v>0</v>
      </c>
      <c r="L69" s="1305" t="str">
        <f>名簿!CU66</f>
        <v>00</v>
      </c>
      <c r="M69" s="160" t="str">
        <f>名簿!Q66</f>
        <v/>
      </c>
      <c r="N69" s="1312">
        <f>名簿!D66</f>
        <v>0</v>
      </c>
      <c r="O69" s="1295"/>
      <c r="P69" s="258" t="str">
        <f>IF(O69="","",IF(I69=1,VLOOKUP(O69,男子種目コード!$A$1:$B$33,2,FALSE),IF(I69=2,VLOOKUP(O69,女子種目コード!$A$1:$B$28,2,FALSE))))</f>
        <v/>
      </c>
      <c r="Q69" s="494" t="str">
        <f>IF(O69="","",HLOOKUP(O69,名簿!$AH$3:$CH$118,64,FALSE))</f>
        <v/>
      </c>
      <c r="R69" s="624" t="str">
        <f t="shared" si="4"/>
        <v/>
      </c>
      <c r="S69" s="625" t="str">
        <f t="shared" si="5"/>
        <v/>
      </c>
      <c r="T69" s="303"/>
      <c r="U69" s="258" t="str">
        <f>IF(T69="","",IF(I69=1,VLOOKUP(T69,男子種目コード!$A$1:$B$33,2,FALSE),IF(I69=2,VLOOKUP(T69,女子種目コード!$A$1:$B$28,2,FALSE))))</f>
        <v/>
      </c>
      <c r="V69" s="494" t="str">
        <f>IF(T69="","",HLOOKUP(T69,名簿!$AH$3:$CH$118,64,FALSE))</f>
        <v/>
      </c>
      <c r="W69" s="624" t="str">
        <f t="shared" si="6"/>
        <v/>
      </c>
      <c r="X69" s="625" t="str">
        <f t="shared" si="7"/>
        <v/>
      </c>
      <c r="Y69" s="816"/>
      <c r="Z69" s="812" t="str">
        <f>IF(Y69="","",IF(I69=1,VLOOKUP(Y69,男子種目コード!$A$1:$B$33,2,FALSE),IF(I69=2,VLOOKUP(Y69,女子種目コード!$A$1:$B$27,2,FALSE))))</f>
        <v/>
      </c>
      <c r="AA69" s="304"/>
      <c r="AB69" s="303"/>
      <c r="AC69" s="517"/>
      <c r="AD69" s="518"/>
      <c r="AE69" s="624" t="str">
        <f t="shared" si="8"/>
        <v/>
      </c>
      <c r="AF69" s="625" t="str">
        <f t="shared" si="9"/>
        <v/>
      </c>
      <c r="AG69" s="519"/>
      <c r="AH69" s="520"/>
      <c r="AI69" s="521"/>
      <c r="AJ69" s="20"/>
      <c r="AK69" s="20"/>
      <c r="AM69" s="142"/>
      <c r="AN69" s="134" t="str">
        <f t="shared" si="12"/>
        <v/>
      </c>
      <c r="AO69" s="134" t="str">
        <f t="shared" si="13"/>
        <v/>
      </c>
      <c r="AQ69" s="134"/>
      <c r="AR69" s="134"/>
      <c r="AS69" s="181">
        <f t="shared" si="14"/>
        <v>0</v>
      </c>
      <c r="AT69" s="320"/>
      <c r="AU69" s="289"/>
      <c r="AV69" s="289"/>
      <c r="AW69" s="289"/>
      <c r="AX69" s="265"/>
      <c r="AY69" s="290"/>
      <c r="AZ69" s="290"/>
      <c r="BA69" s="265"/>
      <c r="BB69" s="265"/>
      <c r="BC69" s="265"/>
      <c r="BD69" s="265"/>
      <c r="BE69" s="265"/>
      <c r="BF69" s="265"/>
      <c r="BG69" s="265"/>
      <c r="BH69" s="265"/>
      <c r="BI69" s="265"/>
      <c r="BJ69" s="265"/>
    </row>
    <row r="70" spans="1:62" ht="14.25" customHeight="1">
      <c r="A70" s="134" t="str">
        <f t="shared" si="3"/>
        <v/>
      </c>
      <c r="B70" s="160" t="str">
        <f>名簿!P67</f>
        <v/>
      </c>
      <c r="C70" s="160"/>
      <c r="D70" s="793"/>
      <c r="E70" s="180">
        <f>名簿!E67</f>
        <v>0</v>
      </c>
      <c r="F70" s="560" t="str">
        <f>名簿!CM67</f>
        <v/>
      </c>
      <c r="G70" s="160" t="str">
        <f>名簿!Z67</f>
        <v/>
      </c>
      <c r="H70" s="1302" t="str">
        <f>名簿!CM67</f>
        <v/>
      </c>
      <c r="I70" s="185" t="str">
        <f>名簿!Y67</f>
        <v/>
      </c>
      <c r="J70" s="1303" t="str">
        <f>名簿!CN67</f>
        <v/>
      </c>
      <c r="K70" s="1304">
        <f>名簿!CP67</f>
        <v>0</v>
      </c>
      <c r="L70" s="1305" t="str">
        <f>名簿!CU67</f>
        <v>00</v>
      </c>
      <c r="M70" s="160" t="str">
        <f>名簿!Q67</f>
        <v/>
      </c>
      <c r="N70" s="1312">
        <f>名簿!D67</f>
        <v>0</v>
      </c>
      <c r="O70" s="1295"/>
      <c r="P70" s="258" t="str">
        <f>IF(O70="","",IF(I70=1,VLOOKUP(O70,男子種目コード!$A$1:$B$33,2,FALSE),IF(I70=2,VLOOKUP(O70,女子種目コード!$A$1:$B$28,2,FALSE))))</f>
        <v/>
      </c>
      <c r="Q70" s="494" t="str">
        <f>IF(O70="","",HLOOKUP(O70,名簿!$AH$3:$CH$118,65,FALSE))</f>
        <v/>
      </c>
      <c r="R70" s="624" t="str">
        <f t="shared" si="4"/>
        <v/>
      </c>
      <c r="S70" s="625" t="str">
        <f t="shared" si="5"/>
        <v/>
      </c>
      <c r="T70" s="303"/>
      <c r="U70" s="258" t="str">
        <f>IF(T70="","",IF(I70=1,VLOOKUP(T70,男子種目コード!$A$1:$B$33,2,FALSE),IF(I70=2,VLOOKUP(T70,女子種目コード!$A$1:$B$28,2,FALSE))))</f>
        <v/>
      </c>
      <c r="V70" s="494" t="str">
        <f>IF(T70="","",HLOOKUP(T70,名簿!$AH$3:$CH$118,65,FALSE))</f>
        <v/>
      </c>
      <c r="W70" s="624" t="str">
        <f t="shared" si="6"/>
        <v/>
      </c>
      <c r="X70" s="625" t="str">
        <f t="shared" si="7"/>
        <v/>
      </c>
      <c r="Y70" s="816"/>
      <c r="Z70" s="812" t="str">
        <f>IF(Y70="","",IF(I70=1,VLOOKUP(Y70,男子種目コード!$A$1:$B$33,2,FALSE),IF(I70=2,VLOOKUP(Y70,女子種目コード!$A$1:$B$27,2,FALSE))))</f>
        <v/>
      </c>
      <c r="AA70" s="304"/>
      <c r="AB70" s="303"/>
      <c r="AC70" s="517"/>
      <c r="AD70" s="518"/>
      <c r="AE70" s="624" t="str">
        <f t="shared" si="8"/>
        <v/>
      </c>
      <c r="AF70" s="625" t="str">
        <f t="shared" si="9"/>
        <v/>
      </c>
      <c r="AG70" s="519"/>
      <c r="AH70" s="520"/>
      <c r="AI70" s="521"/>
      <c r="AJ70" s="20"/>
      <c r="AK70" s="20"/>
      <c r="AM70" s="142"/>
      <c r="AN70" s="134" t="str">
        <f t="shared" si="12"/>
        <v/>
      </c>
      <c r="AO70" s="134" t="str">
        <f t="shared" si="13"/>
        <v/>
      </c>
      <c r="AQ70" s="134"/>
      <c r="AR70" s="134"/>
      <c r="AS70" s="181">
        <f t="shared" si="14"/>
        <v>0</v>
      </c>
      <c r="AT70" s="320"/>
      <c r="AU70" s="289"/>
      <c r="AV70" s="289"/>
      <c r="AW70" s="289"/>
      <c r="AX70" s="265"/>
      <c r="AY70" s="290"/>
      <c r="AZ70" s="290"/>
      <c r="BA70" s="265"/>
      <c r="BB70" s="265"/>
      <c r="BC70" s="265"/>
      <c r="BD70" s="265"/>
      <c r="BE70" s="265"/>
      <c r="BF70" s="265"/>
      <c r="BG70" s="265"/>
      <c r="BH70" s="265"/>
      <c r="BI70" s="265"/>
      <c r="BJ70" s="265"/>
    </row>
    <row r="71" spans="1:62" ht="14.25" customHeight="1">
      <c r="A71" s="134" t="str">
        <f t="shared" si="3"/>
        <v/>
      </c>
      <c r="B71" s="160" t="str">
        <f>名簿!P68</f>
        <v/>
      </c>
      <c r="C71" s="160"/>
      <c r="D71" s="793"/>
      <c r="E71" s="180">
        <f>名簿!E68</f>
        <v>0</v>
      </c>
      <c r="F71" s="560" t="str">
        <f>名簿!CM68</f>
        <v/>
      </c>
      <c r="G71" s="160" t="str">
        <f>名簿!Z68</f>
        <v/>
      </c>
      <c r="H71" s="1302" t="str">
        <f>名簿!CM68</f>
        <v/>
      </c>
      <c r="I71" s="185" t="str">
        <f>名簿!Y68</f>
        <v/>
      </c>
      <c r="J71" s="1303" t="str">
        <f>名簿!CN68</f>
        <v/>
      </c>
      <c r="K71" s="1304">
        <f>名簿!CP68</f>
        <v>0</v>
      </c>
      <c r="L71" s="1305" t="str">
        <f>名簿!CU68</f>
        <v>00</v>
      </c>
      <c r="M71" s="160" t="str">
        <f>名簿!Q68</f>
        <v/>
      </c>
      <c r="N71" s="1312">
        <f>名簿!D68</f>
        <v>0</v>
      </c>
      <c r="O71" s="1295"/>
      <c r="P71" s="258" t="str">
        <f>IF(O71="","",IF(I71=1,VLOOKUP(O71,男子種目コード!$A$1:$B$33,2,FALSE),IF(I71=2,VLOOKUP(O71,女子種目コード!$A$1:$B$28,2,FALSE))))</f>
        <v/>
      </c>
      <c r="Q71" s="494" t="str">
        <f>IF(O71="","",HLOOKUP(O71,名簿!$AH$3:$CH$118,66,FALSE))</f>
        <v/>
      </c>
      <c r="R71" s="624" t="str">
        <f t="shared" si="4"/>
        <v/>
      </c>
      <c r="S71" s="625" t="str">
        <f t="shared" si="5"/>
        <v/>
      </c>
      <c r="T71" s="303"/>
      <c r="U71" s="258" t="str">
        <f>IF(T71="","",IF(I71=1,VLOOKUP(T71,男子種目コード!$A$1:$B$33,2,FALSE),IF(I71=2,VLOOKUP(T71,女子種目コード!$A$1:$B$28,2,FALSE))))</f>
        <v/>
      </c>
      <c r="V71" s="494" t="str">
        <f>IF(T71="","",HLOOKUP(T71,名簿!$AH$3:$CH$118,66,FALSE))</f>
        <v/>
      </c>
      <c r="W71" s="624" t="str">
        <f t="shared" si="6"/>
        <v/>
      </c>
      <c r="X71" s="625" t="str">
        <f t="shared" si="7"/>
        <v/>
      </c>
      <c r="Y71" s="816"/>
      <c r="Z71" s="812" t="str">
        <f>IF(Y71="","",IF(I71=1,VLOOKUP(Y71,男子種目コード!$A$1:$B$33,2,FALSE),IF(I71=2,VLOOKUP(Y71,女子種目コード!$A$1:$B$27,2,FALSE))))</f>
        <v/>
      </c>
      <c r="AA71" s="304"/>
      <c r="AB71" s="303"/>
      <c r="AC71" s="517"/>
      <c r="AD71" s="518"/>
      <c r="AE71" s="624" t="str">
        <f t="shared" si="8"/>
        <v/>
      </c>
      <c r="AF71" s="625" t="str">
        <f t="shared" si="9"/>
        <v/>
      </c>
      <c r="AG71" s="519"/>
      <c r="AH71" s="520"/>
      <c r="AI71" s="521"/>
      <c r="AJ71" s="20"/>
      <c r="AK71" s="20"/>
      <c r="AM71" s="142"/>
      <c r="AN71" s="134" t="str">
        <f t="shared" ref="AN71:AN102" si="15">IF(O71="","",1)</f>
        <v/>
      </c>
      <c r="AO71" s="134" t="str">
        <f t="shared" ref="AO71:AO102" si="16">IF(T71="","",1)</f>
        <v/>
      </c>
      <c r="AQ71" s="134"/>
      <c r="AR71" s="134"/>
      <c r="AS71" s="181">
        <f t="shared" ref="AS71:AS102" si="17">E71</f>
        <v>0</v>
      </c>
      <c r="AT71" s="320"/>
      <c r="AU71" s="289"/>
      <c r="AV71" s="289"/>
      <c r="AW71" s="289"/>
      <c r="AX71" s="265"/>
      <c r="AY71" s="290"/>
      <c r="AZ71" s="290"/>
      <c r="BA71" s="265"/>
      <c r="BB71" s="265"/>
      <c r="BC71" s="265"/>
      <c r="BD71" s="265"/>
      <c r="BE71" s="265"/>
      <c r="BF71" s="265"/>
      <c r="BG71" s="265"/>
      <c r="BH71" s="265"/>
      <c r="BI71" s="265"/>
      <c r="BJ71" s="265"/>
    </row>
    <row r="72" spans="1:62" ht="14.25" customHeight="1">
      <c r="A72" s="134" t="str">
        <f t="shared" ref="A72:A116" si="18">Z72</f>
        <v/>
      </c>
      <c r="B72" s="160" t="str">
        <f>名簿!P69</f>
        <v/>
      </c>
      <c r="C72" s="160"/>
      <c r="D72" s="793"/>
      <c r="E72" s="180">
        <f>名簿!E69</f>
        <v>0</v>
      </c>
      <c r="F72" s="560" t="str">
        <f>名簿!CM69</f>
        <v/>
      </c>
      <c r="G72" s="160" t="str">
        <f>名簿!Z69</f>
        <v/>
      </c>
      <c r="H72" s="1302" t="str">
        <f>名簿!CM69</f>
        <v/>
      </c>
      <c r="I72" s="185" t="str">
        <f>名簿!Y69</f>
        <v/>
      </c>
      <c r="J72" s="1303" t="str">
        <f>名簿!CN69</f>
        <v/>
      </c>
      <c r="K72" s="1304">
        <f>名簿!CP69</f>
        <v>0</v>
      </c>
      <c r="L72" s="1305" t="str">
        <f>名簿!CU69</f>
        <v>00</v>
      </c>
      <c r="M72" s="160" t="str">
        <f>名簿!Q69</f>
        <v/>
      </c>
      <c r="N72" s="1312">
        <f>名簿!D69</f>
        <v>0</v>
      </c>
      <c r="O72" s="1295"/>
      <c r="P72" s="258" t="str">
        <f>IF(O72="","",IF(I72=1,VLOOKUP(O72,男子種目コード!$A$1:$B$33,2,FALSE),IF(I72=2,VLOOKUP(O72,女子種目コード!$A$1:$B$28,2,FALSE))))</f>
        <v/>
      </c>
      <c r="Q72" s="494" t="str">
        <f>IF(O72="","",HLOOKUP(O72,名簿!$AH$3:$CH$118,67,FALSE))</f>
        <v/>
      </c>
      <c r="R72" s="624" t="str">
        <f t="shared" ref="R72:R116" si="19">IF(O72="","",0)</f>
        <v/>
      </c>
      <c r="S72" s="625" t="str">
        <f t="shared" ref="S72:S116" si="20">IF(O72="","",2)</f>
        <v/>
      </c>
      <c r="T72" s="303"/>
      <c r="U72" s="258" t="str">
        <f>IF(T72="","",IF(I72=1,VLOOKUP(T72,男子種目コード!$A$1:$B$33,2,FALSE),IF(I72=2,VLOOKUP(T72,女子種目コード!$A$1:$B$28,2,FALSE))))</f>
        <v/>
      </c>
      <c r="V72" s="494" t="str">
        <f>IF(T72="","",HLOOKUP(T72,名簿!$AH$3:$CH$118,67,FALSE))</f>
        <v/>
      </c>
      <c r="W72" s="624" t="str">
        <f t="shared" ref="W72:W116" si="21">IF(T72="","",0)</f>
        <v/>
      </c>
      <c r="X72" s="625" t="str">
        <f t="shared" ref="X72:X116" si="22">IF(T72="","",2)</f>
        <v/>
      </c>
      <c r="Y72" s="816"/>
      <c r="Z72" s="812" t="str">
        <f>IF(Y72="","",IF(I72=1,VLOOKUP(Y72,男子種目コード!$A$1:$B$33,2,FALSE),IF(I72=2,VLOOKUP(Y72,女子種目コード!$A$1:$B$27,2,FALSE))))</f>
        <v/>
      </c>
      <c r="AA72" s="304"/>
      <c r="AB72" s="303"/>
      <c r="AC72" s="517"/>
      <c r="AD72" s="518"/>
      <c r="AE72" s="624" t="str">
        <f t="shared" ref="AE72:AE116" si="23">IF(AB72="","",0)</f>
        <v/>
      </c>
      <c r="AF72" s="625" t="str">
        <f t="shared" ref="AF72:AF116" si="24">IF(AB72="","",2)</f>
        <v/>
      </c>
      <c r="AG72" s="519"/>
      <c r="AH72" s="520"/>
      <c r="AI72" s="521"/>
      <c r="AJ72" s="20"/>
      <c r="AK72" s="20"/>
      <c r="AM72" s="142"/>
      <c r="AN72" s="134" t="str">
        <f t="shared" si="15"/>
        <v/>
      </c>
      <c r="AO72" s="134" t="str">
        <f t="shared" si="16"/>
        <v/>
      </c>
      <c r="AQ72" s="134"/>
      <c r="AR72" s="134"/>
      <c r="AS72" s="181">
        <f t="shared" si="17"/>
        <v>0</v>
      </c>
      <c r="AT72" s="320"/>
      <c r="AU72" s="289"/>
      <c r="AV72" s="289"/>
      <c r="AW72" s="289"/>
      <c r="AX72" s="265"/>
      <c r="AY72" s="290"/>
      <c r="AZ72" s="290"/>
      <c r="BA72" s="265"/>
      <c r="BB72" s="265"/>
      <c r="BC72" s="265"/>
      <c r="BD72" s="265"/>
      <c r="BE72" s="265"/>
      <c r="BF72" s="265"/>
      <c r="BG72" s="265"/>
      <c r="BH72" s="265"/>
      <c r="BI72" s="265"/>
      <c r="BJ72" s="265"/>
    </row>
    <row r="73" spans="1:62" ht="14.25" customHeight="1">
      <c r="A73" s="134" t="str">
        <f t="shared" si="18"/>
        <v/>
      </c>
      <c r="B73" s="160" t="str">
        <f>名簿!P70</f>
        <v/>
      </c>
      <c r="C73" s="160"/>
      <c r="D73" s="793"/>
      <c r="E73" s="180">
        <f>名簿!E70</f>
        <v>0</v>
      </c>
      <c r="F73" s="560" t="str">
        <f>名簿!CM70</f>
        <v/>
      </c>
      <c r="G73" s="160" t="str">
        <f>名簿!Z70</f>
        <v/>
      </c>
      <c r="H73" s="1302" t="str">
        <f>名簿!CM70</f>
        <v/>
      </c>
      <c r="I73" s="185" t="str">
        <f>名簿!Y70</f>
        <v/>
      </c>
      <c r="J73" s="1303" t="str">
        <f>名簿!CN70</f>
        <v/>
      </c>
      <c r="K73" s="1304">
        <f>名簿!CP70</f>
        <v>0</v>
      </c>
      <c r="L73" s="1305" t="str">
        <f>名簿!CU70</f>
        <v>00</v>
      </c>
      <c r="M73" s="160" t="str">
        <f>名簿!Q70</f>
        <v/>
      </c>
      <c r="N73" s="1312">
        <f>名簿!D70</f>
        <v>0</v>
      </c>
      <c r="O73" s="1295"/>
      <c r="P73" s="258" t="str">
        <f>IF(O73="","",IF(I73=1,VLOOKUP(O73,男子種目コード!$A$1:$B$33,2,FALSE),IF(I73=2,VLOOKUP(O73,女子種目コード!$A$1:$B$28,2,FALSE))))</f>
        <v/>
      </c>
      <c r="Q73" s="494" t="str">
        <f>IF(O73="","",HLOOKUP(O73,名簿!$AH$3:$CH$118,68,FALSE))</f>
        <v/>
      </c>
      <c r="R73" s="624" t="str">
        <f t="shared" si="19"/>
        <v/>
      </c>
      <c r="S73" s="625" t="str">
        <f t="shared" si="20"/>
        <v/>
      </c>
      <c r="T73" s="303"/>
      <c r="U73" s="258" t="str">
        <f>IF(T73="","",IF(I73=1,VLOOKUP(T73,男子種目コード!$A$1:$B$33,2,FALSE),IF(I73=2,VLOOKUP(T73,女子種目コード!$A$1:$B$28,2,FALSE))))</f>
        <v/>
      </c>
      <c r="V73" s="494" t="str">
        <f>IF(T73="","",HLOOKUP(T73,名簿!$AH$3:$CH$118,68,FALSE))</f>
        <v/>
      </c>
      <c r="W73" s="624" t="str">
        <f t="shared" si="21"/>
        <v/>
      </c>
      <c r="X73" s="625" t="str">
        <f t="shared" si="22"/>
        <v/>
      </c>
      <c r="Y73" s="816"/>
      <c r="Z73" s="812" t="str">
        <f>IF(Y73="","",IF(I73=1,VLOOKUP(Y73,男子種目コード!$A$1:$B$33,2,FALSE),IF(I73=2,VLOOKUP(Y73,女子種目コード!$A$1:$B$27,2,FALSE))))</f>
        <v/>
      </c>
      <c r="AA73" s="304"/>
      <c r="AB73" s="303"/>
      <c r="AC73" s="517"/>
      <c r="AD73" s="518"/>
      <c r="AE73" s="624" t="str">
        <f t="shared" si="23"/>
        <v/>
      </c>
      <c r="AF73" s="625" t="str">
        <f t="shared" si="24"/>
        <v/>
      </c>
      <c r="AG73" s="519"/>
      <c r="AH73" s="520"/>
      <c r="AI73" s="521"/>
      <c r="AJ73" s="20"/>
      <c r="AK73" s="20"/>
      <c r="AM73" s="142"/>
      <c r="AN73" s="134" t="str">
        <f t="shared" si="15"/>
        <v/>
      </c>
      <c r="AO73" s="134" t="str">
        <f t="shared" si="16"/>
        <v/>
      </c>
      <c r="AQ73" s="134"/>
      <c r="AR73" s="134"/>
      <c r="AS73" s="181">
        <f t="shared" si="17"/>
        <v>0</v>
      </c>
      <c r="AT73" s="320"/>
      <c r="AU73" s="289"/>
      <c r="AV73" s="289"/>
      <c r="AW73" s="289"/>
      <c r="AX73" s="265"/>
      <c r="AY73" s="290"/>
      <c r="AZ73" s="290"/>
      <c r="BA73" s="265"/>
      <c r="BB73" s="265"/>
      <c r="BC73" s="265"/>
      <c r="BD73" s="265"/>
      <c r="BE73" s="265"/>
      <c r="BF73" s="265"/>
      <c r="BG73" s="265"/>
      <c r="BH73" s="265"/>
      <c r="BI73" s="265"/>
      <c r="BJ73" s="265"/>
    </row>
    <row r="74" spans="1:62" ht="14.25" customHeight="1">
      <c r="A74" s="134" t="str">
        <f t="shared" si="18"/>
        <v/>
      </c>
      <c r="B74" s="160" t="str">
        <f>名簿!P71</f>
        <v/>
      </c>
      <c r="C74" s="160"/>
      <c r="D74" s="793"/>
      <c r="E74" s="180">
        <f>名簿!E71</f>
        <v>0</v>
      </c>
      <c r="F74" s="560" t="str">
        <f>名簿!CM71</f>
        <v/>
      </c>
      <c r="G74" s="160" t="str">
        <f>名簿!Z71</f>
        <v/>
      </c>
      <c r="H74" s="1302" t="str">
        <f>名簿!CM71</f>
        <v/>
      </c>
      <c r="I74" s="185" t="str">
        <f>名簿!Y71</f>
        <v/>
      </c>
      <c r="J74" s="1303" t="str">
        <f>名簿!CN71</f>
        <v/>
      </c>
      <c r="K74" s="1304">
        <f>名簿!CP71</f>
        <v>0</v>
      </c>
      <c r="L74" s="1305" t="str">
        <f>名簿!CU71</f>
        <v>00</v>
      </c>
      <c r="M74" s="160" t="str">
        <f>名簿!Q71</f>
        <v/>
      </c>
      <c r="N74" s="1312">
        <f>名簿!D71</f>
        <v>0</v>
      </c>
      <c r="O74" s="1295"/>
      <c r="P74" s="258" t="str">
        <f>IF(O74="","",IF(I74=1,VLOOKUP(O74,男子種目コード!$A$1:$B$33,2,FALSE),IF(I74=2,VLOOKUP(O74,女子種目コード!$A$1:$B$28,2,FALSE))))</f>
        <v/>
      </c>
      <c r="Q74" s="494" t="str">
        <f>IF(O74="","",HLOOKUP(O74,名簿!$AH$3:$CH$118,69,FALSE))</f>
        <v/>
      </c>
      <c r="R74" s="624" t="str">
        <f t="shared" si="19"/>
        <v/>
      </c>
      <c r="S74" s="625" t="str">
        <f t="shared" si="20"/>
        <v/>
      </c>
      <c r="T74" s="303"/>
      <c r="U74" s="258" t="str">
        <f>IF(T74="","",IF(I74=1,VLOOKUP(T74,男子種目コード!$A$1:$B$33,2,FALSE),IF(I74=2,VLOOKUP(T74,女子種目コード!$A$1:$B$28,2,FALSE))))</f>
        <v/>
      </c>
      <c r="V74" s="494" t="str">
        <f>IF(T74="","",HLOOKUP(T74,名簿!$AH$3:$CH$118,69,FALSE))</f>
        <v/>
      </c>
      <c r="W74" s="624" t="str">
        <f t="shared" si="21"/>
        <v/>
      </c>
      <c r="X74" s="625" t="str">
        <f t="shared" si="22"/>
        <v/>
      </c>
      <c r="Y74" s="816"/>
      <c r="Z74" s="812" t="str">
        <f>IF(Y74="","",IF(I74=1,VLOOKUP(Y74,男子種目コード!$A$1:$B$33,2,FALSE),IF(I74=2,VLOOKUP(Y74,女子種目コード!$A$1:$B$27,2,FALSE))))</f>
        <v/>
      </c>
      <c r="AA74" s="304"/>
      <c r="AB74" s="303"/>
      <c r="AC74" s="517"/>
      <c r="AD74" s="518"/>
      <c r="AE74" s="624" t="str">
        <f t="shared" si="23"/>
        <v/>
      </c>
      <c r="AF74" s="625" t="str">
        <f t="shared" si="24"/>
        <v/>
      </c>
      <c r="AG74" s="519"/>
      <c r="AH74" s="520"/>
      <c r="AI74" s="521"/>
      <c r="AJ74" s="20"/>
      <c r="AK74" s="20"/>
      <c r="AM74" s="142"/>
      <c r="AN74" s="134" t="str">
        <f t="shared" si="15"/>
        <v/>
      </c>
      <c r="AO74" s="134" t="str">
        <f t="shared" si="16"/>
        <v/>
      </c>
      <c r="AQ74" s="134"/>
      <c r="AR74" s="134"/>
      <c r="AS74" s="181">
        <f t="shared" si="17"/>
        <v>0</v>
      </c>
      <c r="AT74" s="320"/>
      <c r="AU74" s="289"/>
      <c r="AV74" s="289"/>
      <c r="AW74" s="289"/>
      <c r="AX74" s="265"/>
      <c r="AY74" s="290"/>
      <c r="AZ74" s="290"/>
      <c r="BA74" s="265"/>
      <c r="BB74" s="265"/>
      <c r="BC74" s="265"/>
      <c r="BD74" s="265"/>
      <c r="BE74" s="265"/>
      <c r="BF74" s="265"/>
      <c r="BG74" s="265"/>
      <c r="BH74" s="265"/>
      <c r="BI74" s="265"/>
      <c r="BJ74" s="265"/>
    </row>
    <row r="75" spans="1:62" ht="14.25" customHeight="1">
      <c r="A75" s="134" t="str">
        <f t="shared" si="18"/>
        <v/>
      </c>
      <c r="B75" s="160" t="str">
        <f>名簿!P72</f>
        <v/>
      </c>
      <c r="C75" s="160"/>
      <c r="D75" s="793"/>
      <c r="E75" s="180">
        <f>名簿!E72</f>
        <v>0</v>
      </c>
      <c r="F75" s="560" t="str">
        <f>名簿!CM72</f>
        <v/>
      </c>
      <c r="G75" s="160" t="str">
        <f>名簿!Z72</f>
        <v/>
      </c>
      <c r="H75" s="1302" t="str">
        <f>名簿!CM72</f>
        <v/>
      </c>
      <c r="I75" s="185" t="str">
        <f>名簿!Y72</f>
        <v/>
      </c>
      <c r="J75" s="1303" t="str">
        <f>名簿!CN72</f>
        <v/>
      </c>
      <c r="K75" s="1304">
        <f>名簿!CP72</f>
        <v>0</v>
      </c>
      <c r="L75" s="1305" t="str">
        <f>名簿!CU72</f>
        <v>00</v>
      </c>
      <c r="M75" s="160" t="str">
        <f>名簿!Q72</f>
        <v/>
      </c>
      <c r="N75" s="1312">
        <f>名簿!D72</f>
        <v>0</v>
      </c>
      <c r="O75" s="1295"/>
      <c r="P75" s="258" t="str">
        <f>IF(O75="","",IF(I75=1,VLOOKUP(O75,男子種目コード!$A$1:$B$33,2,FALSE),IF(I75=2,VLOOKUP(O75,女子種目コード!$A$1:$B$28,2,FALSE))))</f>
        <v/>
      </c>
      <c r="Q75" s="494" t="str">
        <f>IF(O75="","",HLOOKUP(O75,名簿!$AH$3:$CH$118,70,FALSE))</f>
        <v/>
      </c>
      <c r="R75" s="624" t="str">
        <f t="shared" si="19"/>
        <v/>
      </c>
      <c r="S75" s="625" t="str">
        <f t="shared" si="20"/>
        <v/>
      </c>
      <c r="T75" s="303"/>
      <c r="U75" s="258" t="str">
        <f>IF(T75="","",IF(I75=1,VLOOKUP(T75,男子種目コード!$A$1:$B$33,2,FALSE),IF(I75=2,VLOOKUP(T75,女子種目コード!$A$1:$B$28,2,FALSE))))</f>
        <v/>
      </c>
      <c r="V75" s="494" t="str">
        <f>IF(T75="","",HLOOKUP(T75,名簿!$AH$3:$CH$118,70,FALSE))</f>
        <v/>
      </c>
      <c r="W75" s="624" t="str">
        <f t="shared" si="21"/>
        <v/>
      </c>
      <c r="X75" s="625" t="str">
        <f t="shared" si="22"/>
        <v/>
      </c>
      <c r="Y75" s="816"/>
      <c r="Z75" s="812" t="str">
        <f>IF(Y75="","",IF(I75=1,VLOOKUP(Y75,男子種目コード!$A$1:$B$33,2,FALSE),IF(I75=2,VLOOKUP(Y75,女子種目コード!$A$1:$B$27,2,FALSE))))</f>
        <v/>
      </c>
      <c r="AA75" s="304"/>
      <c r="AB75" s="303"/>
      <c r="AC75" s="517"/>
      <c r="AD75" s="518"/>
      <c r="AE75" s="624" t="str">
        <f t="shared" si="23"/>
        <v/>
      </c>
      <c r="AF75" s="625" t="str">
        <f t="shared" si="24"/>
        <v/>
      </c>
      <c r="AG75" s="519"/>
      <c r="AH75" s="520"/>
      <c r="AI75" s="521"/>
      <c r="AJ75" s="20"/>
      <c r="AK75" s="20"/>
      <c r="AM75" s="142"/>
      <c r="AN75" s="134" t="str">
        <f t="shared" si="15"/>
        <v/>
      </c>
      <c r="AO75" s="134" t="str">
        <f t="shared" si="16"/>
        <v/>
      </c>
      <c r="AQ75" s="134"/>
      <c r="AR75" s="134"/>
      <c r="AS75" s="181">
        <f t="shared" si="17"/>
        <v>0</v>
      </c>
      <c r="AT75" s="320"/>
      <c r="AU75" s="289"/>
      <c r="AV75" s="289"/>
      <c r="AW75" s="289"/>
      <c r="AX75" s="265"/>
      <c r="AY75" s="290"/>
      <c r="AZ75" s="290"/>
      <c r="BA75" s="265"/>
      <c r="BB75" s="265"/>
      <c r="BC75" s="265"/>
      <c r="BD75" s="265"/>
      <c r="BE75" s="265"/>
      <c r="BF75" s="265"/>
      <c r="BG75" s="265"/>
      <c r="BH75" s="265"/>
      <c r="BI75" s="265"/>
      <c r="BJ75" s="265"/>
    </row>
    <row r="76" spans="1:62" ht="14.25" customHeight="1">
      <c r="A76" s="134" t="str">
        <f t="shared" si="18"/>
        <v/>
      </c>
      <c r="B76" s="160" t="str">
        <f>名簿!P73</f>
        <v/>
      </c>
      <c r="C76" s="160"/>
      <c r="D76" s="793"/>
      <c r="E76" s="180">
        <f>名簿!E73</f>
        <v>0</v>
      </c>
      <c r="F76" s="560" t="str">
        <f>名簿!CM73</f>
        <v/>
      </c>
      <c r="G76" s="160" t="str">
        <f>名簿!Z73</f>
        <v/>
      </c>
      <c r="H76" s="1302" t="str">
        <f>名簿!CM73</f>
        <v/>
      </c>
      <c r="I76" s="185" t="str">
        <f>名簿!Y73</f>
        <v/>
      </c>
      <c r="J76" s="1303" t="str">
        <f>名簿!CN73</f>
        <v/>
      </c>
      <c r="K76" s="1304">
        <f>名簿!CP73</f>
        <v>0</v>
      </c>
      <c r="L76" s="1305" t="str">
        <f>名簿!CU73</f>
        <v>00</v>
      </c>
      <c r="M76" s="160" t="str">
        <f>名簿!Q73</f>
        <v/>
      </c>
      <c r="N76" s="1312">
        <f>名簿!D73</f>
        <v>0</v>
      </c>
      <c r="O76" s="1295"/>
      <c r="P76" s="258" t="str">
        <f>IF(O76="","",IF(I76=1,VLOOKUP(O76,男子種目コード!$A$1:$B$33,2,FALSE),IF(I76=2,VLOOKUP(O76,女子種目コード!$A$1:$B$28,2,FALSE))))</f>
        <v/>
      </c>
      <c r="Q76" s="494" t="str">
        <f>IF(O76="","",HLOOKUP(O76,名簿!$AH$3:$CH$118,71,FALSE))</f>
        <v/>
      </c>
      <c r="R76" s="624" t="str">
        <f t="shared" si="19"/>
        <v/>
      </c>
      <c r="S76" s="625" t="str">
        <f t="shared" si="20"/>
        <v/>
      </c>
      <c r="T76" s="303"/>
      <c r="U76" s="258" t="str">
        <f>IF(T76="","",IF(I76=1,VLOOKUP(T76,男子種目コード!$A$1:$B$33,2,FALSE),IF(I76=2,VLOOKUP(T76,女子種目コード!$A$1:$B$28,2,FALSE))))</f>
        <v/>
      </c>
      <c r="V76" s="494" t="str">
        <f>IF(T76="","",HLOOKUP(T76,名簿!$AH$3:$CH$118,71,FALSE))</f>
        <v/>
      </c>
      <c r="W76" s="624" t="str">
        <f t="shared" si="21"/>
        <v/>
      </c>
      <c r="X76" s="625" t="str">
        <f t="shared" si="22"/>
        <v/>
      </c>
      <c r="Y76" s="816"/>
      <c r="Z76" s="812" t="str">
        <f>IF(Y76="","",IF(I76=1,VLOOKUP(Y76,男子種目コード!$A$1:$B$33,2,FALSE),IF(I76=2,VLOOKUP(Y76,女子種目コード!$A$1:$B$27,2,FALSE))))</f>
        <v/>
      </c>
      <c r="AA76" s="304"/>
      <c r="AB76" s="303"/>
      <c r="AC76" s="517"/>
      <c r="AD76" s="518"/>
      <c r="AE76" s="624" t="str">
        <f t="shared" si="23"/>
        <v/>
      </c>
      <c r="AF76" s="625" t="str">
        <f t="shared" si="24"/>
        <v/>
      </c>
      <c r="AG76" s="519"/>
      <c r="AH76" s="520"/>
      <c r="AI76" s="521"/>
      <c r="AJ76" s="20"/>
      <c r="AK76" s="20"/>
      <c r="AM76" s="142"/>
      <c r="AN76" s="134" t="str">
        <f t="shared" si="15"/>
        <v/>
      </c>
      <c r="AO76" s="134" t="str">
        <f t="shared" si="16"/>
        <v/>
      </c>
      <c r="AQ76" s="134"/>
      <c r="AR76" s="134"/>
      <c r="AS76" s="181">
        <f t="shared" si="17"/>
        <v>0</v>
      </c>
      <c r="AT76" s="320"/>
      <c r="AU76" s="289"/>
      <c r="AV76" s="289"/>
      <c r="AW76" s="289"/>
      <c r="AX76" s="265"/>
      <c r="AY76" s="290"/>
      <c r="AZ76" s="290"/>
      <c r="BA76" s="265"/>
      <c r="BB76" s="265"/>
      <c r="BC76" s="265"/>
      <c r="BD76" s="265"/>
      <c r="BE76" s="265"/>
      <c r="BF76" s="265"/>
      <c r="BG76" s="265"/>
      <c r="BH76" s="265"/>
      <c r="BI76" s="265"/>
      <c r="BJ76" s="265"/>
    </row>
    <row r="77" spans="1:62" ht="14.25" customHeight="1">
      <c r="A77" s="134" t="str">
        <f t="shared" si="18"/>
        <v/>
      </c>
      <c r="B77" s="160" t="str">
        <f>名簿!P74</f>
        <v/>
      </c>
      <c r="C77" s="160"/>
      <c r="D77" s="793"/>
      <c r="E77" s="180">
        <f>名簿!E74</f>
        <v>0</v>
      </c>
      <c r="F77" s="560" t="str">
        <f>名簿!CM74</f>
        <v/>
      </c>
      <c r="G77" s="160" t="str">
        <f>名簿!Z74</f>
        <v/>
      </c>
      <c r="H77" s="1302" t="str">
        <f>名簿!CM74</f>
        <v/>
      </c>
      <c r="I77" s="185" t="str">
        <f>名簿!Y74</f>
        <v/>
      </c>
      <c r="J77" s="1303" t="str">
        <f>名簿!CN74</f>
        <v/>
      </c>
      <c r="K77" s="1304">
        <f>名簿!CP74</f>
        <v>0</v>
      </c>
      <c r="L77" s="1305" t="str">
        <f>名簿!CU74</f>
        <v>00</v>
      </c>
      <c r="M77" s="160" t="str">
        <f>名簿!Q74</f>
        <v/>
      </c>
      <c r="N77" s="1312">
        <f>名簿!D74</f>
        <v>0</v>
      </c>
      <c r="O77" s="1295"/>
      <c r="P77" s="258" t="str">
        <f>IF(O77="","",IF(I77=1,VLOOKUP(O77,男子種目コード!$A$1:$B$33,2,FALSE),IF(I77=2,VLOOKUP(O77,女子種目コード!$A$1:$B$28,2,FALSE))))</f>
        <v/>
      </c>
      <c r="Q77" s="494" t="str">
        <f>IF(O77="","",HLOOKUP(O77,名簿!$AH$3:$CH$118,72,FALSE))</f>
        <v/>
      </c>
      <c r="R77" s="624" t="str">
        <f t="shared" si="19"/>
        <v/>
      </c>
      <c r="S77" s="625" t="str">
        <f t="shared" si="20"/>
        <v/>
      </c>
      <c r="T77" s="303"/>
      <c r="U77" s="258" t="str">
        <f>IF(T77="","",IF(I77=1,VLOOKUP(T77,男子種目コード!$A$1:$B$33,2,FALSE),IF(I77=2,VLOOKUP(T77,女子種目コード!$A$1:$B$28,2,FALSE))))</f>
        <v/>
      </c>
      <c r="V77" s="494" t="str">
        <f>IF(T77="","",HLOOKUP(T77,名簿!$AH$3:$CH$118,72,FALSE))</f>
        <v/>
      </c>
      <c r="W77" s="624" t="str">
        <f t="shared" si="21"/>
        <v/>
      </c>
      <c r="X77" s="625" t="str">
        <f t="shared" si="22"/>
        <v/>
      </c>
      <c r="Y77" s="816"/>
      <c r="Z77" s="812" t="str">
        <f>IF(Y77="","",IF(I77=1,VLOOKUP(Y77,男子種目コード!$A$1:$B$33,2,FALSE),IF(I77=2,VLOOKUP(Y77,女子種目コード!$A$1:$B$27,2,FALSE))))</f>
        <v/>
      </c>
      <c r="AA77" s="304"/>
      <c r="AB77" s="303"/>
      <c r="AC77" s="517"/>
      <c r="AD77" s="518"/>
      <c r="AE77" s="624" t="str">
        <f t="shared" si="23"/>
        <v/>
      </c>
      <c r="AF77" s="625" t="str">
        <f t="shared" si="24"/>
        <v/>
      </c>
      <c r="AG77" s="519"/>
      <c r="AH77" s="520"/>
      <c r="AI77" s="521"/>
      <c r="AJ77" s="20"/>
      <c r="AK77" s="20"/>
      <c r="AM77" s="142"/>
      <c r="AN77" s="134" t="str">
        <f t="shared" si="15"/>
        <v/>
      </c>
      <c r="AO77" s="134" t="str">
        <f t="shared" si="16"/>
        <v/>
      </c>
      <c r="AQ77" s="134"/>
      <c r="AR77" s="134"/>
      <c r="AS77" s="181">
        <f t="shared" si="17"/>
        <v>0</v>
      </c>
      <c r="AT77" s="320"/>
      <c r="AU77" s="289"/>
      <c r="AV77" s="289"/>
      <c r="AW77" s="289"/>
      <c r="AX77" s="265"/>
      <c r="AY77" s="290"/>
      <c r="AZ77" s="290"/>
      <c r="BA77" s="265"/>
      <c r="BB77" s="265"/>
      <c r="BC77" s="265"/>
      <c r="BD77" s="265"/>
      <c r="BE77" s="265"/>
      <c r="BF77" s="265"/>
      <c r="BG77" s="265"/>
      <c r="BH77" s="265"/>
      <c r="BI77" s="265"/>
      <c r="BJ77" s="265"/>
    </row>
    <row r="78" spans="1:62" ht="14.25" customHeight="1">
      <c r="A78" s="134" t="str">
        <f t="shared" si="18"/>
        <v/>
      </c>
      <c r="B78" s="160" t="str">
        <f>名簿!P75</f>
        <v/>
      </c>
      <c r="C78" s="160"/>
      <c r="D78" s="793"/>
      <c r="E78" s="180">
        <f>名簿!E75</f>
        <v>0</v>
      </c>
      <c r="F78" s="560" t="str">
        <f>名簿!CM75</f>
        <v/>
      </c>
      <c r="G78" s="160" t="str">
        <f>名簿!Z75</f>
        <v/>
      </c>
      <c r="H78" s="1302" t="str">
        <f>名簿!CM75</f>
        <v/>
      </c>
      <c r="I78" s="185" t="str">
        <f>名簿!Y75</f>
        <v/>
      </c>
      <c r="J78" s="1303" t="str">
        <f>名簿!CN75</f>
        <v/>
      </c>
      <c r="K78" s="1304">
        <f>名簿!CP75</f>
        <v>0</v>
      </c>
      <c r="L78" s="1305" t="str">
        <f>名簿!CU75</f>
        <v>00</v>
      </c>
      <c r="M78" s="160" t="str">
        <f>名簿!Q75</f>
        <v/>
      </c>
      <c r="N78" s="1312">
        <f>名簿!D75</f>
        <v>0</v>
      </c>
      <c r="O78" s="1295"/>
      <c r="P78" s="258" t="str">
        <f>IF(O78="","",IF(I78=1,VLOOKUP(O78,男子種目コード!$A$1:$B$33,2,FALSE),IF(I78=2,VLOOKUP(O78,女子種目コード!$A$1:$B$28,2,FALSE))))</f>
        <v/>
      </c>
      <c r="Q78" s="494" t="str">
        <f>IF(O78="","",HLOOKUP(O78,名簿!$AH$3:$CH$118,73,FALSE))</f>
        <v/>
      </c>
      <c r="R78" s="624" t="str">
        <f t="shared" si="19"/>
        <v/>
      </c>
      <c r="S78" s="625" t="str">
        <f t="shared" si="20"/>
        <v/>
      </c>
      <c r="T78" s="303"/>
      <c r="U78" s="258" t="str">
        <f>IF(T78="","",IF(I78=1,VLOOKUP(T78,男子種目コード!$A$1:$B$33,2,FALSE),IF(I78=2,VLOOKUP(T78,女子種目コード!$A$1:$B$28,2,FALSE))))</f>
        <v/>
      </c>
      <c r="V78" s="494" t="str">
        <f>IF(T78="","",HLOOKUP(T78,名簿!$AH$3:$CH$118,73,FALSE))</f>
        <v/>
      </c>
      <c r="W78" s="624" t="str">
        <f t="shared" si="21"/>
        <v/>
      </c>
      <c r="X78" s="625" t="str">
        <f t="shared" si="22"/>
        <v/>
      </c>
      <c r="Y78" s="816"/>
      <c r="Z78" s="812" t="str">
        <f>IF(Y78="","",IF(I78=1,VLOOKUP(Y78,男子種目コード!$A$1:$B$33,2,FALSE),IF(I78=2,VLOOKUP(Y78,女子種目コード!$A$1:$B$27,2,FALSE))))</f>
        <v/>
      </c>
      <c r="AA78" s="304"/>
      <c r="AB78" s="303"/>
      <c r="AC78" s="517"/>
      <c r="AD78" s="518"/>
      <c r="AE78" s="624" t="str">
        <f t="shared" si="23"/>
        <v/>
      </c>
      <c r="AF78" s="625" t="str">
        <f t="shared" si="24"/>
        <v/>
      </c>
      <c r="AG78" s="519"/>
      <c r="AH78" s="520"/>
      <c r="AI78" s="521"/>
      <c r="AJ78" s="20"/>
      <c r="AK78" s="20"/>
      <c r="AM78" s="142"/>
      <c r="AN78" s="134" t="str">
        <f t="shared" si="15"/>
        <v/>
      </c>
      <c r="AO78" s="134" t="str">
        <f t="shared" si="16"/>
        <v/>
      </c>
      <c r="AQ78" s="134"/>
      <c r="AR78" s="134"/>
      <c r="AS78" s="181">
        <f t="shared" si="17"/>
        <v>0</v>
      </c>
      <c r="AT78" s="320"/>
      <c r="AU78" s="289"/>
      <c r="AV78" s="289"/>
      <c r="AW78" s="289"/>
      <c r="AX78" s="265"/>
      <c r="AY78" s="290"/>
      <c r="AZ78" s="290"/>
      <c r="BA78" s="265"/>
      <c r="BB78" s="265"/>
      <c r="BC78" s="265"/>
      <c r="BD78" s="265"/>
      <c r="BE78" s="265"/>
      <c r="BF78" s="265"/>
      <c r="BG78" s="265"/>
      <c r="BH78" s="265"/>
      <c r="BI78" s="265"/>
      <c r="BJ78" s="265"/>
    </row>
    <row r="79" spans="1:62" ht="14.25" customHeight="1">
      <c r="A79" s="134" t="str">
        <f t="shared" si="18"/>
        <v/>
      </c>
      <c r="B79" s="160" t="str">
        <f>名簿!P76</f>
        <v/>
      </c>
      <c r="C79" s="160"/>
      <c r="D79" s="793"/>
      <c r="E79" s="180">
        <f>名簿!E76</f>
        <v>0</v>
      </c>
      <c r="F79" s="560" t="str">
        <f>名簿!CM76</f>
        <v/>
      </c>
      <c r="G79" s="160" t="str">
        <f>名簿!Z76</f>
        <v/>
      </c>
      <c r="H79" s="1302" t="str">
        <f>名簿!CM76</f>
        <v/>
      </c>
      <c r="I79" s="185" t="str">
        <f>名簿!Y76</f>
        <v/>
      </c>
      <c r="J79" s="1303" t="str">
        <f>名簿!CN76</f>
        <v/>
      </c>
      <c r="K79" s="1304">
        <f>名簿!CP76</f>
        <v>0</v>
      </c>
      <c r="L79" s="1305" t="str">
        <f>名簿!CU76</f>
        <v>00</v>
      </c>
      <c r="M79" s="160" t="str">
        <f>名簿!Q76</f>
        <v/>
      </c>
      <c r="N79" s="1312">
        <f>名簿!D76</f>
        <v>0</v>
      </c>
      <c r="O79" s="1295"/>
      <c r="P79" s="258" t="str">
        <f>IF(O79="","",IF(I79=1,VLOOKUP(O79,男子種目コード!$A$1:$B$33,2,FALSE),IF(I79=2,VLOOKUP(O79,女子種目コード!$A$1:$B$28,2,FALSE))))</f>
        <v/>
      </c>
      <c r="Q79" s="494" t="str">
        <f>IF(O79="","",HLOOKUP(O79,名簿!$AH$3:$CH$118,74,FALSE))</f>
        <v/>
      </c>
      <c r="R79" s="624" t="str">
        <f t="shared" si="19"/>
        <v/>
      </c>
      <c r="S79" s="625" t="str">
        <f t="shared" si="20"/>
        <v/>
      </c>
      <c r="T79" s="303"/>
      <c r="U79" s="258" t="str">
        <f>IF(T79="","",IF(I79=1,VLOOKUP(T79,男子種目コード!$A$1:$B$33,2,FALSE),IF(I79=2,VLOOKUP(T79,女子種目コード!$A$1:$B$28,2,FALSE))))</f>
        <v/>
      </c>
      <c r="V79" s="494" t="str">
        <f>IF(T79="","",HLOOKUP(T79,名簿!$AH$3:$CH$118,74,FALSE))</f>
        <v/>
      </c>
      <c r="W79" s="624" t="str">
        <f t="shared" si="21"/>
        <v/>
      </c>
      <c r="X79" s="625" t="str">
        <f t="shared" si="22"/>
        <v/>
      </c>
      <c r="Y79" s="816"/>
      <c r="Z79" s="812" t="str">
        <f>IF(Y79="","",IF(I79=1,VLOOKUP(Y79,男子種目コード!$A$1:$B$33,2,FALSE),IF(I79=2,VLOOKUP(Y79,女子種目コード!$A$1:$B$27,2,FALSE))))</f>
        <v/>
      </c>
      <c r="AA79" s="304"/>
      <c r="AB79" s="303"/>
      <c r="AC79" s="517"/>
      <c r="AD79" s="518"/>
      <c r="AE79" s="624" t="str">
        <f t="shared" si="23"/>
        <v/>
      </c>
      <c r="AF79" s="625" t="str">
        <f t="shared" si="24"/>
        <v/>
      </c>
      <c r="AG79" s="519"/>
      <c r="AH79" s="520"/>
      <c r="AI79" s="521"/>
      <c r="AJ79" s="20"/>
      <c r="AK79" s="20"/>
      <c r="AM79" s="142"/>
      <c r="AN79" s="134" t="str">
        <f t="shared" si="15"/>
        <v/>
      </c>
      <c r="AO79" s="134" t="str">
        <f t="shared" si="16"/>
        <v/>
      </c>
      <c r="AQ79" s="134"/>
      <c r="AR79" s="134"/>
      <c r="AS79" s="181">
        <f t="shared" si="17"/>
        <v>0</v>
      </c>
      <c r="AT79" s="320"/>
      <c r="AU79" s="289"/>
      <c r="AV79" s="289"/>
      <c r="AW79" s="289"/>
      <c r="AX79" s="265"/>
      <c r="AY79" s="290"/>
      <c r="AZ79" s="290"/>
      <c r="BA79" s="265"/>
      <c r="BB79" s="265"/>
      <c r="BC79" s="265"/>
      <c r="BD79" s="265"/>
      <c r="BE79" s="265"/>
      <c r="BF79" s="265"/>
      <c r="BG79" s="265"/>
      <c r="BH79" s="265"/>
      <c r="BI79" s="265"/>
      <c r="BJ79" s="265"/>
    </row>
    <row r="80" spans="1:62" ht="14.25" customHeight="1">
      <c r="A80" s="134" t="str">
        <f t="shared" si="18"/>
        <v/>
      </c>
      <c r="B80" s="160" t="str">
        <f>名簿!P77</f>
        <v/>
      </c>
      <c r="C80" s="160"/>
      <c r="D80" s="793"/>
      <c r="E80" s="180">
        <f>名簿!E77</f>
        <v>0</v>
      </c>
      <c r="F80" s="560" t="str">
        <f>名簿!CM77</f>
        <v/>
      </c>
      <c r="G80" s="160" t="str">
        <f>名簿!Z77</f>
        <v/>
      </c>
      <c r="H80" s="1302" t="str">
        <f>名簿!CM77</f>
        <v/>
      </c>
      <c r="I80" s="185" t="str">
        <f>名簿!Y77</f>
        <v/>
      </c>
      <c r="J80" s="1303" t="str">
        <f>名簿!CN77</f>
        <v/>
      </c>
      <c r="K80" s="1304">
        <f>名簿!CP77</f>
        <v>0</v>
      </c>
      <c r="L80" s="1305" t="str">
        <f>名簿!CU77</f>
        <v>00</v>
      </c>
      <c r="M80" s="160" t="str">
        <f>名簿!Q77</f>
        <v/>
      </c>
      <c r="N80" s="1312">
        <f>名簿!D77</f>
        <v>0</v>
      </c>
      <c r="O80" s="1295"/>
      <c r="P80" s="258" t="str">
        <f>IF(O80="","",IF(I80=1,VLOOKUP(O80,男子種目コード!$A$1:$B$33,2,FALSE),IF(I80=2,VLOOKUP(O80,女子種目コード!$A$1:$B$28,2,FALSE))))</f>
        <v/>
      </c>
      <c r="Q80" s="494" t="str">
        <f>IF(O80="","",HLOOKUP(O80,名簿!$AH$3:$CH$118,75,FALSE))</f>
        <v/>
      </c>
      <c r="R80" s="624" t="str">
        <f t="shared" si="19"/>
        <v/>
      </c>
      <c r="S80" s="625" t="str">
        <f t="shared" si="20"/>
        <v/>
      </c>
      <c r="T80" s="303"/>
      <c r="U80" s="258" t="str">
        <f>IF(T80="","",IF(I80=1,VLOOKUP(T80,男子種目コード!$A$1:$B$33,2,FALSE),IF(I80=2,VLOOKUP(T80,女子種目コード!$A$1:$B$28,2,FALSE))))</f>
        <v/>
      </c>
      <c r="V80" s="494" t="str">
        <f>IF(T80="","",HLOOKUP(T80,名簿!$AH$3:$CH$118,75,FALSE))</f>
        <v/>
      </c>
      <c r="W80" s="624" t="str">
        <f t="shared" si="21"/>
        <v/>
      </c>
      <c r="X80" s="625" t="str">
        <f t="shared" si="22"/>
        <v/>
      </c>
      <c r="Y80" s="816"/>
      <c r="Z80" s="812" t="str">
        <f>IF(Y80="","",IF(I80=1,VLOOKUP(Y80,男子種目コード!$A$1:$B$33,2,FALSE),IF(I80=2,VLOOKUP(Y80,女子種目コード!$A$1:$B$27,2,FALSE))))</f>
        <v/>
      </c>
      <c r="AA80" s="304"/>
      <c r="AB80" s="303"/>
      <c r="AC80" s="517"/>
      <c r="AD80" s="518"/>
      <c r="AE80" s="624" t="str">
        <f t="shared" si="23"/>
        <v/>
      </c>
      <c r="AF80" s="625" t="str">
        <f t="shared" si="24"/>
        <v/>
      </c>
      <c r="AG80" s="519"/>
      <c r="AH80" s="520"/>
      <c r="AI80" s="521"/>
      <c r="AJ80" s="20"/>
      <c r="AK80" s="20"/>
      <c r="AM80" s="142"/>
      <c r="AN80" s="134" t="str">
        <f t="shared" si="15"/>
        <v/>
      </c>
      <c r="AO80" s="134" t="str">
        <f t="shared" si="16"/>
        <v/>
      </c>
      <c r="AQ80" s="134"/>
      <c r="AR80" s="134"/>
      <c r="AS80" s="181">
        <f t="shared" si="17"/>
        <v>0</v>
      </c>
      <c r="AT80" s="320"/>
      <c r="AU80" s="289"/>
      <c r="AV80" s="289"/>
      <c r="AW80" s="289"/>
      <c r="AX80" s="265"/>
      <c r="AY80" s="290"/>
      <c r="AZ80" s="290"/>
      <c r="BA80" s="265"/>
      <c r="BB80" s="265"/>
      <c r="BC80" s="265"/>
      <c r="BD80" s="265"/>
      <c r="BE80" s="265"/>
      <c r="BF80" s="265"/>
      <c r="BG80" s="265"/>
      <c r="BH80" s="265"/>
      <c r="BI80" s="265"/>
      <c r="BJ80" s="265"/>
    </row>
    <row r="81" spans="1:62" ht="14.25" customHeight="1">
      <c r="A81" s="134" t="str">
        <f t="shared" si="18"/>
        <v/>
      </c>
      <c r="B81" s="160" t="str">
        <f>名簿!P78</f>
        <v/>
      </c>
      <c r="C81" s="160"/>
      <c r="D81" s="793"/>
      <c r="E81" s="180">
        <f>名簿!E78</f>
        <v>0</v>
      </c>
      <c r="F81" s="560" t="str">
        <f>名簿!CM78</f>
        <v/>
      </c>
      <c r="G81" s="160" t="str">
        <f>名簿!Z78</f>
        <v/>
      </c>
      <c r="H81" s="1302" t="str">
        <f>名簿!CM78</f>
        <v/>
      </c>
      <c r="I81" s="185" t="str">
        <f>名簿!Y78</f>
        <v/>
      </c>
      <c r="J81" s="1303" t="str">
        <f>名簿!CN78</f>
        <v/>
      </c>
      <c r="K81" s="1304">
        <f>名簿!CP78</f>
        <v>0</v>
      </c>
      <c r="L81" s="1305" t="str">
        <f>名簿!CU78</f>
        <v>00</v>
      </c>
      <c r="M81" s="160" t="str">
        <f>名簿!Q78</f>
        <v/>
      </c>
      <c r="N81" s="1312">
        <f>名簿!D78</f>
        <v>0</v>
      </c>
      <c r="O81" s="1295"/>
      <c r="P81" s="258" t="str">
        <f>IF(O81="","",IF(I81=1,VLOOKUP(O81,男子種目コード!$A$1:$B$33,2,FALSE),IF(I81=2,VLOOKUP(O81,女子種目コード!$A$1:$B$28,2,FALSE))))</f>
        <v/>
      </c>
      <c r="Q81" s="494" t="str">
        <f>IF(O81="","",HLOOKUP(O81,名簿!$AH$3:$CH$118,76,FALSE))</f>
        <v/>
      </c>
      <c r="R81" s="624" t="str">
        <f t="shared" si="19"/>
        <v/>
      </c>
      <c r="S81" s="625" t="str">
        <f t="shared" si="20"/>
        <v/>
      </c>
      <c r="T81" s="303"/>
      <c r="U81" s="258" t="str">
        <f>IF(T81="","",IF(I81=1,VLOOKUP(T81,男子種目コード!$A$1:$B$33,2,FALSE),IF(I81=2,VLOOKUP(T81,女子種目コード!$A$1:$B$28,2,FALSE))))</f>
        <v/>
      </c>
      <c r="V81" s="494" t="str">
        <f>IF(T81="","",HLOOKUP(T81,名簿!$AH$3:$CH$118,76,FALSE))</f>
        <v/>
      </c>
      <c r="W81" s="624" t="str">
        <f t="shared" si="21"/>
        <v/>
      </c>
      <c r="X81" s="625" t="str">
        <f t="shared" si="22"/>
        <v/>
      </c>
      <c r="Y81" s="816"/>
      <c r="Z81" s="812" t="str">
        <f>IF(Y81="","",IF(I81=1,VLOOKUP(Y81,男子種目コード!$A$1:$B$33,2,FALSE),IF(I81=2,VLOOKUP(Y81,女子種目コード!$A$1:$B$27,2,FALSE))))</f>
        <v/>
      </c>
      <c r="AA81" s="304"/>
      <c r="AB81" s="303"/>
      <c r="AC81" s="517"/>
      <c r="AD81" s="518"/>
      <c r="AE81" s="624" t="str">
        <f t="shared" si="23"/>
        <v/>
      </c>
      <c r="AF81" s="625" t="str">
        <f t="shared" si="24"/>
        <v/>
      </c>
      <c r="AG81" s="519"/>
      <c r="AH81" s="520"/>
      <c r="AI81" s="521"/>
      <c r="AJ81" s="20"/>
      <c r="AK81" s="20"/>
      <c r="AM81" s="142"/>
      <c r="AN81" s="134" t="str">
        <f t="shared" si="15"/>
        <v/>
      </c>
      <c r="AO81" s="134" t="str">
        <f t="shared" si="16"/>
        <v/>
      </c>
      <c r="AQ81" s="134"/>
      <c r="AR81" s="134"/>
      <c r="AS81" s="181">
        <f t="shared" si="17"/>
        <v>0</v>
      </c>
      <c r="AT81" s="320"/>
      <c r="AU81" s="289"/>
      <c r="AV81" s="289"/>
      <c r="AW81" s="289"/>
      <c r="AX81" s="265"/>
      <c r="AY81" s="290"/>
      <c r="AZ81" s="290"/>
      <c r="BA81" s="265"/>
      <c r="BB81" s="265"/>
      <c r="BC81" s="265"/>
      <c r="BD81" s="265"/>
      <c r="BE81" s="265"/>
      <c r="BF81" s="265"/>
      <c r="BG81" s="265"/>
      <c r="BH81" s="265"/>
      <c r="BI81" s="265"/>
      <c r="BJ81" s="265"/>
    </row>
    <row r="82" spans="1:62" ht="14.25" customHeight="1">
      <c r="A82" s="134" t="str">
        <f t="shared" si="18"/>
        <v/>
      </c>
      <c r="B82" s="160" t="str">
        <f>名簿!P79</f>
        <v/>
      </c>
      <c r="C82" s="160"/>
      <c r="D82" s="793"/>
      <c r="E82" s="180">
        <f>名簿!E79</f>
        <v>0</v>
      </c>
      <c r="F82" s="560" t="str">
        <f>名簿!CM79</f>
        <v/>
      </c>
      <c r="G82" s="160" t="str">
        <f>名簿!Z79</f>
        <v/>
      </c>
      <c r="H82" s="1302" t="str">
        <f>名簿!CM79</f>
        <v/>
      </c>
      <c r="I82" s="185" t="str">
        <f>名簿!Y79</f>
        <v/>
      </c>
      <c r="J82" s="1303" t="str">
        <f>名簿!CN79</f>
        <v/>
      </c>
      <c r="K82" s="1304">
        <f>名簿!CP79</f>
        <v>0</v>
      </c>
      <c r="L82" s="1305" t="str">
        <f>名簿!CU79</f>
        <v>00</v>
      </c>
      <c r="M82" s="160" t="str">
        <f>名簿!Q79</f>
        <v/>
      </c>
      <c r="N82" s="1312">
        <f>名簿!D79</f>
        <v>0</v>
      </c>
      <c r="O82" s="1295"/>
      <c r="P82" s="258" t="str">
        <f>IF(O82="","",IF(I82=1,VLOOKUP(O82,男子種目コード!$A$1:$B$33,2,FALSE),IF(I82=2,VLOOKUP(O82,女子種目コード!$A$1:$B$28,2,FALSE))))</f>
        <v/>
      </c>
      <c r="Q82" s="494" t="str">
        <f>IF(O82="","",HLOOKUP(O82,名簿!$AH$3:$CH$118,77,FALSE))</f>
        <v/>
      </c>
      <c r="R82" s="624" t="str">
        <f t="shared" si="19"/>
        <v/>
      </c>
      <c r="S82" s="625" t="str">
        <f t="shared" si="20"/>
        <v/>
      </c>
      <c r="T82" s="303"/>
      <c r="U82" s="258" t="str">
        <f>IF(T82="","",IF(I82=1,VLOOKUP(T82,男子種目コード!$A$1:$B$33,2,FALSE),IF(I82=2,VLOOKUP(T82,女子種目コード!$A$1:$B$28,2,FALSE))))</f>
        <v/>
      </c>
      <c r="V82" s="494" t="str">
        <f>IF(T82="","",HLOOKUP(T82,名簿!$AH$3:$CH$118,77,FALSE))</f>
        <v/>
      </c>
      <c r="W82" s="624" t="str">
        <f t="shared" si="21"/>
        <v/>
      </c>
      <c r="X82" s="625" t="str">
        <f t="shared" si="22"/>
        <v/>
      </c>
      <c r="Y82" s="816"/>
      <c r="Z82" s="812" t="str">
        <f>IF(Y82="","",IF(I82=1,VLOOKUP(Y82,男子種目コード!$A$1:$B$33,2,FALSE),IF(I82=2,VLOOKUP(Y82,女子種目コード!$A$1:$B$27,2,FALSE))))</f>
        <v/>
      </c>
      <c r="AA82" s="304"/>
      <c r="AB82" s="303"/>
      <c r="AC82" s="517"/>
      <c r="AD82" s="518"/>
      <c r="AE82" s="624" t="str">
        <f t="shared" si="23"/>
        <v/>
      </c>
      <c r="AF82" s="625" t="str">
        <f t="shared" si="24"/>
        <v/>
      </c>
      <c r="AG82" s="519"/>
      <c r="AH82" s="520"/>
      <c r="AI82" s="521"/>
      <c r="AJ82" s="20"/>
      <c r="AK82" s="20"/>
      <c r="AM82" s="142"/>
      <c r="AN82" s="134" t="str">
        <f t="shared" si="15"/>
        <v/>
      </c>
      <c r="AO82" s="134" t="str">
        <f t="shared" si="16"/>
        <v/>
      </c>
      <c r="AQ82" s="134"/>
      <c r="AR82" s="134"/>
      <c r="AS82" s="181">
        <f t="shared" si="17"/>
        <v>0</v>
      </c>
      <c r="AT82" s="320"/>
      <c r="AU82" s="289"/>
      <c r="AV82" s="289"/>
      <c r="AW82" s="289"/>
      <c r="AX82" s="265"/>
      <c r="AY82" s="290"/>
      <c r="AZ82" s="290"/>
      <c r="BA82" s="265"/>
      <c r="BB82" s="265"/>
      <c r="BC82" s="265"/>
      <c r="BD82" s="265"/>
      <c r="BE82" s="265"/>
      <c r="BF82" s="265"/>
      <c r="BG82" s="265"/>
      <c r="BH82" s="265"/>
      <c r="BI82" s="265"/>
      <c r="BJ82" s="265"/>
    </row>
    <row r="83" spans="1:62" ht="14.25" customHeight="1">
      <c r="A83" s="134" t="str">
        <f t="shared" si="18"/>
        <v/>
      </c>
      <c r="B83" s="160" t="str">
        <f>名簿!P80</f>
        <v/>
      </c>
      <c r="C83" s="160"/>
      <c r="D83" s="793"/>
      <c r="E83" s="180">
        <f>名簿!E80</f>
        <v>0</v>
      </c>
      <c r="F83" s="560" t="str">
        <f>名簿!CM80</f>
        <v/>
      </c>
      <c r="G83" s="160" t="str">
        <f>名簿!Z80</f>
        <v/>
      </c>
      <c r="H83" s="1302" t="str">
        <f>名簿!CM80</f>
        <v/>
      </c>
      <c r="I83" s="185" t="str">
        <f>名簿!Y80</f>
        <v/>
      </c>
      <c r="J83" s="1303" t="str">
        <f>名簿!CN80</f>
        <v/>
      </c>
      <c r="K83" s="1304">
        <f>名簿!CP80</f>
        <v>0</v>
      </c>
      <c r="L83" s="1305" t="str">
        <f>名簿!CU80</f>
        <v>00</v>
      </c>
      <c r="M83" s="160" t="str">
        <f>名簿!Q80</f>
        <v/>
      </c>
      <c r="N83" s="1312">
        <f>名簿!D80</f>
        <v>0</v>
      </c>
      <c r="O83" s="1295"/>
      <c r="P83" s="258" t="str">
        <f>IF(O83="","",IF(I83=1,VLOOKUP(O83,男子種目コード!$A$1:$B$33,2,FALSE),IF(I83=2,VLOOKUP(O83,女子種目コード!$A$1:$B$28,2,FALSE))))</f>
        <v/>
      </c>
      <c r="Q83" s="494" t="str">
        <f>IF(O83="","",HLOOKUP(O83,名簿!$AH$3:$CH$118,78,FALSE))</f>
        <v/>
      </c>
      <c r="R83" s="624" t="str">
        <f t="shared" si="19"/>
        <v/>
      </c>
      <c r="S83" s="625" t="str">
        <f t="shared" si="20"/>
        <v/>
      </c>
      <c r="T83" s="303"/>
      <c r="U83" s="258" t="str">
        <f>IF(T83="","",IF(I83=1,VLOOKUP(T83,男子種目コード!$A$1:$B$33,2,FALSE),IF(I83=2,VLOOKUP(T83,女子種目コード!$A$1:$B$28,2,FALSE))))</f>
        <v/>
      </c>
      <c r="V83" s="494" t="str">
        <f>IF(T83="","",HLOOKUP(T83,名簿!$AH$3:$CH$118,78,FALSE))</f>
        <v/>
      </c>
      <c r="W83" s="624" t="str">
        <f t="shared" si="21"/>
        <v/>
      </c>
      <c r="X83" s="625" t="str">
        <f t="shared" si="22"/>
        <v/>
      </c>
      <c r="Y83" s="816"/>
      <c r="Z83" s="812" t="str">
        <f>IF(Y83="","",IF(I83=1,VLOOKUP(Y83,男子種目コード!$A$1:$B$33,2,FALSE),IF(I83=2,VLOOKUP(Y83,女子種目コード!$A$1:$B$27,2,FALSE))))</f>
        <v/>
      </c>
      <c r="AA83" s="304"/>
      <c r="AB83" s="303"/>
      <c r="AC83" s="517"/>
      <c r="AD83" s="518"/>
      <c r="AE83" s="624" t="str">
        <f t="shared" si="23"/>
        <v/>
      </c>
      <c r="AF83" s="625" t="str">
        <f t="shared" si="24"/>
        <v/>
      </c>
      <c r="AG83" s="519"/>
      <c r="AH83" s="520"/>
      <c r="AI83" s="521"/>
      <c r="AJ83" s="20"/>
      <c r="AK83" s="20"/>
      <c r="AM83" s="142"/>
      <c r="AN83" s="134" t="str">
        <f t="shared" si="15"/>
        <v/>
      </c>
      <c r="AO83" s="134" t="str">
        <f t="shared" si="16"/>
        <v/>
      </c>
      <c r="AQ83" s="134"/>
      <c r="AR83" s="134"/>
      <c r="AS83" s="181">
        <f t="shared" si="17"/>
        <v>0</v>
      </c>
      <c r="AT83" s="320"/>
      <c r="AU83" s="289"/>
      <c r="AV83" s="289"/>
      <c r="AW83" s="289"/>
      <c r="AX83" s="265"/>
      <c r="AY83" s="290"/>
      <c r="AZ83" s="290"/>
      <c r="BA83" s="265"/>
      <c r="BB83" s="265"/>
      <c r="BC83" s="265"/>
      <c r="BD83" s="265"/>
      <c r="BE83" s="265"/>
      <c r="BF83" s="265"/>
      <c r="BG83" s="265"/>
      <c r="BH83" s="265"/>
      <c r="BI83" s="265"/>
      <c r="BJ83" s="265"/>
    </row>
    <row r="84" spans="1:62" ht="14.25" customHeight="1">
      <c r="A84" s="134" t="str">
        <f t="shared" si="18"/>
        <v/>
      </c>
      <c r="B84" s="160" t="str">
        <f>名簿!P81</f>
        <v/>
      </c>
      <c r="C84" s="160"/>
      <c r="D84" s="793"/>
      <c r="E84" s="180">
        <f>名簿!E81</f>
        <v>0</v>
      </c>
      <c r="F84" s="560" t="str">
        <f>名簿!CM81</f>
        <v/>
      </c>
      <c r="G84" s="160" t="str">
        <f>名簿!Z81</f>
        <v/>
      </c>
      <c r="H84" s="1302" t="str">
        <f>名簿!CM81</f>
        <v/>
      </c>
      <c r="I84" s="185" t="str">
        <f>名簿!Y81</f>
        <v/>
      </c>
      <c r="J84" s="1303" t="str">
        <f>名簿!CN81</f>
        <v/>
      </c>
      <c r="K84" s="1304">
        <f>名簿!CP81</f>
        <v>0</v>
      </c>
      <c r="L84" s="1305" t="str">
        <f>名簿!CU81</f>
        <v>00</v>
      </c>
      <c r="M84" s="160" t="str">
        <f>名簿!Q81</f>
        <v/>
      </c>
      <c r="N84" s="1312">
        <f>名簿!D81</f>
        <v>0</v>
      </c>
      <c r="O84" s="1295"/>
      <c r="P84" s="258" t="str">
        <f>IF(O84="","",IF(I84=1,VLOOKUP(O84,男子種目コード!$A$1:$B$33,2,FALSE),IF(I84=2,VLOOKUP(O84,女子種目コード!$A$1:$B$28,2,FALSE))))</f>
        <v/>
      </c>
      <c r="Q84" s="494" t="str">
        <f>IF(O84="","",HLOOKUP(O84,名簿!$AH$3:$CH$118,79,FALSE))</f>
        <v/>
      </c>
      <c r="R84" s="624" t="str">
        <f t="shared" si="19"/>
        <v/>
      </c>
      <c r="S84" s="625" t="str">
        <f t="shared" si="20"/>
        <v/>
      </c>
      <c r="T84" s="303"/>
      <c r="U84" s="258" t="str">
        <f>IF(T84="","",IF(I84=1,VLOOKUP(T84,男子種目コード!$A$1:$B$33,2,FALSE),IF(I84=2,VLOOKUP(T84,女子種目コード!$A$1:$B$28,2,FALSE))))</f>
        <v/>
      </c>
      <c r="V84" s="494" t="str">
        <f>IF(T84="","",HLOOKUP(T84,名簿!$AH$3:$CH$118,79,FALSE))</f>
        <v/>
      </c>
      <c r="W84" s="624" t="str">
        <f t="shared" si="21"/>
        <v/>
      </c>
      <c r="X84" s="625" t="str">
        <f t="shared" si="22"/>
        <v/>
      </c>
      <c r="Y84" s="816"/>
      <c r="Z84" s="812" t="str">
        <f>IF(Y84="","",IF(I84=1,VLOOKUP(Y84,男子種目コード!$A$1:$B$33,2,FALSE),IF(I84=2,VLOOKUP(Y84,女子種目コード!$A$1:$B$27,2,FALSE))))</f>
        <v/>
      </c>
      <c r="AA84" s="304"/>
      <c r="AB84" s="303"/>
      <c r="AC84" s="517"/>
      <c r="AD84" s="518"/>
      <c r="AE84" s="624" t="str">
        <f t="shared" si="23"/>
        <v/>
      </c>
      <c r="AF84" s="625" t="str">
        <f t="shared" si="24"/>
        <v/>
      </c>
      <c r="AG84" s="519"/>
      <c r="AH84" s="520"/>
      <c r="AI84" s="521"/>
      <c r="AJ84" s="20"/>
      <c r="AK84" s="20"/>
      <c r="AM84" s="142"/>
      <c r="AN84" s="134" t="str">
        <f t="shared" si="15"/>
        <v/>
      </c>
      <c r="AO84" s="134" t="str">
        <f t="shared" si="16"/>
        <v/>
      </c>
      <c r="AQ84" s="134"/>
      <c r="AR84" s="134"/>
      <c r="AS84" s="181">
        <f t="shared" si="17"/>
        <v>0</v>
      </c>
      <c r="AT84" s="320"/>
      <c r="AU84" s="289"/>
      <c r="AV84" s="289"/>
      <c r="AW84" s="289"/>
      <c r="AX84" s="265"/>
      <c r="AY84" s="290"/>
      <c r="AZ84" s="290"/>
      <c r="BA84" s="265"/>
      <c r="BB84" s="265"/>
      <c r="BC84" s="265"/>
      <c r="BD84" s="265"/>
      <c r="BE84" s="265"/>
      <c r="BF84" s="265"/>
      <c r="BG84" s="265"/>
      <c r="BH84" s="265"/>
      <c r="BI84" s="265"/>
      <c r="BJ84" s="265"/>
    </row>
    <row r="85" spans="1:62" ht="14.25" customHeight="1">
      <c r="A85" s="134" t="str">
        <f t="shared" si="18"/>
        <v/>
      </c>
      <c r="B85" s="160" t="str">
        <f>名簿!P82</f>
        <v/>
      </c>
      <c r="C85" s="160"/>
      <c r="D85" s="793"/>
      <c r="E85" s="180">
        <f>名簿!E82</f>
        <v>0</v>
      </c>
      <c r="F85" s="560" t="str">
        <f>名簿!CM82</f>
        <v/>
      </c>
      <c r="G85" s="160" t="str">
        <f>名簿!Z82</f>
        <v/>
      </c>
      <c r="H85" s="1302" t="str">
        <f>名簿!CM82</f>
        <v/>
      </c>
      <c r="I85" s="185" t="str">
        <f>名簿!Y82</f>
        <v/>
      </c>
      <c r="J85" s="1303" t="str">
        <f>名簿!CN82</f>
        <v/>
      </c>
      <c r="K85" s="1304">
        <f>名簿!CP82</f>
        <v>0</v>
      </c>
      <c r="L85" s="1305" t="str">
        <f>名簿!CU82</f>
        <v>00</v>
      </c>
      <c r="M85" s="160" t="str">
        <f>名簿!Q82</f>
        <v/>
      </c>
      <c r="N85" s="1312">
        <f>名簿!D82</f>
        <v>0</v>
      </c>
      <c r="O85" s="1295"/>
      <c r="P85" s="258" t="str">
        <f>IF(O85="","",IF(I85=1,VLOOKUP(O85,男子種目コード!$A$1:$B$33,2,FALSE),IF(I85=2,VLOOKUP(O85,女子種目コード!$A$1:$B$28,2,FALSE))))</f>
        <v/>
      </c>
      <c r="Q85" s="494" t="str">
        <f>IF(O85="","",HLOOKUP(O85,名簿!$AH$3:$CH$118,80,FALSE))</f>
        <v/>
      </c>
      <c r="R85" s="624" t="str">
        <f t="shared" si="19"/>
        <v/>
      </c>
      <c r="S85" s="625" t="str">
        <f t="shared" si="20"/>
        <v/>
      </c>
      <c r="T85" s="303"/>
      <c r="U85" s="258" t="str">
        <f>IF(T85="","",IF(I85=1,VLOOKUP(T85,男子種目コード!$A$1:$B$33,2,FALSE),IF(I85=2,VLOOKUP(T85,女子種目コード!$A$1:$B$28,2,FALSE))))</f>
        <v/>
      </c>
      <c r="V85" s="494" t="str">
        <f>IF(T85="","",HLOOKUP(T85,名簿!$AH$3:$CH$118,80,FALSE))</f>
        <v/>
      </c>
      <c r="W85" s="624" t="str">
        <f t="shared" si="21"/>
        <v/>
      </c>
      <c r="X85" s="625" t="str">
        <f t="shared" si="22"/>
        <v/>
      </c>
      <c r="Y85" s="816"/>
      <c r="Z85" s="812" t="str">
        <f>IF(Y85="","",IF(I85=1,VLOOKUP(Y85,男子種目コード!$A$1:$B$33,2,FALSE),IF(I85=2,VLOOKUP(Y85,女子種目コード!$A$1:$B$27,2,FALSE))))</f>
        <v/>
      </c>
      <c r="AA85" s="304"/>
      <c r="AB85" s="303"/>
      <c r="AC85" s="517"/>
      <c r="AD85" s="518"/>
      <c r="AE85" s="624" t="str">
        <f t="shared" si="23"/>
        <v/>
      </c>
      <c r="AF85" s="625" t="str">
        <f t="shared" si="24"/>
        <v/>
      </c>
      <c r="AG85" s="519"/>
      <c r="AH85" s="520"/>
      <c r="AI85" s="521"/>
      <c r="AJ85" s="20"/>
      <c r="AK85" s="20"/>
      <c r="AM85" s="142"/>
      <c r="AN85" s="134" t="str">
        <f t="shared" si="15"/>
        <v/>
      </c>
      <c r="AO85" s="134" t="str">
        <f t="shared" si="16"/>
        <v/>
      </c>
      <c r="AQ85" s="134"/>
      <c r="AR85" s="134"/>
      <c r="AS85" s="181">
        <f t="shared" si="17"/>
        <v>0</v>
      </c>
      <c r="AT85" s="320"/>
      <c r="AU85" s="289"/>
      <c r="AV85" s="289"/>
      <c r="AW85" s="289"/>
      <c r="AX85" s="265"/>
      <c r="AY85" s="290"/>
      <c r="AZ85" s="290"/>
      <c r="BA85" s="265"/>
      <c r="BB85" s="265"/>
      <c r="BC85" s="265"/>
      <c r="BD85" s="265"/>
      <c r="BE85" s="265"/>
      <c r="BF85" s="265"/>
      <c r="BG85" s="265"/>
      <c r="BH85" s="265"/>
      <c r="BI85" s="265"/>
      <c r="BJ85" s="265"/>
    </row>
    <row r="86" spans="1:62" ht="14.25" customHeight="1">
      <c r="A86" s="134" t="str">
        <f t="shared" si="18"/>
        <v/>
      </c>
      <c r="B86" s="160" t="str">
        <f>名簿!P83</f>
        <v/>
      </c>
      <c r="C86" s="160"/>
      <c r="D86" s="793"/>
      <c r="E86" s="180">
        <f>名簿!E83</f>
        <v>0</v>
      </c>
      <c r="F86" s="560" t="str">
        <f>名簿!CM83</f>
        <v/>
      </c>
      <c r="G86" s="160" t="str">
        <f>名簿!Z83</f>
        <v/>
      </c>
      <c r="H86" s="1302" t="str">
        <f>名簿!CM83</f>
        <v/>
      </c>
      <c r="I86" s="185" t="str">
        <f>名簿!Y83</f>
        <v/>
      </c>
      <c r="J86" s="1303" t="str">
        <f>名簿!CN83</f>
        <v/>
      </c>
      <c r="K86" s="1304">
        <f>名簿!CP83</f>
        <v>0</v>
      </c>
      <c r="L86" s="1305" t="str">
        <f>名簿!CU83</f>
        <v>00</v>
      </c>
      <c r="M86" s="160" t="str">
        <f>名簿!Q83</f>
        <v/>
      </c>
      <c r="N86" s="1312">
        <f>名簿!D83</f>
        <v>0</v>
      </c>
      <c r="O86" s="1295"/>
      <c r="P86" s="258" t="str">
        <f>IF(O86="","",IF(I86=1,VLOOKUP(O86,男子種目コード!$A$1:$B$33,2,FALSE),IF(I86=2,VLOOKUP(O86,女子種目コード!$A$1:$B$28,2,FALSE))))</f>
        <v/>
      </c>
      <c r="Q86" s="494" t="str">
        <f>IF(O86="","",HLOOKUP(O86,名簿!$AH$3:$CH$118,81,FALSE))</f>
        <v/>
      </c>
      <c r="R86" s="624" t="str">
        <f t="shared" si="19"/>
        <v/>
      </c>
      <c r="S86" s="625" t="str">
        <f t="shared" si="20"/>
        <v/>
      </c>
      <c r="T86" s="303"/>
      <c r="U86" s="258" t="str">
        <f>IF(T86="","",IF(I86=1,VLOOKUP(T86,男子種目コード!$A$1:$B$33,2,FALSE),IF(I86=2,VLOOKUP(T86,女子種目コード!$A$1:$B$28,2,FALSE))))</f>
        <v/>
      </c>
      <c r="V86" s="494" t="str">
        <f>IF(T86="","",HLOOKUP(T86,名簿!$AH$3:$CH$118,81,FALSE))</f>
        <v/>
      </c>
      <c r="W86" s="624" t="str">
        <f t="shared" si="21"/>
        <v/>
      </c>
      <c r="X86" s="625" t="str">
        <f t="shared" si="22"/>
        <v/>
      </c>
      <c r="Y86" s="816"/>
      <c r="Z86" s="812" t="str">
        <f>IF(Y86="","",IF(I86=1,VLOOKUP(Y86,男子種目コード!$A$1:$B$33,2,FALSE),IF(I86=2,VLOOKUP(Y86,女子種目コード!$A$1:$B$27,2,FALSE))))</f>
        <v/>
      </c>
      <c r="AA86" s="304"/>
      <c r="AB86" s="303"/>
      <c r="AC86" s="517"/>
      <c r="AD86" s="518"/>
      <c r="AE86" s="624" t="str">
        <f t="shared" si="23"/>
        <v/>
      </c>
      <c r="AF86" s="625" t="str">
        <f t="shared" si="24"/>
        <v/>
      </c>
      <c r="AG86" s="519"/>
      <c r="AH86" s="520"/>
      <c r="AI86" s="521"/>
      <c r="AJ86" s="20"/>
      <c r="AK86" s="20"/>
      <c r="AM86" s="142"/>
      <c r="AN86" s="134" t="str">
        <f t="shared" si="15"/>
        <v/>
      </c>
      <c r="AO86" s="134" t="str">
        <f t="shared" si="16"/>
        <v/>
      </c>
      <c r="AQ86" s="134"/>
      <c r="AR86" s="134"/>
      <c r="AS86" s="181">
        <f t="shared" si="17"/>
        <v>0</v>
      </c>
      <c r="AT86" s="320"/>
      <c r="AU86" s="289"/>
      <c r="AV86" s="289"/>
      <c r="AW86" s="289"/>
      <c r="AX86" s="265"/>
      <c r="AY86" s="290"/>
      <c r="AZ86" s="290"/>
      <c r="BA86" s="265"/>
      <c r="BB86" s="265"/>
      <c r="BC86" s="265"/>
      <c r="BD86" s="265"/>
      <c r="BE86" s="265"/>
      <c r="BF86" s="265"/>
      <c r="BG86" s="265"/>
      <c r="BH86" s="265"/>
      <c r="BI86" s="265"/>
      <c r="BJ86" s="265"/>
    </row>
    <row r="87" spans="1:62" ht="14.25" customHeight="1">
      <c r="A87" s="134" t="str">
        <f t="shared" si="18"/>
        <v/>
      </c>
      <c r="B87" s="160" t="str">
        <f>名簿!P84</f>
        <v/>
      </c>
      <c r="C87" s="160"/>
      <c r="D87" s="793"/>
      <c r="E87" s="180">
        <f>名簿!E84</f>
        <v>0</v>
      </c>
      <c r="F87" s="560" t="str">
        <f>名簿!CM84</f>
        <v/>
      </c>
      <c r="G87" s="160" t="str">
        <f>名簿!Z84</f>
        <v/>
      </c>
      <c r="H87" s="1302" t="str">
        <f>名簿!CM84</f>
        <v/>
      </c>
      <c r="I87" s="185" t="str">
        <f>名簿!Y84</f>
        <v/>
      </c>
      <c r="J87" s="1303" t="str">
        <f>名簿!CN84</f>
        <v/>
      </c>
      <c r="K87" s="1304">
        <f>名簿!CP84</f>
        <v>0</v>
      </c>
      <c r="L87" s="1305" t="str">
        <f>名簿!CU84</f>
        <v>00</v>
      </c>
      <c r="M87" s="160" t="str">
        <f>名簿!Q84</f>
        <v/>
      </c>
      <c r="N87" s="1312">
        <f>名簿!D84</f>
        <v>0</v>
      </c>
      <c r="O87" s="1295"/>
      <c r="P87" s="258" t="str">
        <f>IF(O87="","",IF(I87=1,VLOOKUP(O87,男子種目コード!$A$1:$B$33,2,FALSE),IF(I87=2,VLOOKUP(O87,女子種目コード!$A$1:$B$28,2,FALSE))))</f>
        <v/>
      </c>
      <c r="Q87" s="494" t="str">
        <f>IF(O87="","",HLOOKUP(O87,名簿!$AH$3:$CH$118,82,FALSE))</f>
        <v/>
      </c>
      <c r="R87" s="624" t="str">
        <f t="shared" si="19"/>
        <v/>
      </c>
      <c r="S87" s="625" t="str">
        <f t="shared" si="20"/>
        <v/>
      </c>
      <c r="T87" s="303"/>
      <c r="U87" s="258" t="str">
        <f>IF(T87="","",IF(I87=1,VLOOKUP(T87,男子種目コード!$A$1:$B$33,2,FALSE),IF(I87=2,VLOOKUP(T87,女子種目コード!$A$1:$B$28,2,FALSE))))</f>
        <v/>
      </c>
      <c r="V87" s="494" t="str">
        <f>IF(T87="","",HLOOKUP(T87,名簿!$AH$3:$CH$118,82,FALSE))</f>
        <v/>
      </c>
      <c r="W87" s="624" t="str">
        <f t="shared" si="21"/>
        <v/>
      </c>
      <c r="X87" s="625" t="str">
        <f t="shared" si="22"/>
        <v/>
      </c>
      <c r="Y87" s="816"/>
      <c r="Z87" s="812" t="str">
        <f>IF(Y87="","",IF(I87=1,VLOOKUP(Y87,男子種目コード!$A$1:$B$33,2,FALSE),IF(I87=2,VLOOKUP(Y87,女子種目コード!$A$1:$B$27,2,FALSE))))</f>
        <v/>
      </c>
      <c r="AA87" s="304"/>
      <c r="AB87" s="303"/>
      <c r="AC87" s="517"/>
      <c r="AD87" s="518"/>
      <c r="AE87" s="624" t="str">
        <f t="shared" si="23"/>
        <v/>
      </c>
      <c r="AF87" s="625" t="str">
        <f t="shared" si="24"/>
        <v/>
      </c>
      <c r="AG87" s="519"/>
      <c r="AH87" s="520"/>
      <c r="AI87" s="521"/>
      <c r="AJ87" s="20"/>
      <c r="AK87" s="20"/>
      <c r="AM87" s="142"/>
      <c r="AN87" s="134" t="str">
        <f t="shared" si="15"/>
        <v/>
      </c>
      <c r="AO87" s="134" t="str">
        <f t="shared" si="16"/>
        <v/>
      </c>
      <c r="AQ87" s="134"/>
      <c r="AR87" s="134"/>
      <c r="AS87" s="181">
        <f t="shared" si="17"/>
        <v>0</v>
      </c>
      <c r="AT87" s="320"/>
      <c r="AU87" s="289"/>
      <c r="AV87" s="289"/>
      <c r="AW87" s="289"/>
      <c r="AX87" s="265"/>
      <c r="AY87" s="290"/>
      <c r="AZ87" s="290"/>
      <c r="BA87" s="265"/>
      <c r="BB87" s="265"/>
      <c r="BC87" s="265"/>
      <c r="BD87" s="265"/>
      <c r="BE87" s="265"/>
      <c r="BF87" s="265"/>
      <c r="BG87" s="265"/>
      <c r="BH87" s="265"/>
      <c r="BI87" s="265"/>
      <c r="BJ87" s="265"/>
    </row>
    <row r="88" spans="1:62" ht="14.25" customHeight="1">
      <c r="A88" s="134" t="str">
        <f t="shared" si="18"/>
        <v/>
      </c>
      <c r="B88" s="160" t="str">
        <f>名簿!P85</f>
        <v/>
      </c>
      <c r="C88" s="160"/>
      <c r="D88" s="793"/>
      <c r="E88" s="180">
        <f>名簿!E85</f>
        <v>0</v>
      </c>
      <c r="F88" s="560" t="str">
        <f>名簿!CM85</f>
        <v/>
      </c>
      <c r="G88" s="160" t="str">
        <f>名簿!Z85</f>
        <v/>
      </c>
      <c r="H88" s="1302" t="str">
        <f>名簿!CM85</f>
        <v/>
      </c>
      <c r="I88" s="185" t="str">
        <f>名簿!Y85</f>
        <v/>
      </c>
      <c r="J88" s="1303" t="str">
        <f>名簿!CN85</f>
        <v/>
      </c>
      <c r="K88" s="1304">
        <f>名簿!CP85</f>
        <v>0</v>
      </c>
      <c r="L88" s="1305" t="str">
        <f>名簿!CU85</f>
        <v>00</v>
      </c>
      <c r="M88" s="160" t="str">
        <f>名簿!Q85</f>
        <v/>
      </c>
      <c r="N88" s="1312">
        <f>名簿!D85</f>
        <v>0</v>
      </c>
      <c r="O88" s="1295"/>
      <c r="P88" s="258" t="str">
        <f>IF(O88="","",IF(I88=1,VLOOKUP(O88,男子種目コード!$A$1:$B$33,2,FALSE),IF(I88=2,VLOOKUP(O88,女子種目コード!$A$1:$B$28,2,FALSE))))</f>
        <v/>
      </c>
      <c r="Q88" s="494" t="str">
        <f>IF(O88="","",HLOOKUP(O88,名簿!$AH$3:$CH$118,83,FALSE))</f>
        <v/>
      </c>
      <c r="R88" s="624" t="str">
        <f t="shared" si="19"/>
        <v/>
      </c>
      <c r="S88" s="625" t="str">
        <f t="shared" si="20"/>
        <v/>
      </c>
      <c r="T88" s="303"/>
      <c r="U88" s="258" t="str">
        <f>IF(T88="","",IF(I88=1,VLOOKUP(T88,男子種目コード!$A$1:$B$33,2,FALSE),IF(I88=2,VLOOKUP(T88,女子種目コード!$A$1:$B$28,2,FALSE))))</f>
        <v/>
      </c>
      <c r="V88" s="494" t="str">
        <f>IF(T88="","",HLOOKUP(T88,名簿!$AH$3:$CH$118,83,FALSE))</f>
        <v/>
      </c>
      <c r="W88" s="624" t="str">
        <f t="shared" si="21"/>
        <v/>
      </c>
      <c r="X88" s="625" t="str">
        <f t="shared" si="22"/>
        <v/>
      </c>
      <c r="Y88" s="816"/>
      <c r="Z88" s="812" t="str">
        <f>IF(Y88="","",IF(I88=1,VLOOKUP(Y88,男子種目コード!$A$1:$B$33,2,FALSE),IF(I88=2,VLOOKUP(Y88,女子種目コード!$A$1:$B$27,2,FALSE))))</f>
        <v/>
      </c>
      <c r="AA88" s="304"/>
      <c r="AB88" s="303"/>
      <c r="AC88" s="517"/>
      <c r="AD88" s="518"/>
      <c r="AE88" s="624" t="str">
        <f t="shared" si="23"/>
        <v/>
      </c>
      <c r="AF88" s="625" t="str">
        <f t="shared" si="24"/>
        <v/>
      </c>
      <c r="AG88" s="519"/>
      <c r="AH88" s="520"/>
      <c r="AI88" s="521"/>
      <c r="AJ88" s="20"/>
      <c r="AK88" s="20"/>
      <c r="AM88" s="142"/>
      <c r="AN88" s="134" t="str">
        <f t="shared" si="15"/>
        <v/>
      </c>
      <c r="AO88" s="134" t="str">
        <f t="shared" si="16"/>
        <v/>
      </c>
      <c r="AQ88" s="134"/>
      <c r="AR88" s="134"/>
      <c r="AS88" s="181">
        <f t="shared" si="17"/>
        <v>0</v>
      </c>
      <c r="AT88" s="320"/>
      <c r="AU88" s="289"/>
      <c r="AV88" s="289"/>
      <c r="AW88" s="289"/>
      <c r="AX88" s="265"/>
      <c r="AY88" s="290"/>
      <c r="AZ88" s="290"/>
      <c r="BA88" s="265"/>
      <c r="BB88" s="265"/>
      <c r="BC88" s="265"/>
      <c r="BD88" s="265"/>
      <c r="BE88" s="265"/>
      <c r="BF88" s="265"/>
      <c r="BG88" s="265"/>
      <c r="BH88" s="265"/>
      <c r="BI88" s="265"/>
      <c r="BJ88" s="265"/>
    </row>
    <row r="89" spans="1:62" ht="14.25" customHeight="1">
      <c r="A89" s="134" t="str">
        <f t="shared" si="18"/>
        <v/>
      </c>
      <c r="B89" s="160" t="str">
        <f>名簿!P86</f>
        <v/>
      </c>
      <c r="C89" s="160"/>
      <c r="D89" s="793"/>
      <c r="E89" s="180">
        <f>名簿!E86</f>
        <v>0</v>
      </c>
      <c r="F89" s="560" t="str">
        <f>名簿!CM86</f>
        <v/>
      </c>
      <c r="G89" s="160" t="str">
        <f>名簿!Z86</f>
        <v/>
      </c>
      <c r="H89" s="1302" t="str">
        <f>名簿!CM86</f>
        <v/>
      </c>
      <c r="I89" s="185" t="str">
        <f>名簿!Y86</f>
        <v/>
      </c>
      <c r="J89" s="1303" t="str">
        <f>名簿!CN86</f>
        <v/>
      </c>
      <c r="K89" s="1304">
        <f>名簿!CP86</f>
        <v>0</v>
      </c>
      <c r="L89" s="1305" t="str">
        <f>名簿!CU86</f>
        <v>00</v>
      </c>
      <c r="M89" s="160" t="str">
        <f>名簿!Q86</f>
        <v/>
      </c>
      <c r="N89" s="1312">
        <f>名簿!D86</f>
        <v>0</v>
      </c>
      <c r="O89" s="1295"/>
      <c r="P89" s="258" t="str">
        <f>IF(O89="","",IF(I89=1,VLOOKUP(O89,男子種目コード!$A$1:$B$33,2,FALSE),IF(I89=2,VLOOKUP(O89,女子種目コード!$A$1:$B$28,2,FALSE))))</f>
        <v/>
      </c>
      <c r="Q89" s="494" t="str">
        <f>IF(O89="","",HLOOKUP(O89,名簿!$AH$3:$CH$118,84,FALSE))</f>
        <v/>
      </c>
      <c r="R89" s="624" t="str">
        <f t="shared" si="19"/>
        <v/>
      </c>
      <c r="S89" s="625" t="str">
        <f t="shared" si="20"/>
        <v/>
      </c>
      <c r="T89" s="303"/>
      <c r="U89" s="258" t="str">
        <f>IF(T89="","",IF(I89=1,VLOOKUP(T89,男子種目コード!$A$1:$B$33,2,FALSE),IF(I89=2,VLOOKUP(T89,女子種目コード!$A$1:$B$28,2,FALSE))))</f>
        <v/>
      </c>
      <c r="V89" s="494" t="str">
        <f>IF(T89="","",HLOOKUP(T89,名簿!$AH$3:$CH$118,84,FALSE))</f>
        <v/>
      </c>
      <c r="W89" s="624" t="str">
        <f t="shared" si="21"/>
        <v/>
      </c>
      <c r="X89" s="625" t="str">
        <f t="shared" si="22"/>
        <v/>
      </c>
      <c r="Y89" s="816"/>
      <c r="Z89" s="812" t="str">
        <f>IF(Y89="","",IF(I89=1,VLOOKUP(Y89,男子種目コード!$A$1:$B$33,2,FALSE),IF(I89=2,VLOOKUP(Y89,女子種目コード!$A$1:$B$27,2,FALSE))))</f>
        <v/>
      </c>
      <c r="AA89" s="304"/>
      <c r="AB89" s="303"/>
      <c r="AC89" s="517"/>
      <c r="AD89" s="518"/>
      <c r="AE89" s="624" t="str">
        <f t="shared" si="23"/>
        <v/>
      </c>
      <c r="AF89" s="625" t="str">
        <f t="shared" si="24"/>
        <v/>
      </c>
      <c r="AG89" s="519"/>
      <c r="AH89" s="520"/>
      <c r="AI89" s="521"/>
      <c r="AJ89" s="20"/>
      <c r="AK89" s="20"/>
      <c r="AM89" s="142"/>
      <c r="AN89" s="134" t="str">
        <f t="shared" si="15"/>
        <v/>
      </c>
      <c r="AO89" s="134" t="str">
        <f t="shared" si="16"/>
        <v/>
      </c>
      <c r="AQ89" s="134"/>
      <c r="AR89" s="134"/>
      <c r="AS89" s="181">
        <f t="shared" si="17"/>
        <v>0</v>
      </c>
      <c r="AT89" s="320"/>
      <c r="AU89" s="289"/>
      <c r="AV89" s="289"/>
      <c r="AW89" s="289"/>
      <c r="AX89" s="265"/>
      <c r="AY89" s="290"/>
      <c r="AZ89" s="290"/>
      <c r="BA89" s="265"/>
      <c r="BB89" s="265"/>
      <c r="BC89" s="265"/>
      <c r="BD89" s="265"/>
      <c r="BE89" s="265"/>
      <c r="BF89" s="265"/>
      <c r="BG89" s="265"/>
      <c r="BH89" s="265"/>
      <c r="BI89" s="265"/>
      <c r="BJ89" s="265"/>
    </row>
    <row r="90" spans="1:62" ht="14.25" customHeight="1">
      <c r="A90" s="134" t="str">
        <f t="shared" si="18"/>
        <v/>
      </c>
      <c r="B90" s="160" t="str">
        <f>名簿!P87</f>
        <v/>
      </c>
      <c r="C90" s="160"/>
      <c r="D90" s="793"/>
      <c r="E90" s="180">
        <f>名簿!E87</f>
        <v>0</v>
      </c>
      <c r="F90" s="560" t="str">
        <f>名簿!CM87</f>
        <v/>
      </c>
      <c r="G90" s="160" t="str">
        <f>名簿!Z87</f>
        <v/>
      </c>
      <c r="H90" s="1302" t="str">
        <f>名簿!CM87</f>
        <v/>
      </c>
      <c r="I90" s="185" t="str">
        <f>名簿!Y87</f>
        <v/>
      </c>
      <c r="J90" s="1303" t="str">
        <f>名簿!CN87</f>
        <v/>
      </c>
      <c r="K90" s="1304">
        <f>名簿!CP87</f>
        <v>0</v>
      </c>
      <c r="L90" s="1305" t="str">
        <f>名簿!CU87</f>
        <v>00</v>
      </c>
      <c r="M90" s="160" t="str">
        <f>名簿!Q87</f>
        <v/>
      </c>
      <c r="N90" s="1312">
        <f>名簿!D87</f>
        <v>0</v>
      </c>
      <c r="O90" s="1295"/>
      <c r="P90" s="258" t="str">
        <f>IF(O90="","",IF(I90=1,VLOOKUP(O90,男子種目コード!$A$1:$B$33,2,FALSE),IF(I90=2,VLOOKUP(O90,女子種目コード!$A$1:$B$28,2,FALSE))))</f>
        <v/>
      </c>
      <c r="Q90" s="494" t="str">
        <f>IF(O90="","",HLOOKUP(O90,名簿!$AH$3:$CH$118,85,FALSE))</f>
        <v/>
      </c>
      <c r="R90" s="624" t="str">
        <f t="shared" si="19"/>
        <v/>
      </c>
      <c r="S90" s="625" t="str">
        <f t="shared" si="20"/>
        <v/>
      </c>
      <c r="T90" s="303"/>
      <c r="U90" s="258" t="str">
        <f>IF(T90="","",IF(I90=1,VLOOKUP(T90,男子種目コード!$A$1:$B$33,2,FALSE),IF(I90=2,VLOOKUP(T90,女子種目コード!$A$1:$B$28,2,FALSE))))</f>
        <v/>
      </c>
      <c r="V90" s="494" t="str">
        <f>IF(T90="","",HLOOKUP(T90,名簿!$AH$3:$CH$118,85,FALSE))</f>
        <v/>
      </c>
      <c r="W90" s="624" t="str">
        <f t="shared" si="21"/>
        <v/>
      </c>
      <c r="X90" s="625" t="str">
        <f t="shared" si="22"/>
        <v/>
      </c>
      <c r="Y90" s="816"/>
      <c r="Z90" s="812" t="str">
        <f>IF(Y90="","",IF(I90=1,VLOOKUP(Y90,男子種目コード!$A$1:$B$33,2,FALSE),IF(I90=2,VLOOKUP(Y90,女子種目コード!$A$1:$B$27,2,FALSE))))</f>
        <v/>
      </c>
      <c r="AA90" s="304"/>
      <c r="AB90" s="303"/>
      <c r="AC90" s="517"/>
      <c r="AD90" s="518"/>
      <c r="AE90" s="624" t="str">
        <f t="shared" si="23"/>
        <v/>
      </c>
      <c r="AF90" s="625" t="str">
        <f t="shared" si="24"/>
        <v/>
      </c>
      <c r="AG90" s="519"/>
      <c r="AH90" s="520"/>
      <c r="AI90" s="521"/>
      <c r="AJ90" s="20"/>
      <c r="AK90" s="20"/>
      <c r="AM90" s="142"/>
      <c r="AN90" s="134" t="str">
        <f t="shared" si="15"/>
        <v/>
      </c>
      <c r="AO90" s="134" t="str">
        <f t="shared" si="16"/>
        <v/>
      </c>
      <c r="AQ90" s="134"/>
      <c r="AR90" s="134"/>
      <c r="AS90" s="181">
        <f t="shared" si="17"/>
        <v>0</v>
      </c>
      <c r="AT90" s="320"/>
      <c r="AU90" s="289"/>
      <c r="AV90" s="289"/>
      <c r="AW90" s="289"/>
      <c r="AX90" s="265"/>
      <c r="AY90" s="290"/>
      <c r="AZ90" s="290"/>
      <c r="BA90" s="265"/>
      <c r="BB90" s="265"/>
      <c r="BC90" s="265"/>
      <c r="BD90" s="265"/>
      <c r="BE90" s="265"/>
      <c r="BF90" s="265"/>
      <c r="BG90" s="265"/>
      <c r="BH90" s="265"/>
      <c r="BI90" s="265"/>
      <c r="BJ90" s="265"/>
    </row>
    <row r="91" spans="1:62" ht="14.25" customHeight="1">
      <c r="A91" s="134" t="str">
        <f t="shared" si="18"/>
        <v/>
      </c>
      <c r="B91" s="160" t="str">
        <f>名簿!P88</f>
        <v/>
      </c>
      <c r="C91" s="160"/>
      <c r="D91" s="793"/>
      <c r="E91" s="180">
        <f>名簿!E88</f>
        <v>0</v>
      </c>
      <c r="F91" s="560" t="str">
        <f>名簿!CM88</f>
        <v/>
      </c>
      <c r="G91" s="160" t="str">
        <f>名簿!Z88</f>
        <v/>
      </c>
      <c r="H91" s="1302" t="str">
        <f>名簿!CM88</f>
        <v/>
      </c>
      <c r="I91" s="185" t="str">
        <f>名簿!Y88</f>
        <v/>
      </c>
      <c r="J91" s="1303" t="str">
        <f>名簿!CN88</f>
        <v/>
      </c>
      <c r="K91" s="1304">
        <f>名簿!CP88</f>
        <v>0</v>
      </c>
      <c r="L91" s="1305" t="str">
        <f>名簿!CU88</f>
        <v>00</v>
      </c>
      <c r="M91" s="160" t="str">
        <f>名簿!Q88</f>
        <v/>
      </c>
      <c r="N91" s="1312">
        <f>名簿!D88</f>
        <v>0</v>
      </c>
      <c r="O91" s="1295"/>
      <c r="P91" s="258" t="str">
        <f>IF(O91="","",IF(I91=1,VLOOKUP(O91,男子種目コード!$A$1:$B$33,2,FALSE),IF(I91=2,VLOOKUP(O91,女子種目コード!$A$1:$B$28,2,FALSE))))</f>
        <v/>
      </c>
      <c r="Q91" s="494" t="str">
        <f>IF(O91="","",HLOOKUP(O91,名簿!$AH$3:$CH$118,86,FALSE))</f>
        <v/>
      </c>
      <c r="R91" s="624" t="str">
        <f t="shared" si="19"/>
        <v/>
      </c>
      <c r="S91" s="625" t="str">
        <f t="shared" si="20"/>
        <v/>
      </c>
      <c r="T91" s="303"/>
      <c r="U91" s="258" t="str">
        <f>IF(T91="","",IF(I91=1,VLOOKUP(T91,男子種目コード!$A$1:$B$33,2,FALSE),IF(I91=2,VLOOKUP(T91,女子種目コード!$A$1:$B$28,2,FALSE))))</f>
        <v/>
      </c>
      <c r="V91" s="494" t="str">
        <f>IF(T91="","",HLOOKUP(T91,名簿!$AH$3:$CH$118,86,FALSE))</f>
        <v/>
      </c>
      <c r="W91" s="624" t="str">
        <f t="shared" si="21"/>
        <v/>
      </c>
      <c r="X91" s="625" t="str">
        <f t="shared" si="22"/>
        <v/>
      </c>
      <c r="Y91" s="816"/>
      <c r="Z91" s="812" t="str">
        <f>IF(Y91="","",IF(I91=1,VLOOKUP(Y91,男子種目コード!$A$1:$B$33,2,FALSE),IF(I91=2,VLOOKUP(Y91,女子種目コード!$A$1:$B$27,2,FALSE))))</f>
        <v/>
      </c>
      <c r="AA91" s="304"/>
      <c r="AB91" s="303"/>
      <c r="AC91" s="517"/>
      <c r="AD91" s="518"/>
      <c r="AE91" s="624" t="str">
        <f t="shared" si="23"/>
        <v/>
      </c>
      <c r="AF91" s="625" t="str">
        <f t="shared" si="24"/>
        <v/>
      </c>
      <c r="AG91" s="519"/>
      <c r="AH91" s="520"/>
      <c r="AI91" s="521"/>
      <c r="AJ91" s="20"/>
      <c r="AK91" s="20"/>
      <c r="AM91" s="142"/>
      <c r="AN91" s="134" t="str">
        <f t="shared" si="15"/>
        <v/>
      </c>
      <c r="AO91" s="134" t="str">
        <f t="shared" si="16"/>
        <v/>
      </c>
      <c r="AQ91" s="134"/>
      <c r="AR91" s="134"/>
      <c r="AS91" s="181">
        <f t="shared" si="17"/>
        <v>0</v>
      </c>
      <c r="AT91" s="320"/>
      <c r="AU91" s="289"/>
      <c r="AV91" s="289"/>
      <c r="AW91" s="289"/>
      <c r="AX91" s="265"/>
      <c r="AY91" s="290"/>
      <c r="AZ91" s="290"/>
      <c r="BA91" s="265"/>
      <c r="BB91" s="265"/>
      <c r="BC91" s="265"/>
      <c r="BD91" s="265"/>
      <c r="BE91" s="265"/>
      <c r="BF91" s="265"/>
      <c r="BG91" s="265"/>
      <c r="BH91" s="265"/>
      <c r="BI91" s="265"/>
      <c r="BJ91" s="265"/>
    </row>
    <row r="92" spans="1:62" ht="14.25" customHeight="1">
      <c r="A92" s="134" t="str">
        <f t="shared" si="18"/>
        <v/>
      </c>
      <c r="B92" s="160" t="str">
        <f>名簿!P89</f>
        <v/>
      </c>
      <c r="C92" s="160"/>
      <c r="D92" s="793"/>
      <c r="E92" s="180">
        <f>名簿!E89</f>
        <v>0</v>
      </c>
      <c r="F92" s="560" t="str">
        <f>名簿!CM89</f>
        <v/>
      </c>
      <c r="G92" s="160" t="str">
        <f>名簿!Z89</f>
        <v/>
      </c>
      <c r="H92" s="1302" t="str">
        <f>名簿!CM89</f>
        <v/>
      </c>
      <c r="I92" s="185" t="str">
        <f>名簿!Y89</f>
        <v/>
      </c>
      <c r="J92" s="1303" t="str">
        <f>名簿!CN89</f>
        <v/>
      </c>
      <c r="K92" s="1304">
        <f>名簿!CP89</f>
        <v>0</v>
      </c>
      <c r="L92" s="1305" t="str">
        <f>名簿!CU89</f>
        <v>00</v>
      </c>
      <c r="M92" s="160" t="str">
        <f>名簿!Q89</f>
        <v/>
      </c>
      <c r="N92" s="1312">
        <f>名簿!D89</f>
        <v>0</v>
      </c>
      <c r="O92" s="1295"/>
      <c r="P92" s="258" t="str">
        <f>IF(O92="","",IF(I92=1,VLOOKUP(O92,男子種目コード!$A$1:$B$33,2,FALSE),IF(I92=2,VLOOKUP(O92,女子種目コード!$A$1:$B$28,2,FALSE))))</f>
        <v/>
      </c>
      <c r="Q92" s="494" t="str">
        <f>IF(O92="","",HLOOKUP(O92,名簿!$AH$3:$CH$118,87,FALSE))</f>
        <v/>
      </c>
      <c r="R92" s="624" t="str">
        <f t="shared" si="19"/>
        <v/>
      </c>
      <c r="S92" s="625" t="str">
        <f t="shared" si="20"/>
        <v/>
      </c>
      <c r="T92" s="303"/>
      <c r="U92" s="258" t="str">
        <f>IF(T92="","",IF(I92=1,VLOOKUP(T92,男子種目コード!$A$1:$B$33,2,FALSE),IF(I92=2,VLOOKUP(T92,女子種目コード!$A$1:$B$28,2,FALSE))))</f>
        <v/>
      </c>
      <c r="V92" s="494" t="str">
        <f>IF(T92="","",HLOOKUP(T92,名簿!$AH$3:$CH$118,87,FALSE))</f>
        <v/>
      </c>
      <c r="W92" s="624" t="str">
        <f t="shared" si="21"/>
        <v/>
      </c>
      <c r="X92" s="625" t="str">
        <f t="shared" si="22"/>
        <v/>
      </c>
      <c r="Y92" s="816"/>
      <c r="Z92" s="812" t="str">
        <f>IF(Y92="","",IF(I92=1,VLOOKUP(Y92,男子種目コード!$A$1:$B$33,2,FALSE),IF(I92=2,VLOOKUP(Y92,女子種目コード!$A$1:$B$27,2,FALSE))))</f>
        <v/>
      </c>
      <c r="AA92" s="304"/>
      <c r="AB92" s="303"/>
      <c r="AC92" s="517"/>
      <c r="AD92" s="518"/>
      <c r="AE92" s="624" t="str">
        <f t="shared" si="23"/>
        <v/>
      </c>
      <c r="AF92" s="625" t="str">
        <f t="shared" si="24"/>
        <v/>
      </c>
      <c r="AG92" s="519"/>
      <c r="AH92" s="520"/>
      <c r="AI92" s="521"/>
      <c r="AJ92" s="20"/>
      <c r="AK92" s="20"/>
      <c r="AM92" s="142"/>
      <c r="AN92" s="134" t="str">
        <f t="shared" si="15"/>
        <v/>
      </c>
      <c r="AO92" s="134" t="str">
        <f t="shared" si="16"/>
        <v/>
      </c>
      <c r="AQ92" s="134"/>
      <c r="AR92" s="134"/>
      <c r="AS92" s="181">
        <f t="shared" si="17"/>
        <v>0</v>
      </c>
      <c r="AT92" s="320"/>
      <c r="AU92" s="289"/>
      <c r="AV92" s="289"/>
      <c r="AW92" s="289"/>
      <c r="AX92" s="265"/>
      <c r="AY92" s="290"/>
      <c r="AZ92" s="290"/>
      <c r="BA92" s="265"/>
      <c r="BB92" s="265"/>
      <c r="BC92" s="265"/>
      <c r="BD92" s="265"/>
      <c r="BE92" s="265"/>
      <c r="BF92" s="265"/>
      <c r="BG92" s="265"/>
      <c r="BH92" s="265"/>
      <c r="BI92" s="265"/>
      <c r="BJ92" s="265"/>
    </row>
    <row r="93" spans="1:62" ht="14.25" customHeight="1">
      <c r="A93" s="134" t="str">
        <f t="shared" si="18"/>
        <v/>
      </c>
      <c r="B93" s="160" t="str">
        <f>名簿!P90</f>
        <v/>
      </c>
      <c r="C93" s="160"/>
      <c r="D93" s="793"/>
      <c r="E93" s="180">
        <f>名簿!E90</f>
        <v>0</v>
      </c>
      <c r="F93" s="560" t="str">
        <f>名簿!CM90</f>
        <v/>
      </c>
      <c r="G93" s="160" t="str">
        <f>名簿!Z90</f>
        <v/>
      </c>
      <c r="H93" s="1302" t="str">
        <f>名簿!CM90</f>
        <v/>
      </c>
      <c r="I93" s="185" t="str">
        <f>名簿!Y90</f>
        <v/>
      </c>
      <c r="J93" s="1303" t="str">
        <f>名簿!CN90</f>
        <v/>
      </c>
      <c r="K93" s="1304">
        <f>名簿!CP90</f>
        <v>0</v>
      </c>
      <c r="L93" s="1305" t="str">
        <f>名簿!CU90</f>
        <v>00</v>
      </c>
      <c r="M93" s="160" t="str">
        <f>名簿!Q90</f>
        <v/>
      </c>
      <c r="N93" s="1312">
        <f>名簿!D90</f>
        <v>0</v>
      </c>
      <c r="O93" s="1295"/>
      <c r="P93" s="258" t="str">
        <f>IF(O93="","",IF(I93=1,VLOOKUP(O93,男子種目コード!$A$1:$B$33,2,FALSE),IF(I93=2,VLOOKUP(O93,女子種目コード!$A$1:$B$28,2,FALSE))))</f>
        <v/>
      </c>
      <c r="Q93" s="494" t="str">
        <f>IF(O93="","",HLOOKUP(O93,名簿!$AH$3:$CH$118,88,FALSE))</f>
        <v/>
      </c>
      <c r="R93" s="624" t="str">
        <f t="shared" si="19"/>
        <v/>
      </c>
      <c r="S93" s="625" t="str">
        <f t="shared" si="20"/>
        <v/>
      </c>
      <c r="T93" s="303"/>
      <c r="U93" s="258" t="str">
        <f>IF(T93="","",IF(I93=1,VLOOKUP(T93,男子種目コード!$A$1:$B$33,2,FALSE),IF(I93=2,VLOOKUP(T93,女子種目コード!$A$1:$B$28,2,FALSE))))</f>
        <v/>
      </c>
      <c r="V93" s="494" t="str">
        <f>IF(T93="","",HLOOKUP(T93,名簿!$AH$3:$CH$118,88,FALSE))</f>
        <v/>
      </c>
      <c r="W93" s="624" t="str">
        <f t="shared" si="21"/>
        <v/>
      </c>
      <c r="X93" s="625" t="str">
        <f t="shared" si="22"/>
        <v/>
      </c>
      <c r="Y93" s="816"/>
      <c r="Z93" s="812" t="str">
        <f>IF(Y93="","",IF(I93=1,VLOOKUP(Y93,男子種目コード!$A$1:$B$33,2,FALSE),IF(I93=2,VLOOKUP(Y93,女子種目コード!$A$1:$B$27,2,FALSE))))</f>
        <v/>
      </c>
      <c r="AA93" s="304"/>
      <c r="AB93" s="303"/>
      <c r="AC93" s="517"/>
      <c r="AD93" s="518"/>
      <c r="AE93" s="624" t="str">
        <f t="shared" si="23"/>
        <v/>
      </c>
      <c r="AF93" s="625" t="str">
        <f t="shared" si="24"/>
        <v/>
      </c>
      <c r="AG93" s="519"/>
      <c r="AH93" s="520"/>
      <c r="AI93" s="521"/>
      <c r="AJ93" s="20"/>
      <c r="AK93" s="20"/>
      <c r="AM93" s="142"/>
      <c r="AN93" s="134" t="str">
        <f t="shared" si="15"/>
        <v/>
      </c>
      <c r="AO93" s="134" t="str">
        <f t="shared" si="16"/>
        <v/>
      </c>
      <c r="AQ93" s="134"/>
      <c r="AR93" s="134"/>
      <c r="AS93" s="181">
        <f t="shared" si="17"/>
        <v>0</v>
      </c>
      <c r="AT93" s="320"/>
      <c r="AU93" s="289"/>
      <c r="AV93" s="289"/>
      <c r="AW93" s="289"/>
      <c r="AX93" s="265"/>
      <c r="AY93" s="290"/>
      <c r="AZ93" s="290"/>
      <c r="BA93" s="265"/>
      <c r="BB93" s="265"/>
      <c r="BC93" s="265"/>
      <c r="BD93" s="265"/>
      <c r="BE93" s="265"/>
      <c r="BF93" s="265"/>
      <c r="BG93" s="265"/>
      <c r="BH93" s="265"/>
      <c r="BI93" s="265"/>
      <c r="BJ93" s="265"/>
    </row>
    <row r="94" spans="1:62" ht="14.25" customHeight="1">
      <c r="A94" s="134" t="str">
        <f t="shared" si="18"/>
        <v/>
      </c>
      <c r="B94" s="160" t="str">
        <f>名簿!P91</f>
        <v/>
      </c>
      <c r="C94" s="160"/>
      <c r="D94" s="793"/>
      <c r="E94" s="180">
        <f>名簿!E91</f>
        <v>0</v>
      </c>
      <c r="F94" s="560" t="str">
        <f>名簿!CM91</f>
        <v/>
      </c>
      <c r="G94" s="160" t="str">
        <f>名簿!Z91</f>
        <v/>
      </c>
      <c r="H94" s="1302" t="str">
        <f>名簿!CM91</f>
        <v/>
      </c>
      <c r="I94" s="185" t="str">
        <f>名簿!Y91</f>
        <v/>
      </c>
      <c r="J94" s="1303" t="str">
        <f>名簿!CN91</f>
        <v/>
      </c>
      <c r="K94" s="1304">
        <f>名簿!CP91</f>
        <v>0</v>
      </c>
      <c r="L94" s="1305" t="str">
        <f>名簿!CU91</f>
        <v>00</v>
      </c>
      <c r="M94" s="160" t="str">
        <f>名簿!Q91</f>
        <v/>
      </c>
      <c r="N94" s="1312">
        <f>名簿!D91</f>
        <v>0</v>
      </c>
      <c r="O94" s="1295"/>
      <c r="P94" s="258" t="str">
        <f>IF(O94="","",IF(I94=1,VLOOKUP(O94,男子種目コード!$A$1:$B$33,2,FALSE),IF(I94=2,VLOOKUP(O94,女子種目コード!$A$1:$B$28,2,FALSE))))</f>
        <v/>
      </c>
      <c r="Q94" s="494" t="str">
        <f>IF(O94="","",HLOOKUP(O94,名簿!$AH$3:$CH$118,89,FALSE))</f>
        <v/>
      </c>
      <c r="R94" s="624" t="str">
        <f t="shared" si="19"/>
        <v/>
      </c>
      <c r="S94" s="625" t="str">
        <f t="shared" si="20"/>
        <v/>
      </c>
      <c r="T94" s="303"/>
      <c r="U94" s="258" t="str">
        <f>IF(T94="","",IF(I94=1,VLOOKUP(T94,男子種目コード!$A$1:$B$33,2,FALSE),IF(I94=2,VLOOKUP(T94,女子種目コード!$A$1:$B$28,2,FALSE))))</f>
        <v/>
      </c>
      <c r="V94" s="494" t="str">
        <f>IF(T94="","",HLOOKUP(T94,名簿!$AH$3:$CH$118,89,FALSE))</f>
        <v/>
      </c>
      <c r="W94" s="624" t="str">
        <f t="shared" si="21"/>
        <v/>
      </c>
      <c r="X94" s="625" t="str">
        <f t="shared" si="22"/>
        <v/>
      </c>
      <c r="Y94" s="816"/>
      <c r="Z94" s="812" t="str">
        <f>IF(Y94="","",IF(I94=1,VLOOKUP(Y94,男子種目コード!$A$1:$B$33,2,FALSE),IF(I94=2,VLOOKUP(Y94,女子種目コード!$A$1:$B$27,2,FALSE))))</f>
        <v/>
      </c>
      <c r="AA94" s="304"/>
      <c r="AB94" s="303"/>
      <c r="AC94" s="517"/>
      <c r="AD94" s="518"/>
      <c r="AE94" s="624" t="str">
        <f t="shared" si="23"/>
        <v/>
      </c>
      <c r="AF94" s="625" t="str">
        <f t="shared" si="24"/>
        <v/>
      </c>
      <c r="AG94" s="519"/>
      <c r="AH94" s="520"/>
      <c r="AI94" s="521"/>
      <c r="AJ94" s="20"/>
      <c r="AK94" s="20"/>
      <c r="AM94" s="142"/>
      <c r="AN94" s="134" t="str">
        <f t="shared" si="15"/>
        <v/>
      </c>
      <c r="AO94" s="134" t="str">
        <f t="shared" si="16"/>
        <v/>
      </c>
      <c r="AQ94" s="134"/>
      <c r="AR94" s="134"/>
      <c r="AS94" s="181">
        <f t="shared" si="17"/>
        <v>0</v>
      </c>
      <c r="AT94" s="320"/>
      <c r="AU94" s="289"/>
      <c r="AV94" s="289"/>
      <c r="AW94" s="289"/>
      <c r="AX94" s="265"/>
      <c r="AY94" s="290"/>
      <c r="AZ94" s="290"/>
      <c r="BA94" s="265"/>
      <c r="BB94" s="265"/>
      <c r="BC94" s="265"/>
      <c r="BD94" s="265"/>
      <c r="BE94" s="265"/>
      <c r="BF94" s="265"/>
      <c r="BG94" s="265"/>
      <c r="BH94" s="265"/>
      <c r="BI94" s="265"/>
      <c r="BJ94" s="265"/>
    </row>
    <row r="95" spans="1:62" ht="14.25" customHeight="1">
      <c r="A95" s="134" t="str">
        <f t="shared" si="18"/>
        <v/>
      </c>
      <c r="B95" s="160" t="str">
        <f>名簿!P92</f>
        <v/>
      </c>
      <c r="C95" s="160"/>
      <c r="D95" s="793"/>
      <c r="E95" s="180">
        <f>名簿!E92</f>
        <v>0</v>
      </c>
      <c r="F95" s="560" t="str">
        <f>名簿!CM92</f>
        <v/>
      </c>
      <c r="G95" s="160" t="str">
        <f>名簿!Z92</f>
        <v/>
      </c>
      <c r="H95" s="1302" t="str">
        <f>名簿!CM92</f>
        <v/>
      </c>
      <c r="I95" s="185" t="str">
        <f>名簿!Y92</f>
        <v/>
      </c>
      <c r="J95" s="1303" t="str">
        <f>名簿!CN92</f>
        <v/>
      </c>
      <c r="K95" s="1304">
        <f>名簿!CP92</f>
        <v>0</v>
      </c>
      <c r="L95" s="1305" t="str">
        <f>名簿!CU92</f>
        <v>00</v>
      </c>
      <c r="M95" s="160" t="str">
        <f>名簿!Q92</f>
        <v/>
      </c>
      <c r="N95" s="1312">
        <f>名簿!D92</f>
        <v>0</v>
      </c>
      <c r="O95" s="1295"/>
      <c r="P95" s="258" t="str">
        <f>IF(O95="","",IF(I95=1,VLOOKUP(O95,男子種目コード!$A$1:$B$33,2,FALSE),IF(I95=2,VLOOKUP(O95,女子種目コード!$A$1:$B$28,2,FALSE))))</f>
        <v/>
      </c>
      <c r="Q95" s="494" t="str">
        <f>IF(O95="","",HLOOKUP(O95,名簿!$AH$3:$CH$118,90,FALSE))</f>
        <v/>
      </c>
      <c r="R95" s="624" t="str">
        <f t="shared" si="19"/>
        <v/>
      </c>
      <c r="S95" s="625" t="str">
        <f t="shared" si="20"/>
        <v/>
      </c>
      <c r="T95" s="303"/>
      <c r="U95" s="258" t="str">
        <f>IF(T95="","",IF(I95=1,VLOOKUP(T95,男子種目コード!$A$1:$B$33,2,FALSE),IF(I95=2,VLOOKUP(T95,女子種目コード!$A$1:$B$28,2,FALSE))))</f>
        <v/>
      </c>
      <c r="V95" s="494" t="str">
        <f>IF(T95="","",HLOOKUP(T95,名簿!$AH$3:$CH$118,90,FALSE))</f>
        <v/>
      </c>
      <c r="W95" s="624" t="str">
        <f t="shared" si="21"/>
        <v/>
      </c>
      <c r="X95" s="625" t="str">
        <f t="shared" si="22"/>
        <v/>
      </c>
      <c r="Y95" s="816"/>
      <c r="Z95" s="812" t="str">
        <f>IF(Y95="","",IF(I95=1,VLOOKUP(Y95,男子種目コード!$A$1:$B$33,2,FALSE),IF(I95=2,VLOOKUP(Y95,女子種目コード!$A$1:$B$27,2,FALSE))))</f>
        <v/>
      </c>
      <c r="AA95" s="304"/>
      <c r="AB95" s="303"/>
      <c r="AC95" s="517"/>
      <c r="AD95" s="518"/>
      <c r="AE95" s="624" t="str">
        <f t="shared" si="23"/>
        <v/>
      </c>
      <c r="AF95" s="625" t="str">
        <f t="shared" si="24"/>
        <v/>
      </c>
      <c r="AG95" s="519"/>
      <c r="AH95" s="520"/>
      <c r="AI95" s="521"/>
      <c r="AJ95" s="20"/>
      <c r="AK95" s="20"/>
      <c r="AM95" s="142"/>
      <c r="AN95" s="134" t="str">
        <f t="shared" si="15"/>
        <v/>
      </c>
      <c r="AO95" s="134" t="str">
        <f t="shared" si="16"/>
        <v/>
      </c>
      <c r="AQ95" s="134"/>
      <c r="AR95" s="134"/>
      <c r="AS95" s="181">
        <f t="shared" si="17"/>
        <v>0</v>
      </c>
      <c r="AT95" s="320"/>
      <c r="AU95" s="289"/>
      <c r="AV95" s="289"/>
      <c r="AW95" s="289"/>
      <c r="AX95" s="265"/>
      <c r="AY95" s="290"/>
      <c r="AZ95" s="290"/>
      <c r="BA95" s="265"/>
      <c r="BB95" s="265"/>
      <c r="BC95" s="265"/>
      <c r="BD95" s="265"/>
      <c r="BE95" s="265"/>
      <c r="BF95" s="265"/>
      <c r="BG95" s="265"/>
      <c r="BH95" s="265"/>
      <c r="BI95" s="265"/>
      <c r="BJ95" s="265"/>
    </row>
    <row r="96" spans="1:62" ht="14.25" customHeight="1">
      <c r="A96" s="134" t="str">
        <f t="shared" si="18"/>
        <v/>
      </c>
      <c r="B96" s="160" t="str">
        <f>名簿!P93</f>
        <v/>
      </c>
      <c r="C96" s="160"/>
      <c r="D96" s="793"/>
      <c r="E96" s="180">
        <f>名簿!E93</f>
        <v>0</v>
      </c>
      <c r="F96" s="560" t="str">
        <f>名簿!CM93</f>
        <v/>
      </c>
      <c r="G96" s="160" t="str">
        <f>名簿!Z93</f>
        <v/>
      </c>
      <c r="H96" s="1302" t="str">
        <f>名簿!CM93</f>
        <v/>
      </c>
      <c r="I96" s="185" t="str">
        <f>名簿!Y93</f>
        <v/>
      </c>
      <c r="J96" s="1303" t="str">
        <f>名簿!CN93</f>
        <v/>
      </c>
      <c r="K96" s="1304">
        <f>名簿!CP93</f>
        <v>0</v>
      </c>
      <c r="L96" s="1305" t="str">
        <f>名簿!CU93</f>
        <v>00</v>
      </c>
      <c r="M96" s="160" t="str">
        <f>名簿!Q93</f>
        <v/>
      </c>
      <c r="N96" s="1312">
        <f>名簿!D93</f>
        <v>0</v>
      </c>
      <c r="O96" s="1295"/>
      <c r="P96" s="258" t="str">
        <f>IF(O96="","",IF(I96=1,VLOOKUP(O96,男子種目コード!$A$1:$B$33,2,FALSE),IF(I96=2,VLOOKUP(O96,女子種目コード!$A$1:$B$28,2,FALSE))))</f>
        <v/>
      </c>
      <c r="Q96" s="494" t="str">
        <f>IF(O96="","",HLOOKUP(O96,名簿!$AH$3:$CH$118,91,FALSE))</f>
        <v/>
      </c>
      <c r="R96" s="624" t="str">
        <f t="shared" si="19"/>
        <v/>
      </c>
      <c r="S96" s="625" t="str">
        <f t="shared" si="20"/>
        <v/>
      </c>
      <c r="T96" s="303"/>
      <c r="U96" s="258" t="str">
        <f>IF(T96="","",IF(I96=1,VLOOKUP(T96,男子種目コード!$A$1:$B$33,2,FALSE),IF(I96=2,VLOOKUP(T96,女子種目コード!$A$1:$B$28,2,FALSE))))</f>
        <v/>
      </c>
      <c r="V96" s="494" t="str">
        <f>IF(T96="","",HLOOKUP(T96,名簿!$AH$3:$CH$118,91,FALSE))</f>
        <v/>
      </c>
      <c r="W96" s="624" t="str">
        <f t="shared" si="21"/>
        <v/>
      </c>
      <c r="X96" s="625" t="str">
        <f t="shared" si="22"/>
        <v/>
      </c>
      <c r="Y96" s="816"/>
      <c r="Z96" s="812" t="str">
        <f>IF(Y96="","",IF(I96=1,VLOOKUP(Y96,男子種目コード!$A$1:$B$33,2,FALSE),IF(I96=2,VLOOKUP(Y96,女子種目コード!$A$1:$B$27,2,FALSE))))</f>
        <v/>
      </c>
      <c r="AA96" s="304"/>
      <c r="AB96" s="303"/>
      <c r="AC96" s="517"/>
      <c r="AD96" s="518"/>
      <c r="AE96" s="624" t="str">
        <f t="shared" si="23"/>
        <v/>
      </c>
      <c r="AF96" s="625" t="str">
        <f t="shared" si="24"/>
        <v/>
      </c>
      <c r="AG96" s="519"/>
      <c r="AH96" s="520"/>
      <c r="AI96" s="521"/>
      <c r="AJ96" s="20"/>
      <c r="AK96" s="20"/>
      <c r="AM96" s="142"/>
      <c r="AN96" s="134" t="str">
        <f t="shared" si="15"/>
        <v/>
      </c>
      <c r="AO96" s="134" t="str">
        <f t="shared" si="16"/>
        <v/>
      </c>
      <c r="AQ96" s="134"/>
      <c r="AR96" s="134"/>
      <c r="AS96" s="181">
        <f t="shared" si="17"/>
        <v>0</v>
      </c>
      <c r="AT96" s="320"/>
      <c r="AU96" s="289"/>
      <c r="AV96" s="289"/>
      <c r="AW96" s="289"/>
      <c r="AX96" s="265"/>
      <c r="AY96" s="290"/>
      <c r="AZ96" s="290"/>
      <c r="BA96" s="265"/>
      <c r="BB96" s="265"/>
      <c r="BC96" s="265"/>
      <c r="BD96" s="265"/>
      <c r="BE96" s="265"/>
      <c r="BF96" s="265"/>
      <c r="BG96" s="265"/>
      <c r="BH96" s="265"/>
      <c r="BI96" s="265"/>
      <c r="BJ96" s="265"/>
    </row>
    <row r="97" spans="1:62" ht="14.25" customHeight="1">
      <c r="A97" s="134" t="str">
        <f t="shared" si="18"/>
        <v/>
      </c>
      <c r="B97" s="160" t="str">
        <f>名簿!P94</f>
        <v/>
      </c>
      <c r="C97" s="160"/>
      <c r="D97" s="793"/>
      <c r="E97" s="180">
        <f>名簿!E94</f>
        <v>0</v>
      </c>
      <c r="F97" s="560" t="str">
        <f>名簿!CM94</f>
        <v/>
      </c>
      <c r="G97" s="160" t="str">
        <f>名簿!Z94</f>
        <v/>
      </c>
      <c r="H97" s="1302" t="str">
        <f>名簿!CM94</f>
        <v/>
      </c>
      <c r="I97" s="185" t="str">
        <f>名簿!Y94</f>
        <v/>
      </c>
      <c r="J97" s="1303" t="str">
        <f>名簿!CN94</f>
        <v/>
      </c>
      <c r="K97" s="1304">
        <f>名簿!CP94</f>
        <v>0</v>
      </c>
      <c r="L97" s="1305" t="str">
        <f>名簿!CU94</f>
        <v>00</v>
      </c>
      <c r="M97" s="160" t="str">
        <f>名簿!Q94</f>
        <v/>
      </c>
      <c r="N97" s="1312">
        <f>名簿!D94</f>
        <v>0</v>
      </c>
      <c r="O97" s="1295"/>
      <c r="P97" s="258" t="str">
        <f>IF(O97="","",IF(I97=1,VLOOKUP(O97,男子種目コード!$A$1:$B$33,2,FALSE),IF(I97=2,VLOOKUP(O97,女子種目コード!$A$1:$B$28,2,FALSE))))</f>
        <v/>
      </c>
      <c r="Q97" s="494" t="str">
        <f>IF(O97="","",HLOOKUP(O97,名簿!$AH$3:$CH$118,92,FALSE))</f>
        <v/>
      </c>
      <c r="R97" s="624" t="str">
        <f t="shared" si="19"/>
        <v/>
      </c>
      <c r="S97" s="625" t="str">
        <f t="shared" si="20"/>
        <v/>
      </c>
      <c r="T97" s="303"/>
      <c r="U97" s="258" t="str">
        <f>IF(T97="","",IF(I97=1,VLOOKUP(T97,男子種目コード!$A$1:$B$33,2,FALSE),IF(I97=2,VLOOKUP(T97,女子種目コード!$A$1:$B$28,2,FALSE))))</f>
        <v/>
      </c>
      <c r="V97" s="494" t="str">
        <f>IF(T97="","",HLOOKUP(T97,名簿!$AH$3:$CH$118,92,FALSE))</f>
        <v/>
      </c>
      <c r="W97" s="624" t="str">
        <f t="shared" si="21"/>
        <v/>
      </c>
      <c r="X97" s="625" t="str">
        <f t="shared" si="22"/>
        <v/>
      </c>
      <c r="Y97" s="816"/>
      <c r="Z97" s="812" t="str">
        <f>IF(Y97="","",IF(I97=1,VLOOKUP(Y97,男子種目コード!$A$1:$B$33,2,FALSE),IF(I97=2,VLOOKUP(Y97,女子種目コード!$A$1:$B$27,2,FALSE))))</f>
        <v/>
      </c>
      <c r="AA97" s="304"/>
      <c r="AB97" s="303"/>
      <c r="AC97" s="517"/>
      <c r="AD97" s="518"/>
      <c r="AE97" s="624" t="str">
        <f t="shared" si="23"/>
        <v/>
      </c>
      <c r="AF97" s="625" t="str">
        <f t="shared" si="24"/>
        <v/>
      </c>
      <c r="AG97" s="519"/>
      <c r="AH97" s="520"/>
      <c r="AI97" s="521"/>
      <c r="AJ97" s="20"/>
      <c r="AK97" s="20"/>
      <c r="AM97" s="142"/>
      <c r="AN97" s="134" t="str">
        <f t="shared" si="15"/>
        <v/>
      </c>
      <c r="AO97" s="134" t="str">
        <f t="shared" si="16"/>
        <v/>
      </c>
      <c r="AQ97" s="134"/>
      <c r="AR97" s="134"/>
      <c r="AS97" s="181">
        <f t="shared" si="17"/>
        <v>0</v>
      </c>
      <c r="AT97" s="320"/>
      <c r="AU97" s="289"/>
      <c r="AV97" s="289"/>
      <c r="AW97" s="289"/>
      <c r="AX97" s="265"/>
      <c r="AY97" s="290"/>
      <c r="AZ97" s="290"/>
      <c r="BA97" s="265"/>
      <c r="BB97" s="265"/>
      <c r="BC97" s="265"/>
      <c r="BD97" s="265"/>
      <c r="BE97" s="265"/>
      <c r="BF97" s="265"/>
      <c r="BG97" s="265"/>
      <c r="BH97" s="265"/>
      <c r="BI97" s="265"/>
      <c r="BJ97" s="265"/>
    </row>
    <row r="98" spans="1:62" ht="14.25" customHeight="1">
      <c r="A98" s="134" t="str">
        <f t="shared" si="18"/>
        <v/>
      </c>
      <c r="B98" s="160" t="str">
        <f>名簿!P95</f>
        <v/>
      </c>
      <c r="C98" s="160"/>
      <c r="D98" s="793"/>
      <c r="E98" s="180">
        <f>名簿!E95</f>
        <v>0</v>
      </c>
      <c r="F98" s="560" t="str">
        <f>名簿!CM95</f>
        <v/>
      </c>
      <c r="G98" s="160" t="str">
        <f>名簿!Z95</f>
        <v/>
      </c>
      <c r="H98" s="1302" t="str">
        <f>名簿!CM95</f>
        <v/>
      </c>
      <c r="I98" s="185" t="str">
        <f>名簿!Y95</f>
        <v/>
      </c>
      <c r="J98" s="1303" t="str">
        <f>名簿!CN95</f>
        <v/>
      </c>
      <c r="K98" s="1304">
        <f>名簿!CP95</f>
        <v>0</v>
      </c>
      <c r="L98" s="1305" t="str">
        <f>名簿!CU95</f>
        <v>00</v>
      </c>
      <c r="M98" s="160" t="str">
        <f>名簿!Q95</f>
        <v/>
      </c>
      <c r="N98" s="1312">
        <f>名簿!D95</f>
        <v>0</v>
      </c>
      <c r="O98" s="1295"/>
      <c r="P98" s="258" t="str">
        <f>IF(O98="","",IF(I98=1,VLOOKUP(O98,男子種目コード!$A$1:$B$33,2,FALSE),IF(I98=2,VLOOKUP(O98,女子種目コード!$A$1:$B$28,2,FALSE))))</f>
        <v/>
      </c>
      <c r="Q98" s="494" t="str">
        <f>IF(O98="","",HLOOKUP(O98,名簿!$AH$3:$CH$118,93,FALSE))</f>
        <v/>
      </c>
      <c r="R98" s="624" t="str">
        <f t="shared" si="19"/>
        <v/>
      </c>
      <c r="S98" s="625" t="str">
        <f t="shared" si="20"/>
        <v/>
      </c>
      <c r="T98" s="303"/>
      <c r="U98" s="258" t="str">
        <f>IF(T98="","",IF(I98=1,VLOOKUP(T98,男子種目コード!$A$1:$B$33,2,FALSE),IF(I98=2,VLOOKUP(T98,女子種目コード!$A$1:$B$28,2,FALSE))))</f>
        <v/>
      </c>
      <c r="V98" s="494" t="str">
        <f>IF(T98="","",HLOOKUP(T98,名簿!$AH$3:$CH$118,93,FALSE))</f>
        <v/>
      </c>
      <c r="W98" s="624" t="str">
        <f t="shared" si="21"/>
        <v/>
      </c>
      <c r="X98" s="625" t="str">
        <f t="shared" si="22"/>
        <v/>
      </c>
      <c r="Y98" s="816"/>
      <c r="Z98" s="812" t="str">
        <f>IF(Y98="","",IF(I98=1,VLOOKUP(Y98,男子種目コード!$A$1:$B$33,2,FALSE),IF(I98=2,VLOOKUP(Y98,女子種目コード!$A$1:$B$27,2,FALSE))))</f>
        <v/>
      </c>
      <c r="AA98" s="304"/>
      <c r="AB98" s="303"/>
      <c r="AC98" s="517"/>
      <c r="AD98" s="518"/>
      <c r="AE98" s="624" t="str">
        <f t="shared" si="23"/>
        <v/>
      </c>
      <c r="AF98" s="625" t="str">
        <f t="shared" si="24"/>
        <v/>
      </c>
      <c r="AG98" s="519"/>
      <c r="AH98" s="520"/>
      <c r="AI98" s="521"/>
      <c r="AJ98" s="20"/>
      <c r="AK98" s="20"/>
      <c r="AM98" s="142"/>
      <c r="AN98" s="134" t="str">
        <f t="shared" si="15"/>
        <v/>
      </c>
      <c r="AO98" s="134" t="str">
        <f t="shared" si="16"/>
        <v/>
      </c>
      <c r="AQ98" s="134"/>
      <c r="AR98" s="134"/>
      <c r="AS98" s="181">
        <f t="shared" si="17"/>
        <v>0</v>
      </c>
      <c r="AT98" s="320"/>
      <c r="AU98" s="289"/>
      <c r="AV98" s="289"/>
      <c r="AW98" s="289"/>
      <c r="AX98" s="265"/>
      <c r="AY98" s="290"/>
      <c r="AZ98" s="290"/>
      <c r="BA98" s="265"/>
      <c r="BB98" s="265"/>
      <c r="BC98" s="265"/>
      <c r="BD98" s="265"/>
      <c r="BE98" s="265"/>
      <c r="BF98" s="265"/>
      <c r="BG98" s="265"/>
      <c r="BH98" s="265"/>
      <c r="BI98" s="265"/>
      <c r="BJ98" s="265"/>
    </row>
    <row r="99" spans="1:62" ht="14.25" customHeight="1">
      <c r="A99" s="134" t="str">
        <f t="shared" si="18"/>
        <v/>
      </c>
      <c r="B99" s="160" t="str">
        <f>名簿!P96</f>
        <v/>
      </c>
      <c r="C99" s="160"/>
      <c r="D99" s="793"/>
      <c r="E99" s="180">
        <f>名簿!E96</f>
        <v>0</v>
      </c>
      <c r="F99" s="560" t="str">
        <f>名簿!CM96</f>
        <v/>
      </c>
      <c r="G99" s="160" t="str">
        <f>名簿!Z96</f>
        <v/>
      </c>
      <c r="H99" s="1302" t="str">
        <f>名簿!CM96</f>
        <v/>
      </c>
      <c r="I99" s="185" t="str">
        <f>名簿!Y96</f>
        <v/>
      </c>
      <c r="J99" s="1303" t="str">
        <f>名簿!CN96</f>
        <v/>
      </c>
      <c r="K99" s="1304">
        <f>名簿!CP96</f>
        <v>0</v>
      </c>
      <c r="L99" s="1305" t="str">
        <f>名簿!CU96</f>
        <v>00</v>
      </c>
      <c r="M99" s="160" t="str">
        <f>名簿!Q96</f>
        <v/>
      </c>
      <c r="N99" s="1312">
        <f>名簿!D96</f>
        <v>0</v>
      </c>
      <c r="O99" s="1295"/>
      <c r="P99" s="258" t="str">
        <f>IF(O99="","",IF(I99=1,VLOOKUP(O99,男子種目コード!$A$1:$B$33,2,FALSE),IF(I99=2,VLOOKUP(O99,女子種目コード!$A$1:$B$28,2,FALSE))))</f>
        <v/>
      </c>
      <c r="Q99" s="494" t="str">
        <f>IF(O99="","",HLOOKUP(O99,名簿!$AH$3:$CH$118,94,FALSE))</f>
        <v/>
      </c>
      <c r="R99" s="624" t="str">
        <f t="shared" si="19"/>
        <v/>
      </c>
      <c r="S99" s="625" t="str">
        <f t="shared" si="20"/>
        <v/>
      </c>
      <c r="T99" s="303"/>
      <c r="U99" s="258" t="str">
        <f>IF(T99="","",IF(I99=1,VLOOKUP(T99,男子種目コード!$A$1:$B$33,2,FALSE),IF(I99=2,VLOOKUP(T99,女子種目コード!$A$1:$B$28,2,FALSE))))</f>
        <v/>
      </c>
      <c r="V99" s="494" t="str">
        <f>IF(T99="","",HLOOKUP(T99,名簿!$AH$3:$CH$118,94,FALSE))</f>
        <v/>
      </c>
      <c r="W99" s="624" t="str">
        <f t="shared" si="21"/>
        <v/>
      </c>
      <c r="X99" s="625" t="str">
        <f t="shared" si="22"/>
        <v/>
      </c>
      <c r="Y99" s="816"/>
      <c r="Z99" s="812" t="str">
        <f>IF(Y99="","",IF(I99=1,VLOOKUP(Y99,男子種目コード!$A$1:$B$33,2,FALSE),IF(I99=2,VLOOKUP(Y99,女子種目コード!$A$1:$B$27,2,FALSE))))</f>
        <v/>
      </c>
      <c r="AA99" s="304"/>
      <c r="AB99" s="303"/>
      <c r="AC99" s="517"/>
      <c r="AD99" s="518"/>
      <c r="AE99" s="624" t="str">
        <f t="shared" si="23"/>
        <v/>
      </c>
      <c r="AF99" s="625" t="str">
        <f t="shared" si="24"/>
        <v/>
      </c>
      <c r="AG99" s="519"/>
      <c r="AH99" s="520"/>
      <c r="AI99" s="521"/>
      <c r="AJ99" s="20"/>
      <c r="AK99" s="20"/>
      <c r="AM99" s="142"/>
      <c r="AN99" s="134" t="str">
        <f t="shared" si="15"/>
        <v/>
      </c>
      <c r="AO99" s="134" t="str">
        <f t="shared" si="16"/>
        <v/>
      </c>
      <c r="AQ99" s="134"/>
      <c r="AR99" s="134"/>
      <c r="AS99" s="181">
        <f t="shared" si="17"/>
        <v>0</v>
      </c>
      <c r="AT99" s="320"/>
      <c r="AU99" s="289"/>
      <c r="AV99" s="289"/>
      <c r="AW99" s="289"/>
      <c r="AX99" s="265"/>
      <c r="AY99" s="290"/>
      <c r="AZ99" s="290"/>
      <c r="BA99" s="265"/>
      <c r="BB99" s="265"/>
      <c r="BC99" s="265"/>
      <c r="BD99" s="265"/>
      <c r="BE99" s="265"/>
      <c r="BF99" s="265"/>
      <c r="BG99" s="265"/>
      <c r="BH99" s="265"/>
      <c r="BI99" s="265"/>
      <c r="BJ99" s="265"/>
    </row>
    <row r="100" spans="1:62" ht="14.25" customHeight="1">
      <c r="A100" s="134" t="str">
        <f t="shared" si="18"/>
        <v/>
      </c>
      <c r="B100" s="160" t="str">
        <f>名簿!P97</f>
        <v/>
      </c>
      <c r="C100" s="160"/>
      <c r="D100" s="793"/>
      <c r="E100" s="180">
        <f>名簿!E97</f>
        <v>0</v>
      </c>
      <c r="F100" s="560" t="str">
        <f>名簿!CM97</f>
        <v/>
      </c>
      <c r="G100" s="160" t="str">
        <f>名簿!Z97</f>
        <v/>
      </c>
      <c r="H100" s="1302" t="str">
        <f>名簿!CM97</f>
        <v/>
      </c>
      <c r="I100" s="185" t="str">
        <f>名簿!Y97</f>
        <v/>
      </c>
      <c r="J100" s="1303" t="str">
        <f>名簿!CN97</f>
        <v/>
      </c>
      <c r="K100" s="1304">
        <f>名簿!CP97</f>
        <v>0</v>
      </c>
      <c r="L100" s="1305" t="str">
        <f>名簿!CU97</f>
        <v>00</v>
      </c>
      <c r="M100" s="160" t="str">
        <f>名簿!Q97</f>
        <v/>
      </c>
      <c r="N100" s="1312">
        <f>名簿!D97</f>
        <v>0</v>
      </c>
      <c r="O100" s="1295"/>
      <c r="P100" s="258" t="str">
        <f>IF(O100="","",IF(I100=1,VLOOKUP(O100,男子種目コード!$A$1:$B$33,2,FALSE),IF(I100=2,VLOOKUP(O100,女子種目コード!$A$1:$B$28,2,FALSE))))</f>
        <v/>
      </c>
      <c r="Q100" s="494" t="str">
        <f>IF(O100="","",HLOOKUP(O100,名簿!$AH$3:$CH$118,95,FALSE))</f>
        <v/>
      </c>
      <c r="R100" s="624" t="str">
        <f t="shared" si="19"/>
        <v/>
      </c>
      <c r="S100" s="625" t="str">
        <f t="shared" si="20"/>
        <v/>
      </c>
      <c r="T100" s="303"/>
      <c r="U100" s="258" t="str">
        <f>IF(T100="","",IF(I100=1,VLOOKUP(T100,男子種目コード!$A$1:$B$33,2,FALSE),IF(I100=2,VLOOKUP(T100,女子種目コード!$A$1:$B$28,2,FALSE))))</f>
        <v/>
      </c>
      <c r="V100" s="494" t="str">
        <f>IF(T100="","",HLOOKUP(T100,名簿!$AH$3:$CH$118,95,FALSE))</f>
        <v/>
      </c>
      <c r="W100" s="624" t="str">
        <f t="shared" si="21"/>
        <v/>
      </c>
      <c r="X100" s="625" t="str">
        <f t="shared" si="22"/>
        <v/>
      </c>
      <c r="Y100" s="816"/>
      <c r="Z100" s="812" t="str">
        <f>IF(Y100="","",IF(I100=1,VLOOKUP(Y100,男子種目コード!$A$1:$B$33,2,FALSE),IF(I100=2,VLOOKUP(Y100,女子種目コード!$A$1:$B$27,2,FALSE))))</f>
        <v/>
      </c>
      <c r="AA100" s="304"/>
      <c r="AB100" s="303"/>
      <c r="AC100" s="517"/>
      <c r="AD100" s="518"/>
      <c r="AE100" s="624" t="str">
        <f t="shared" si="23"/>
        <v/>
      </c>
      <c r="AF100" s="625" t="str">
        <f t="shared" si="24"/>
        <v/>
      </c>
      <c r="AG100" s="519"/>
      <c r="AH100" s="520"/>
      <c r="AI100" s="521"/>
      <c r="AJ100" s="20"/>
      <c r="AK100" s="20"/>
      <c r="AM100" s="142"/>
      <c r="AN100" s="134" t="str">
        <f t="shared" si="15"/>
        <v/>
      </c>
      <c r="AO100" s="134" t="str">
        <f t="shared" si="16"/>
        <v/>
      </c>
      <c r="AQ100" s="134"/>
      <c r="AR100" s="134"/>
      <c r="AS100" s="181">
        <f t="shared" si="17"/>
        <v>0</v>
      </c>
      <c r="AT100" s="320"/>
      <c r="AU100" s="289"/>
      <c r="AV100" s="289"/>
      <c r="AW100" s="289"/>
      <c r="AX100" s="265"/>
      <c r="AY100" s="290"/>
      <c r="AZ100" s="290"/>
      <c r="BA100" s="265"/>
      <c r="BB100" s="265"/>
      <c r="BC100" s="265"/>
      <c r="BD100" s="265"/>
      <c r="BE100" s="265"/>
      <c r="BF100" s="265"/>
      <c r="BG100" s="265"/>
      <c r="BH100" s="265"/>
      <c r="BI100" s="265"/>
      <c r="BJ100" s="265"/>
    </row>
    <row r="101" spans="1:62" ht="14.25" customHeight="1">
      <c r="A101" s="134" t="str">
        <f t="shared" si="18"/>
        <v/>
      </c>
      <c r="B101" s="160" t="str">
        <f>名簿!P98</f>
        <v/>
      </c>
      <c r="C101" s="160"/>
      <c r="D101" s="793"/>
      <c r="E101" s="180">
        <f>名簿!E98</f>
        <v>0</v>
      </c>
      <c r="F101" s="560" t="str">
        <f>名簿!CM98</f>
        <v/>
      </c>
      <c r="G101" s="160" t="str">
        <f>名簿!Z98</f>
        <v/>
      </c>
      <c r="H101" s="1302" t="str">
        <f>名簿!CM98</f>
        <v/>
      </c>
      <c r="I101" s="185" t="str">
        <f>名簿!Y98</f>
        <v/>
      </c>
      <c r="J101" s="1303" t="str">
        <f>名簿!CN98</f>
        <v/>
      </c>
      <c r="K101" s="1304">
        <f>名簿!CP98</f>
        <v>0</v>
      </c>
      <c r="L101" s="1305" t="str">
        <f>名簿!CU98</f>
        <v>00</v>
      </c>
      <c r="M101" s="160" t="str">
        <f>名簿!Q98</f>
        <v/>
      </c>
      <c r="N101" s="1312">
        <f>名簿!D98</f>
        <v>0</v>
      </c>
      <c r="O101" s="1295"/>
      <c r="P101" s="258" t="str">
        <f>IF(O101="","",IF(I101=1,VLOOKUP(O101,男子種目コード!$A$1:$B$33,2,FALSE),IF(I101=2,VLOOKUP(O101,女子種目コード!$A$1:$B$28,2,FALSE))))</f>
        <v/>
      </c>
      <c r="Q101" s="494" t="str">
        <f>IF(O101="","",HLOOKUP(O101,名簿!$AH$3:$CH$118,96,FALSE))</f>
        <v/>
      </c>
      <c r="R101" s="624" t="str">
        <f t="shared" si="19"/>
        <v/>
      </c>
      <c r="S101" s="625" t="str">
        <f t="shared" si="20"/>
        <v/>
      </c>
      <c r="T101" s="303"/>
      <c r="U101" s="258" t="str">
        <f>IF(T101="","",IF(I101=1,VLOOKUP(T101,男子種目コード!$A$1:$B$33,2,FALSE),IF(I101=2,VLOOKUP(T101,女子種目コード!$A$1:$B$28,2,FALSE))))</f>
        <v/>
      </c>
      <c r="V101" s="494" t="str">
        <f>IF(T101="","",HLOOKUP(T101,名簿!$AH$3:$CH$118,96,FALSE))</f>
        <v/>
      </c>
      <c r="W101" s="624" t="str">
        <f t="shared" si="21"/>
        <v/>
      </c>
      <c r="X101" s="625" t="str">
        <f t="shared" si="22"/>
        <v/>
      </c>
      <c r="Y101" s="816"/>
      <c r="Z101" s="812" t="str">
        <f>IF(Y101="","",IF(I101=1,VLOOKUP(Y101,男子種目コード!$A$1:$B$33,2,FALSE),IF(I101=2,VLOOKUP(Y101,女子種目コード!$A$1:$B$27,2,FALSE))))</f>
        <v/>
      </c>
      <c r="AA101" s="304"/>
      <c r="AB101" s="303"/>
      <c r="AC101" s="517"/>
      <c r="AD101" s="518"/>
      <c r="AE101" s="624" t="str">
        <f t="shared" si="23"/>
        <v/>
      </c>
      <c r="AF101" s="625" t="str">
        <f t="shared" si="24"/>
        <v/>
      </c>
      <c r="AG101" s="519"/>
      <c r="AH101" s="520"/>
      <c r="AI101" s="521"/>
      <c r="AJ101" s="20"/>
      <c r="AK101" s="20"/>
      <c r="AM101" s="142"/>
      <c r="AN101" s="134" t="str">
        <f t="shared" si="15"/>
        <v/>
      </c>
      <c r="AO101" s="134" t="str">
        <f t="shared" si="16"/>
        <v/>
      </c>
      <c r="AQ101" s="134"/>
      <c r="AR101" s="134"/>
      <c r="AS101" s="181">
        <f t="shared" si="17"/>
        <v>0</v>
      </c>
      <c r="AT101" s="320"/>
      <c r="AU101" s="289"/>
      <c r="AV101" s="289"/>
      <c r="AW101" s="289"/>
      <c r="AX101" s="265"/>
      <c r="AY101" s="290"/>
      <c r="AZ101" s="290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</row>
    <row r="102" spans="1:62" ht="14.25" customHeight="1">
      <c r="A102" s="134" t="str">
        <f t="shared" si="18"/>
        <v/>
      </c>
      <c r="B102" s="160" t="str">
        <f>名簿!P99</f>
        <v/>
      </c>
      <c r="C102" s="160"/>
      <c r="D102" s="793"/>
      <c r="E102" s="180">
        <f>名簿!E99</f>
        <v>0</v>
      </c>
      <c r="F102" s="560" t="str">
        <f>名簿!CM99</f>
        <v/>
      </c>
      <c r="G102" s="160" t="str">
        <f>名簿!Z99</f>
        <v/>
      </c>
      <c r="H102" s="1302" t="str">
        <f>名簿!CM99</f>
        <v/>
      </c>
      <c r="I102" s="185" t="str">
        <f>名簿!Y99</f>
        <v/>
      </c>
      <c r="J102" s="1303" t="str">
        <f>名簿!CN99</f>
        <v/>
      </c>
      <c r="K102" s="1304">
        <f>名簿!CP99</f>
        <v>0</v>
      </c>
      <c r="L102" s="1305" t="str">
        <f>名簿!CU99</f>
        <v>00</v>
      </c>
      <c r="M102" s="160" t="str">
        <f>名簿!Q99</f>
        <v/>
      </c>
      <c r="N102" s="1312">
        <f>名簿!D99</f>
        <v>0</v>
      </c>
      <c r="O102" s="1295"/>
      <c r="P102" s="258" t="str">
        <f>IF(O102="","",IF(I102=1,VLOOKUP(O102,男子種目コード!$A$1:$B$33,2,FALSE),IF(I102=2,VLOOKUP(O102,女子種目コード!$A$1:$B$28,2,FALSE))))</f>
        <v/>
      </c>
      <c r="Q102" s="494" t="str">
        <f>IF(O102="","",HLOOKUP(O102,名簿!$AH$3:$CH$118,97,FALSE))</f>
        <v/>
      </c>
      <c r="R102" s="624" t="str">
        <f t="shared" si="19"/>
        <v/>
      </c>
      <c r="S102" s="625" t="str">
        <f t="shared" si="20"/>
        <v/>
      </c>
      <c r="T102" s="303"/>
      <c r="U102" s="258" t="str">
        <f>IF(T102="","",IF(I102=1,VLOOKUP(T102,男子種目コード!$A$1:$B$33,2,FALSE),IF(I102=2,VLOOKUP(T102,女子種目コード!$A$1:$B$28,2,FALSE))))</f>
        <v/>
      </c>
      <c r="V102" s="494" t="str">
        <f>IF(T102="","",HLOOKUP(T102,名簿!$AH$3:$CH$118,97,FALSE))</f>
        <v/>
      </c>
      <c r="W102" s="624" t="str">
        <f t="shared" si="21"/>
        <v/>
      </c>
      <c r="X102" s="625" t="str">
        <f t="shared" si="22"/>
        <v/>
      </c>
      <c r="Y102" s="816"/>
      <c r="Z102" s="812" t="str">
        <f>IF(Y102="","",IF(I102=1,VLOOKUP(Y102,男子種目コード!$A$1:$B$33,2,FALSE),IF(I102=2,VLOOKUP(Y102,女子種目コード!$A$1:$B$27,2,FALSE))))</f>
        <v/>
      </c>
      <c r="AA102" s="304"/>
      <c r="AB102" s="303"/>
      <c r="AC102" s="517"/>
      <c r="AD102" s="518"/>
      <c r="AE102" s="624" t="str">
        <f t="shared" si="23"/>
        <v/>
      </c>
      <c r="AF102" s="625" t="str">
        <f t="shared" si="24"/>
        <v/>
      </c>
      <c r="AG102" s="519"/>
      <c r="AH102" s="520"/>
      <c r="AI102" s="521"/>
      <c r="AJ102" s="20"/>
      <c r="AK102" s="20"/>
      <c r="AM102" s="142"/>
      <c r="AN102" s="134" t="str">
        <f t="shared" si="15"/>
        <v/>
      </c>
      <c r="AO102" s="134" t="str">
        <f t="shared" si="16"/>
        <v/>
      </c>
      <c r="AQ102" s="134"/>
      <c r="AR102" s="134"/>
      <c r="AS102" s="181">
        <f t="shared" si="17"/>
        <v>0</v>
      </c>
      <c r="AT102" s="320"/>
      <c r="AU102" s="289"/>
      <c r="AV102" s="289"/>
      <c r="AW102" s="289"/>
      <c r="AX102" s="265"/>
      <c r="AY102" s="290"/>
      <c r="AZ102" s="290"/>
      <c r="BA102" s="265"/>
      <c r="BB102" s="265"/>
      <c r="BC102" s="265"/>
      <c r="BD102" s="265"/>
      <c r="BE102" s="265"/>
      <c r="BF102" s="265"/>
      <c r="BG102" s="265"/>
      <c r="BH102" s="265"/>
      <c r="BI102" s="265"/>
      <c r="BJ102" s="265"/>
    </row>
    <row r="103" spans="1:62" ht="14.25" customHeight="1">
      <c r="A103" s="134" t="str">
        <f t="shared" si="18"/>
        <v/>
      </c>
      <c r="B103" s="160" t="str">
        <f>名簿!P100</f>
        <v/>
      </c>
      <c r="C103" s="160"/>
      <c r="D103" s="793"/>
      <c r="E103" s="180">
        <f>名簿!E100</f>
        <v>0</v>
      </c>
      <c r="F103" s="560" t="str">
        <f>名簿!CM100</f>
        <v/>
      </c>
      <c r="G103" s="160" t="str">
        <f>名簿!Z100</f>
        <v/>
      </c>
      <c r="H103" s="1302" t="str">
        <f>名簿!CM100</f>
        <v/>
      </c>
      <c r="I103" s="185" t="str">
        <f>名簿!Y100</f>
        <v/>
      </c>
      <c r="J103" s="1303" t="str">
        <f>名簿!CN100</f>
        <v/>
      </c>
      <c r="K103" s="1304">
        <f>名簿!CP100</f>
        <v>0</v>
      </c>
      <c r="L103" s="1305" t="str">
        <f>名簿!CU100</f>
        <v>00</v>
      </c>
      <c r="M103" s="160" t="str">
        <f>名簿!Q100</f>
        <v/>
      </c>
      <c r="N103" s="1312">
        <f>名簿!D100</f>
        <v>0</v>
      </c>
      <c r="O103" s="1295"/>
      <c r="P103" s="258" t="str">
        <f>IF(O103="","",IF(I103=1,VLOOKUP(O103,男子種目コード!$A$1:$B$33,2,FALSE),IF(I103=2,VLOOKUP(O103,女子種目コード!$A$1:$B$28,2,FALSE))))</f>
        <v/>
      </c>
      <c r="Q103" s="494" t="str">
        <f>IF(O103="","",HLOOKUP(O103,名簿!$AH$3:$CH$118,98,FALSE))</f>
        <v/>
      </c>
      <c r="R103" s="624" t="str">
        <f t="shared" si="19"/>
        <v/>
      </c>
      <c r="S103" s="625" t="str">
        <f t="shared" si="20"/>
        <v/>
      </c>
      <c r="T103" s="303"/>
      <c r="U103" s="258" t="str">
        <f>IF(T103="","",IF(I103=1,VLOOKUP(T103,男子種目コード!$A$1:$B$33,2,FALSE),IF(I103=2,VLOOKUP(T103,女子種目コード!$A$1:$B$28,2,FALSE))))</f>
        <v/>
      </c>
      <c r="V103" s="494" t="str">
        <f>IF(T103="","",HLOOKUP(T103,名簿!$AH$3:$CH$118,98,FALSE))</f>
        <v/>
      </c>
      <c r="W103" s="624" t="str">
        <f t="shared" si="21"/>
        <v/>
      </c>
      <c r="X103" s="625" t="str">
        <f t="shared" si="22"/>
        <v/>
      </c>
      <c r="Y103" s="816"/>
      <c r="Z103" s="812" t="str">
        <f>IF(Y103="","",IF(I103=1,VLOOKUP(Y103,男子種目コード!$A$1:$B$33,2,FALSE),IF(I103=2,VLOOKUP(Y103,女子種目コード!$A$1:$B$27,2,FALSE))))</f>
        <v/>
      </c>
      <c r="AA103" s="304"/>
      <c r="AB103" s="303"/>
      <c r="AC103" s="517"/>
      <c r="AD103" s="518"/>
      <c r="AE103" s="624" t="str">
        <f t="shared" si="23"/>
        <v/>
      </c>
      <c r="AF103" s="625" t="str">
        <f t="shared" si="24"/>
        <v/>
      </c>
      <c r="AG103" s="519"/>
      <c r="AH103" s="520"/>
      <c r="AI103" s="521"/>
      <c r="AJ103" s="20"/>
      <c r="AK103" s="20"/>
      <c r="AM103" s="142"/>
      <c r="AN103" s="134" t="str">
        <f t="shared" ref="AN103:AN116" si="25">IF(O103="","",1)</f>
        <v/>
      </c>
      <c r="AO103" s="134" t="str">
        <f t="shared" ref="AO103:AO116" si="26">IF(T103="","",1)</f>
        <v/>
      </c>
      <c r="AQ103" s="134"/>
      <c r="AR103" s="134"/>
      <c r="AS103" s="181">
        <f t="shared" ref="AS103:AS116" si="27">E103</f>
        <v>0</v>
      </c>
      <c r="AT103" s="320"/>
      <c r="AU103" s="289"/>
      <c r="AV103" s="289"/>
      <c r="AW103" s="289"/>
      <c r="AX103" s="265"/>
      <c r="AY103" s="290"/>
      <c r="AZ103" s="290"/>
      <c r="BA103" s="265"/>
      <c r="BB103" s="265"/>
      <c r="BC103" s="265"/>
      <c r="BD103" s="265"/>
      <c r="BE103" s="265"/>
      <c r="BF103" s="265"/>
      <c r="BG103" s="265"/>
      <c r="BH103" s="265"/>
      <c r="BI103" s="265"/>
      <c r="BJ103" s="265"/>
    </row>
    <row r="104" spans="1:62" ht="14.25" customHeight="1">
      <c r="A104" s="134" t="str">
        <f t="shared" si="18"/>
        <v/>
      </c>
      <c r="B104" s="160" t="str">
        <f>名簿!P101</f>
        <v/>
      </c>
      <c r="C104" s="160"/>
      <c r="D104" s="793"/>
      <c r="E104" s="180">
        <f>名簿!E101</f>
        <v>0</v>
      </c>
      <c r="F104" s="560" t="str">
        <f>名簿!CM101</f>
        <v/>
      </c>
      <c r="G104" s="160" t="str">
        <f>名簿!Z101</f>
        <v/>
      </c>
      <c r="H104" s="1302" t="str">
        <f>名簿!CM101</f>
        <v/>
      </c>
      <c r="I104" s="185" t="str">
        <f>名簿!Y101</f>
        <v/>
      </c>
      <c r="J104" s="1303" t="str">
        <f>名簿!CN101</f>
        <v/>
      </c>
      <c r="K104" s="1304">
        <f>名簿!CP101</f>
        <v>0</v>
      </c>
      <c r="L104" s="1305" t="str">
        <f>名簿!CU101</f>
        <v>00</v>
      </c>
      <c r="M104" s="160" t="str">
        <f>名簿!Q101</f>
        <v/>
      </c>
      <c r="N104" s="1312">
        <f>名簿!D101</f>
        <v>0</v>
      </c>
      <c r="O104" s="1295"/>
      <c r="P104" s="258" t="str">
        <f>IF(O104="","",IF(I104=1,VLOOKUP(O104,男子種目コード!$A$1:$B$33,2,FALSE),IF(I104=2,VLOOKUP(O104,女子種目コード!$A$1:$B$28,2,FALSE))))</f>
        <v/>
      </c>
      <c r="Q104" s="494" t="str">
        <f>IF(O104="","",HLOOKUP(O104,名簿!$AH$3:$CH$118,99,FALSE))</f>
        <v/>
      </c>
      <c r="R104" s="624" t="str">
        <f t="shared" si="19"/>
        <v/>
      </c>
      <c r="S104" s="625" t="str">
        <f t="shared" si="20"/>
        <v/>
      </c>
      <c r="T104" s="303"/>
      <c r="U104" s="258" t="str">
        <f>IF(T104="","",IF(I104=1,VLOOKUP(T104,男子種目コード!$A$1:$B$33,2,FALSE),IF(I104=2,VLOOKUP(T104,女子種目コード!$A$1:$B$28,2,FALSE))))</f>
        <v/>
      </c>
      <c r="V104" s="494" t="str">
        <f>IF(T104="","",HLOOKUP(T104,名簿!$AH$3:$CH$118,99,FALSE))</f>
        <v/>
      </c>
      <c r="W104" s="624" t="str">
        <f t="shared" si="21"/>
        <v/>
      </c>
      <c r="X104" s="625" t="str">
        <f t="shared" si="22"/>
        <v/>
      </c>
      <c r="Y104" s="816"/>
      <c r="Z104" s="812" t="str">
        <f>IF(Y104="","",IF(I104=1,VLOOKUP(Y104,男子種目コード!$A$1:$B$33,2,FALSE),IF(I104=2,VLOOKUP(Y104,女子種目コード!$A$1:$B$27,2,FALSE))))</f>
        <v/>
      </c>
      <c r="AA104" s="304"/>
      <c r="AB104" s="303"/>
      <c r="AC104" s="517"/>
      <c r="AD104" s="518"/>
      <c r="AE104" s="624" t="str">
        <f t="shared" si="23"/>
        <v/>
      </c>
      <c r="AF104" s="625" t="str">
        <f t="shared" si="24"/>
        <v/>
      </c>
      <c r="AG104" s="519"/>
      <c r="AH104" s="520"/>
      <c r="AI104" s="521"/>
      <c r="AJ104" s="20"/>
      <c r="AK104" s="20"/>
      <c r="AM104" s="142"/>
      <c r="AN104" s="134" t="str">
        <f t="shared" si="25"/>
        <v/>
      </c>
      <c r="AO104" s="134" t="str">
        <f t="shared" si="26"/>
        <v/>
      </c>
      <c r="AQ104" s="134"/>
      <c r="AR104" s="134"/>
      <c r="AS104" s="181">
        <f t="shared" si="27"/>
        <v>0</v>
      </c>
      <c r="AT104" s="320"/>
      <c r="AU104" s="289"/>
      <c r="AV104" s="289"/>
      <c r="AW104" s="289"/>
      <c r="AX104" s="265"/>
      <c r="AY104" s="290"/>
      <c r="AZ104" s="290"/>
      <c r="BA104" s="265"/>
      <c r="BB104" s="265"/>
      <c r="BC104" s="265"/>
      <c r="BD104" s="265"/>
      <c r="BE104" s="265"/>
      <c r="BF104" s="265"/>
      <c r="BG104" s="265"/>
      <c r="BH104" s="265"/>
      <c r="BI104" s="265"/>
      <c r="BJ104" s="265"/>
    </row>
    <row r="105" spans="1:62" ht="14.25" customHeight="1">
      <c r="A105" s="134" t="str">
        <f t="shared" si="18"/>
        <v/>
      </c>
      <c r="B105" s="160" t="str">
        <f>名簿!P102</f>
        <v/>
      </c>
      <c r="C105" s="160"/>
      <c r="D105" s="793"/>
      <c r="E105" s="180">
        <f>名簿!E102</f>
        <v>0</v>
      </c>
      <c r="F105" s="560" t="str">
        <f>名簿!CM102</f>
        <v/>
      </c>
      <c r="G105" s="160" t="str">
        <f>名簿!Z102</f>
        <v/>
      </c>
      <c r="H105" s="1302" t="str">
        <f>名簿!CM102</f>
        <v/>
      </c>
      <c r="I105" s="185" t="str">
        <f>名簿!Y102</f>
        <v/>
      </c>
      <c r="J105" s="1303" t="str">
        <f>名簿!CN102</f>
        <v/>
      </c>
      <c r="K105" s="1304">
        <f>名簿!CP102</f>
        <v>0</v>
      </c>
      <c r="L105" s="1305" t="str">
        <f>名簿!CU102</f>
        <v>00</v>
      </c>
      <c r="M105" s="160" t="str">
        <f>名簿!Q102</f>
        <v/>
      </c>
      <c r="N105" s="1312">
        <f>名簿!D102</f>
        <v>0</v>
      </c>
      <c r="O105" s="1295"/>
      <c r="P105" s="258" t="str">
        <f>IF(O105="","",IF(I105=1,VLOOKUP(O105,男子種目コード!$A$1:$B$33,2,FALSE),IF(I105=2,VLOOKUP(O105,女子種目コード!$A$1:$B$28,2,FALSE))))</f>
        <v/>
      </c>
      <c r="Q105" s="494" t="str">
        <f>IF(O105="","",HLOOKUP(O105,名簿!$AH$3:$CH$118,100,FALSE))</f>
        <v/>
      </c>
      <c r="R105" s="624" t="str">
        <f t="shared" si="19"/>
        <v/>
      </c>
      <c r="S105" s="625" t="str">
        <f t="shared" si="20"/>
        <v/>
      </c>
      <c r="T105" s="303"/>
      <c r="U105" s="258" t="str">
        <f>IF(T105="","",IF(I105=1,VLOOKUP(T105,男子種目コード!$A$1:$B$33,2,FALSE),IF(I105=2,VLOOKUP(T105,女子種目コード!$A$1:$B$28,2,FALSE))))</f>
        <v/>
      </c>
      <c r="V105" s="494" t="str">
        <f>IF(T105="","",HLOOKUP(T105,名簿!$AH$3:$CH$118,100,FALSE))</f>
        <v/>
      </c>
      <c r="W105" s="624" t="str">
        <f t="shared" si="21"/>
        <v/>
      </c>
      <c r="X105" s="625" t="str">
        <f t="shared" si="22"/>
        <v/>
      </c>
      <c r="Y105" s="816"/>
      <c r="Z105" s="812" t="str">
        <f>IF(Y105="","",IF(I105=1,VLOOKUP(Y105,男子種目コード!$A$1:$B$33,2,FALSE),IF(I105=2,VLOOKUP(Y105,女子種目コード!$A$1:$B$27,2,FALSE))))</f>
        <v/>
      </c>
      <c r="AA105" s="304"/>
      <c r="AB105" s="303"/>
      <c r="AC105" s="517"/>
      <c r="AD105" s="518"/>
      <c r="AE105" s="624" t="str">
        <f t="shared" si="23"/>
        <v/>
      </c>
      <c r="AF105" s="625" t="str">
        <f t="shared" si="24"/>
        <v/>
      </c>
      <c r="AG105" s="519"/>
      <c r="AH105" s="520"/>
      <c r="AI105" s="521"/>
      <c r="AJ105" s="20"/>
      <c r="AK105" s="20"/>
      <c r="AM105" s="142"/>
      <c r="AN105" s="134" t="str">
        <f t="shared" si="25"/>
        <v/>
      </c>
      <c r="AO105" s="134" t="str">
        <f t="shared" si="26"/>
        <v/>
      </c>
      <c r="AQ105" s="134"/>
      <c r="AR105" s="134"/>
      <c r="AS105" s="181">
        <f t="shared" si="27"/>
        <v>0</v>
      </c>
      <c r="AT105" s="320"/>
      <c r="AU105" s="289"/>
      <c r="AV105" s="289"/>
      <c r="AW105" s="289"/>
      <c r="AX105" s="265"/>
      <c r="AY105" s="290"/>
      <c r="AZ105" s="290"/>
      <c r="BA105" s="265"/>
      <c r="BB105" s="265"/>
      <c r="BC105" s="265"/>
      <c r="BD105" s="265"/>
      <c r="BE105" s="265"/>
      <c r="BF105" s="265"/>
      <c r="BG105" s="265"/>
      <c r="BH105" s="265"/>
      <c r="BI105" s="265"/>
      <c r="BJ105" s="265"/>
    </row>
    <row r="106" spans="1:62" ht="14.25" customHeight="1">
      <c r="A106" s="134" t="str">
        <f t="shared" si="18"/>
        <v/>
      </c>
      <c r="B106" s="160" t="str">
        <f>名簿!P103</f>
        <v/>
      </c>
      <c r="C106" s="160"/>
      <c r="D106" s="793"/>
      <c r="E106" s="180">
        <f>名簿!E103</f>
        <v>0</v>
      </c>
      <c r="F106" s="560" t="str">
        <f>名簿!CM103</f>
        <v/>
      </c>
      <c r="G106" s="160" t="str">
        <f>名簿!Z103</f>
        <v/>
      </c>
      <c r="H106" s="1302" t="str">
        <f>名簿!CM103</f>
        <v/>
      </c>
      <c r="I106" s="185" t="str">
        <f>名簿!Y103</f>
        <v/>
      </c>
      <c r="J106" s="1303" t="str">
        <f>名簿!CN103</f>
        <v/>
      </c>
      <c r="K106" s="1304">
        <f>名簿!CP103</f>
        <v>0</v>
      </c>
      <c r="L106" s="1305" t="str">
        <f>名簿!CU103</f>
        <v>00</v>
      </c>
      <c r="M106" s="160" t="str">
        <f>名簿!Q103</f>
        <v/>
      </c>
      <c r="N106" s="1312">
        <f>名簿!D103</f>
        <v>0</v>
      </c>
      <c r="O106" s="1295"/>
      <c r="P106" s="258" t="str">
        <f>IF(O106="","",IF(I106=1,VLOOKUP(O106,男子種目コード!$A$1:$B$33,2,FALSE),IF(I106=2,VLOOKUP(O106,女子種目コード!$A$1:$B$28,2,FALSE))))</f>
        <v/>
      </c>
      <c r="Q106" s="494" t="str">
        <f>IF(O106="","",HLOOKUP(O106,名簿!$AH$3:$CH$118,101,FALSE))</f>
        <v/>
      </c>
      <c r="R106" s="624" t="str">
        <f t="shared" si="19"/>
        <v/>
      </c>
      <c r="S106" s="625" t="str">
        <f t="shared" si="20"/>
        <v/>
      </c>
      <c r="T106" s="303"/>
      <c r="U106" s="258" t="str">
        <f>IF(T106="","",IF(I106=1,VLOOKUP(T106,男子種目コード!$A$1:$B$33,2,FALSE),IF(I106=2,VLOOKUP(T106,女子種目コード!$A$1:$B$28,2,FALSE))))</f>
        <v/>
      </c>
      <c r="V106" s="494" t="str">
        <f>IF(T106="","",HLOOKUP(T106,名簿!$AH$3:$CH$118,101,FALSE))</f>
        <v/>
      </c>
      <c r="W106" s="624" t="str">
        <f t="shared" si="21"/>
        <v/>
      </c>
      <c r="X106" s="625" t="str">
        <f t="shared" si="22"/>
        <v/>
      </c>
      <c r="Y106" s="816"/>
      <c r="Z106" s="812" t="str">
        <f>IF(Y106="","",IF(I106=1,VLOOKUP(Y106,男子種目コード!$A$1:$B$33,2,FALSE),IF(I106=2,VLOOKUP(Y106,女子種目コード!$A$1:$B$27,2,FALSE))))</f>
        <v/>
      </c>
      <c r="AA106" s="304"/>
      <c r="AB106" s="303"/>
      <c r="AC106" s="517"/>
      <c r="AD106" s="518"/>
      <c r="AE106" s="624" t="str">
        <f t="shared" si="23"/>
        <v/>
      </c>
      <c r="AF106" s="625" t="str">
        <f t="shared" si="24"/>
        <v/>
      </c>
      <c r="AG106" s="519"/>
      <c r="AH106" s="520"/>
      <c r="AI106" s="521"/>
      <c r="AJ106" s="20"/>
      <c r="AK106" s="20"/>
      <c r="AM106" s="142"/>
      <c r="AN106" s="134" t="str">
        <f t="shared" si="25"/>
        <v/>
      </c>
      <c r="AO106" s="134" t="str">
        <f t="shared" si="26"/>
        <v/>
      </c>
      <c r="AQ106" s="134"/>
      <c r="AR106" s="134"/>
      <c r="AS106" s="181">
        <f t="shared" si="27"/>
        <v>0</v>
      </c>
      <c r="AT106" s="320"/>
      <c r="AU106" s="289"/>
      <c r="AV106" s="289"/>
      <c r="AW106" s="289"/>
      <c r="AX106" s="265"/>
      <c r="AY106" s="290"/>
      <c r="AZ106" s="290"/>
      <c r="BA106" s="265"/>
      <c r="BB106" s="265"/>
      <c r="BC106" s="265"/>
      <c r="BD106" s="265"/>
      <c r="BE106" s="265"/>
      <c r="BF106" s="265"/>
      <c r="BG106" s="265"/>
      <c r="BH106" s="265"/>
      <c r="BI106" s="265"/>
      <c r="BJ106" s="265"/>
    </row>
    <row r="107" spans="1:62" ht="14.25" customHeight="1">
      <c r="A107" s="134" t="str">
        <f t="shared" si="18"/>
        <v/>
      </c>
      <c r="B107" s="160" t="str">
        <f>名簿!P104</f>
        <v/>
      </c>
      <c r="C107" s="160"/>
      <c r="D107" s="793"/>
      <c r="E107" s="180">
        <f>名簿!E104</f>
        <v>0</v>
      </c>
      <c r="F107" s="560" t="str">
        <f>名簿!CM104</f>
        <v/>
      </c>
      <c r="G107" s="160" t="str">
        <f>名簿!Z104</f>
        <v/>
      </c>
      <c r="H107" s="1302" t="str">
        <f>名簿!CM104</f>
        <v/>
      </c>
      <c r="I107" s="185" t="str">
        <f>名簿!Y104</f>
        <v/>
      </c>
      <c r="J107" s="1303" t="str">
        <f>名簿!CN104</f>
        <v/>
      </c>
      <c r="K107" s="1304">
        <f>名簿!CP104</f>
        <v>0</v>
      </c>
      <c r="L107" s="1305" t="str">
        <f>名簿!CU104</f>
        <v>00</v>
      </c>
      <c r="M107" s="160" t="str">
        <f>名簿!Q104</f>
        <v/>
      </c>
      <c r="N107" s="1312">
        <f>名簿!D104</f>
        <v>0</v>
      </c>
      <c r="O107" s="1295"/>
      <c r="P107" s="258" t="str">
        <f>IF(O107="","",IF(I107=1,VLOOKUP(O107,男子種目コード!$A$1:$B$33,2,FALSE),IF(I107=2,VLOOKUP(O107,女子種目コード!$A$1:$B$28,2,FALSE))))</f>
        <v/>
      </c>
      <c r="Q107" s="494" t="str">
        <f>IF(O107="","",HLOOKUP(O107,名簿!$AH$3:$CH$118,102,FALSE))</f>
        <v/>
      </c>
      <c r="R107" s="624" t="str">
        <f t="shared" si="19"/>
        <v/>
      </c>
      <c r="S107" s="625" t="str">
        <f t="shared" si="20"/>
        <v/>
      </c>
      <c r="T107" s="303"/>
      <c r="U107" s="258" t="str">
        <f>IF(T107="","",IF(I107=1,VLOOKUP(T107,男子種目コード!$A$1:$B$33,2,FALSE),IF(I107=2,VLOOKUP(T107,女子種目コード!$A$1:$B$28,2,FALSE))))</f>
        <v/>
      </c>
      <c r="V107" s="494" t="str">
        <f>IF(T107="","",HLOOKUP(T107,名簿!$AH$3:$CH$118,102,FALSE))</f>
        <v/>
      </c>
      <c r="W107" s="624" t="str">
        <f t="shared" si="21"/>
        <v/>
      </c>
      <c r="X107" s="625" t="str">
        <f t="shared" si="22"/>
        <v/>
      </c>
      <c r="Y107" s="816"/>
      <c r="Z107" s="812" t="str">
        <f>IF(Y107="","",IF(I107=1,VLOOKUP(Y107,男子種目コード!$A$1:$B$33,2,FALSE),IF(I107=2,VLOOKUP(Y107,女子種目コード!$A$1:$B$27,2,FALSE))))</f>
        <v/>
      </c>
      <c r="AA107" s="304"/>
      <c r="AB107" s="303"/>
      <c r="AC107" s="517"/>
      <c r="AD107" s="518"/>
      <c r="AE107" s="624" t="str">
        <f t="shared" si="23"/>
        <v/>
      </c>
      <c r="AF107" s="625" t="str">
        <f t="shared" si="24"/>
        <v/>
      </c>
      <c r="AG107" s="519"/>
      <c r="AH107" s="520"/>
      <c r="AI107" s="521"/>
      <c r="AJ107" s="20"/>
      <c r="AK107" s="20"/>
      <c r="AM107" s="142"/>
      <c r="AN107" s="134" t="str">
        <f t="shared" si="25"/>
        <v/>
      </c>
      <c r="AO107" s="134" t="str">
        <f t="shared" si="26"/>
        <v/>
      </c>
      <c r="AQ107" s="134"/>
      <c r="AR107" s="134"/>
      <c r="AS107" s="181">
        <f t="shared" si="27"/>
        <v>0</v>
      </c>
      <c r="AT107" s="320"/>
      <c r="AU107" s="289"/>
      <c r="AV107" s="289"/>
      <c r="AW107" s="289"/>
      <c r="AX107" s="265"/>
      <c r="AY107" s="290"/>
      <c r="AZ107" s="290"/>
      <c r="BA107" s="265"/>
      <c r="BB107" s="265"/>
      <c r="BC107" s="265"/>
      <c r="BD107" s="265"/>
      <c r="BE107" s="265"/>
      <c r="BF107" s="265"/>
      <c r="BG107" s="265"/>
      <c r="BH107" s="265"/>
      <c r="BI107" s="265"/>
      <c r="BJ107" s="265"/>
    </row>
    <row r="108" spans="1:62" ht="14.25" customHeight="1">
      <c r="A108" s="134" t="str">
        <f t="shared" si="18"/>
        <v/>
      </c>
      <c r="B108" s="160" t="str">
        <f>名簿!P105</f>
        <v/>
      </c>
      <c r="C108" s="160"/>
      <c r="D108" s="793"/>
      <c r="E108" s="180">
        <f>名簿!E105</f>
        <v>0</v>
      </c>
      <c r="F108" s="560" t="str">
        <f>名簿!CM105</f>
        <v/>
      </c>
      <c r="G108" s="160" t="str">
        <f>名簿!Z105</f>
        <v/>
      </c>
      <c r="H108" s="1302" t="str">
        <f>名簿!CM105</f>
        <v/>
      </c>
      <c r="I108" s="185" t="str">
        <f>名簿!Y105</f>
        <v/>
      </c>
      <c r="J108" s="1303" t="str">
        <f>名簿!CN105</f>
        <v/>
      </c>
      <c r="K108" s="1304">
        <f>名簿!CP105</f>
        <v>0</v>
      </c>
      <c r="L108" s="1305" t="str">
        <f>名簿!CU105</f>
        <v>00</v>
      </c>
      <c r="M108" s="160" t="str">
        <f>名簿!Q105</f>
        <v/>
      </c>
      <c r="N108" s="1312">
        <f>名簿!D105</f>
        <v>0</v>
      </c>
      <c r="O108" s="1295"/>
      <c r="P108" s="258" t="str">
        <f>IF(O108="","",IF(I108=1,VLOOKUP(O108,男子種目コード!$A$1:$B$33,2,FALSE),IF(I108=2,VLOOKUP(O108,女子種目コード!$A$1:$B$28,2,FALSE))))</f>
        <v/>
      </c>
      <c r="Q108" s="494" t="str">
        <f>IF(O108="","",HLOOKUP(O108,名簿!$AH$3:$CH$118,103,FALSE))</f>
        <v/>
      </c>
      <c r="R108" s="624" t="str">
        <f t="shared" si="19"/>
        <v/>
      </c>
      <c r="S108" s="625" t="str">
        <f t="shared" si="20"/>
        <v/>
      </c>
      <c r="T108" s="303"/>
      <c r="U108" s="258" t="str">
        <f>IF(T108="","",IF(I108=1,VLOOKUP(T108,男子種目コード!$A$1:$B$33,2,FALSE),IF(I108=2,VLOOKUP(T108,女子種目コード!$A$1:$B$28,2,FALSE))))</f>
        <v/>
      </c>
      <c r="V108" s="494" t="str">
        <f>IF(T108="","",HLOOKUP(T108,名簿!$AH$3:$CH$118,103,FALSE))</f>
        <v/>
      </c>
      <c r="W108" s="624" t="str">
        <f t="shared" si="21"/>
        <v/>
      </c>
      <c r="X108" s="625" t="str">
        <f t="shared" si="22"/>
        <v/>
      </c>
      <c r="Y108" s="816"/>
      <c r="Z108" s="812" t="str">
        <f>IF(Y108="","",IF(I108=1,VLOOKUP(Y108,男子種目コード!$A$1:$B$33,2,FALSE),IF(I108=2,VLOOKUP(Y108,女子種目コード!$A$1:$B$27,2,FALSE))))</f>
        <v/>
      </c>
      <c r="AA108" s="304"/>
      <c r="AB108" s="303"/>
      <c r="AC108" s="517"/>
      <c r="AD108" s="518"/>
      <c r="AE108" s="624" t="str">
        <f t="shared" si="23"/>
        <v/>
      </c>
      <c r="AF108" s="625" t="str">
        <f t="shared" si="24"/>
        <v/>
      </c>
      <c r="AG108" s="519"/>
      <c r="AH108" s="520"/>
      <c r="AI108" s="521"/>
      <c r="AJ108" s="20"/>
      <c r="AK108" s="20"/>
      <c r="AM108" s="142"/>
      <c r="AN108" s="134" t="str">
        <f t="shared" si="25"/>
        <v/>
      </c>
      <c r="AO108" s="134" t="str">
        <f t="shared" si="26"/>
        <v/>
      </c>
      <c r="AQ108" s="134"/>
      <c r="AR108" s="134"/>
      <c r="AS108" s="181">
        <f t="shared" si="27"/>
        <v>0</v>
      </c>
      <c r="AT108" s="320"/>
      <c r="AU108" s="289"/>
      <c r="AV108" s="289"/>
      <c r="AW108" s="289"/>
      <c r="AX108" s="265"/>
      <c r="AY108" s="290"/>
      <c r="AZ108" s="290"/>
      <c r="BA108" s="265"/>
      <c r="BB108" s="265"/>
      <c r="BC108" s="265"/>
      <c r="BD108" s="265"/>
      <c r="BE108" s="265"/>
      <c r="BF108" s="265"/>
      <c r="BG108" s="265"/>
      <c r="BH108" s="265"/>
      <c r="BI108" s="265"/>
      <c r="BJ108" s="265"/>
    </row>
    <row r="109" spans="1:62" ht="14.25" customHeight="1">
      <c r="A109" s="134" t="str">
        <f t="shared" si="18"/>
        <v/>
      </c>
      <c r="B109" s="160" t="str">
        <f>名簿!P106</f>
        <v/>
      </c>
      <c r="C109" s="160"/>
      <c r="D109" s="793"/>
      <c r="E109" s="180">
        <f>名簿!E106</f>
        <v>0</v>
      </c>
      <c r="F109" s="560" t="str">
        <f>名簿!CM106</f>
        <v/>
      </c>
      <c r="G109" s="160" t="str">
        <f>名簿!Z106</f>
        <v/>
      </c>
      <c r="H109" s="1302" t="str">
        <f>名簿!CM106</f>
        <v/>
      </c>
      <c r="I109" s="185" t="str">
        <f>名簿!Y106</f>
        <v/>
      </c>
      <c r="J109" s="1303" t="str">
        <f>名簿!CN106</f>
        <v/>
      </c>
      <c r="K109" s="1304">
        <f>名簿!CP106</f>
        <v>0</v>
      </c>
      <c r="L109" s="1305" t="str">
        <f>名簿!CU106</f>
        <v>00</v>
      </c>
      <c r="M109" s="160" t="str">
        <f>名簿!Q106</f>
        <v/>
      </c>
      <c r="N109" s="1312">
        <f>名簿!D106</f>
        <v>0</v>
      </c>
      <c r="O109" s="1295"/>
      <c r="P109" s="258" t="str">
        <f>IF(O109="","",IF(I109=1,VLOOKUP(O109,男子種目コード!$A$1:$B$33,2,FALSE),IF(I109=2,VLOOKUP(O109,女子種目コード!$A$1:$B$28,2,FALSE))))</f>
        <v/>
      </c>
      <c r="Q109" s="494" t="str">
        <f>IF(O109="","",HLOOKUP(O109,名簿!$AH$3:$CH$118,104,FALSE))</f>
        <v/>
      </c>
      <c r="R109" s="624" t="str">
        <f t="shared" si="19"/>
        <v/>
      </c>
      <c r="S109" s="625" t="str">
        <f t="shared" si="20"/>
        <v/>
      </c>
      <c r="T109" s="303"/>
      <c r="U109" s="258" t="str">
        <f>IF(T109="","",IF(I109=1,VLOOKUP(T109,男子種目コード!$A$1:$B$33,2,FALSE),IF(I109=2,VLOOKUP(T109,女子種目コード!$A$1:$B$28,2,FALSE))))</f>
        <v/>
      </c>
      <c r="V109" s="494" t="str">
        <f>IF(T109="","",HLOOKUP(T109,名簿!$AH$3:$CH$118,104,FALSE))</f>
        <v/>
      </c>
      <c r="W109" s="624" t="str">
        <f t="shared" si="21"/>
        <v/>
      </c>
      <c r="X109" s="625" t="str">
        <f t="shared" si="22"/>
        <v/>
      </c>
      <c r="Y109" s="816"/>
      <c r="Z109" s="812" t="str">
        <f>IF(Y109="","",IF(I109=1,VLOOKUP(Y109,男子種目コード!$A$1:$B$33,2,FALSE),IF(I109=2,VLOOKUP(Y109,女子種目コード!$A$1:$B$27,2,FALSE))))</f>
        <v/>
      </c>
      <c r="AA109" s="304"/>
      <c r="AB109" s="303"/>
      <c r="AC109" s="517"/>
      <c r="AD109" s="518"/>
      <c r="AE109" s="624" t="str">
        <f t="shared" si="23"/>
        <v/>
      </c>
      <c r="AF109" s="625" t="str">
        <f t="shared" si="24"/>
        <v/>
      </c>
      <c r="AG109" s="519"/>
      <c r="AH109" s="520"/>
      <c r="AI109" s="521"/>
      <c r="AJ109" s="20"/>
      <c r="AK109" s="20"/>
      <c r="AM109" s="142"/>
      <c r="AN109" s="134" t="str">
        <f t="shared" si="25"/>
        <v/>
      </c>
      <c r="AO109" s="134" t="str">
        <f t="shared" si="26"/>
        <v/>
      </c>
      <c r="AQ109" s="134"/>
      <c r="AR109" s="134"/>
      <c r="AS109" s="181">
        <f t="shared" si="27"/>
        <v>0</v>
      </c>
      <c r="AT109" s="320"/>
      <c r="AU109" s="289"/>
      <c r="AV109" s="289"/>
      <c r="AW109" s="289"/>
      <c r="AX109" s="265"/>
      <c r="AY109" s="290"/>
      <c r="AZ109" s="290"/>
      <c r="BA109" s="265"/>
      <c r="BB109" s="265"/>
      <c r="BC109" s="265"/>
      <c r="BD109" s="265"/>
      <c r="BE109" s="265"/>
      <c r="BF109" s="265"/>
      <c r="BG109" s="265"/>
      <c r="BH109" s="265"/>
      <c r="BI109" s="265"/>
      <c r="BJ109" s="265"/>
    </row>
    <row r="110" spans="1:62" ht="14.25" customHeight="1">
      <c r="A110" s="134" t="str">
        <f t="shared" si="18"/>
        <v/>
      </c>
      <c r="B110" s="160" t="str">
        <f>名簿!P107</f>
        <v/>
      </c>
      <c r="C110" s="160"/>
      <c r="D110" s="793"/>
      <c r="E110" s="180">
        <f>名簿!E107</f>
        <v>0</v>
      </c>
      <c r="F110" s="560" t="str">
        <f>名簿!CM107</f>
        <v/>
      </c>
      <c r="G110" s="160" t="str">
        <f>名簿!Z107</f>
        <v/>
      </c>
      <c r="H110" s="1302" t="str">
        <f>名簿!CM107</f>
        <v/>
      </c>
      <c r="I110" s="185" t="str">
        <f>名簿!Y107</f>
        <v/>
      </c>
      <c r="J110" s="1303" t="str">
        <f>名簿!CN107</f>
        <v/>
      </c>
      <c r="K110" s="1304">
        <f>名簿!CP107</f>
        <v>0</v>
      </c>
      <c r="L110" s="1305" t="str">
        <f>名簿!CU107</f>
        <v>00</v>
      </c>
      <c r="M110" s="160" t="str">
        <f>名簿!Q107</f>
        <v/>
      </c>
      <c r="N110" s="1312">
        <f>名簿!D107</f>
        <v>0</v>
      </c>
      <c r="O110" s="1295"/>
      <c r="P110" s="258" t="str">
        <f>IF(O110="","",IF(I110=1,VLOOKUP(O110,男子種目コード!$A$1:$B$33,2,FALSE),IF(I110=2,VLOOKUP(O110,女子種目コード!$A$1:$B$28,2,FALSE))))</f>
        <v/>
      </c>
      <c r="Q110" s="494" t="str">
        <f>IF(O110="","",HLOOKUP(O110,名簿!$AH$3:$CH$118,105,FALSE))</f>
        <v/>
      </c>
      <c r="R110" s="624" t="str">
        <f t="shared" si="19"/>
        <v/>
      </c>
      <c r="S110" s="625" t="str">
        <f t="shared" si="20"/>
        <v/>
      </c>
      <c r="T110" s="303"/>
      <c r="U110" s="258" t="str">
        <f>IF(T110="","",IF(I110=1,VLOOKUP(T110,男子種目コード!$A$1:$B$33,2,FALSE),IF(I110=2,VLOOKUP(T110,女子種目コード!$A$1:$B$28,2,FALSE))))</f>
        <v/>
      </c>
      <c r="V110" s="494" t="str">
        <f>IF(T110="","",HLOOKUP(T110,名簿!$AH$3:$CH$118,105,FALSE))</f>
        <v/>
      </c>
      <c r="W110" s="624" t="str">
        <f t="shared" si="21"/>
        <v/>
      </c>
      <c r="X110" s="625" t="str">
        <f t="shared" si="22"/>
        <v/>
      </c>
      <c r="Y110" s="816"/>
      <c r="Z110" s="812" t="str">
        <f>IF(Y110="","",IF(I110=1,VLOOKUP(Y110,男子種目コード!$A$1:$B$33,2,FALSE),IF(I110=2,VLOOKUP(Y110,女子種目コード!$A$1:$B$27,2,FALSE))))</f>
        <v/>
      </c>
      <c r="AA110" s="304"/>
      <c r="AB110" s="303"/>
      <c r="AC110" s="517"/>
      <c r="AD110" s="518"/>
      <c r="AE110" s="624" t="str">
        <f t="shared" si="23"/>
        <v/>
      </c>
      <c r="AF110" s="625" t="str">
        <f t="shared" si="24"/>
        <v/>
      </c>
      <c r="AG110" s="519"/>
      <c r="AH110" s="520"/>
      <c r="AI110" s="521"/>
      <c r="AJ110" s="20"/>
      <c r="AK110" s="20"/>
      <c r="AM110" s="142"/>
      <c r="AN110" s="134" t="str">
        <f t="shared" si="25"/>
        <v/>
      </c>
      <c r="AO110" s="134" t="str">
        <f t="shared" si="26"/>
        <v/>
      </c>
      <c r="AQ110" s="134"/>
      <c r="AR110" s="134"/>
      <c r="AS110" s="181">
        <f t="shared" si="27"/>
        <v>0</v>
      </c>
      <c r="AT110" s="320"/>
      <c r="AU110" s="289"/>
      <c r="AV110" s="265"/>
      <c r="AW110" s="265"/>
      <c r="AX110" s="265"/>
      <c r="AY110" s="290"/>
      <c r="AZ110" s="290"/>
      <c r="BA110" s="265"/>
      <c r="BB110" s="265"/>
      <c r="BC110" s="265"/>
      <c r="BD110" s="265"/>
      <c r="BE110" s="265"/>
      <c r="BF110" s="265"/>
      <c r="BG110" s="265"/>
      <c r="BH110" s="265"/>
      <c r="BI110" s="265"/>
      <c r="BJ110" s="265"/>
    </row>
    <row r="111" spans="1:62" ht="14.25" customHeight="1">
      <c r="A111" s="134" t="str">
        <f t="shared" si="18"/>
        <v/>
      </c>
      <c r="B111" s="160" t="str">
        <f>名簿!P108</f>
        <v/>
      </c>
      <c r="C111" s="160"/>
      <c r="D111" s="793"/>
      <c r="E111" s="180">
        <f>名簿!E108</f>
        <v>0</v>
      </c>
      <c r="F111" s="560" t="str">
        <f>名簿!CM108</f>
        <v/>
      </c>
      <c r="G111" s="160" t="str">
        <f>名簿!Z108</f>
        <v/>
      </c>
      <c r="H111" s="1302" t="str">
        <f>名簿!CM108</f>
        <v/>
      </c>
      <c r="I111" s="185" t="str">
        <f>名簿!Y108</f>
        <v/>
      </c>
      <c r="J111" s="1303" t="str">
        <f>名簿!CN108</f>
        <v/>
      </c>
      <c r="K111" s="1304">
        <f>名簿!CP108</f>
        <v>0</v>
      </c>
      <c r="L111" s="1305" t="str">
        <f>名簿!CU108</f>
        <v>00</v>
      </c>
      <c r="M111" s="160" t="str">
        <f>名簿!Q108</f>
        <v/>
      </c>
      <c r="N111" s="1312">
        <f>名簿!D108</f>
        <v>0</v>
      </c>
      <c r="O111" s="1295"/>
      <c r="P111" s="258" t="str">
        <f>IF(O111="","",IF(I111=1,VLOOKUP(O111,男子種目コード!$A$1:$B$33,2,FALSE),IF(I111=2,VLOOKUP(O111,女子種目コード!$A$1:$B$28,2,FALSE))))</f>
        <v/>
      </c>
      <c r="Q111" s="494" t="str">
        <f>IF(O111="","",HLOOKUP(O111,名簿!$AH$3:$CH$118,106,FALSE))</f>
        <v/>
      </c>
      <c r="R111" s="624" t="str">
        <f t="shared" si="19"/>
        <v/>
      </c>
      <c r="S111" s="625" t="str">
        <f t="shared" si="20"/>
        <v/>
      </c>
      <c r="T111" s="303"/>
      <c r="U111" s="258" t="str">
        <f>IF(T111="","",IF(I111=1,VLOOKUP(T111,男子種目コード!$A$1:$B$33,2,FALSE),IF(I111=2,VLOOKUP(T111,女子種目コード!$A$1:$B$28,2,FALSE))))</f>
        <v/>
      </c>
      <c r="V111" s="494" t="str">
        <f>IF(T111="","",HLOOKUP(T111,名簿!$AH$3:$CH$118,106,FALSE))</f>
        <v/>
      </c>
      <c r="W111" s="624" t="str">
        <f t="shared" si="21"/>
        <v/>
      </c>
      <c r="X111" s="625" t="str">
        <f t="shared" si="22"/>
        <v/>
      </c>
      <c r="Y111" s="816"/>
      <c r="Z111" s="812" t="str">
        <f>IF(Y111="","",IF(I111=1,VLOOKUP(Y111,男子種目コード!$A$1:$B$33,2,FALSE),IF(I111=2,VLOOKUP(Y111,女子種目コード!$A$1:$B$27,2,FALSE))))</f>
        <v/>
      </c>
      <c r="AA111" s="304"/>
      <c r="AB111" s="303"/>
      <c r="AC111" s="517"/>
      <c r="AD111" s="518"/>
      <c r="AE111" s="624" t="str">
        <f t="shared" si="23"/>
        <v/>
      </c>
      <c r="AF111" s="625" t="str">
        <f t="shared" si="24"/>
        <v/>
      </c>
      <c r="AG111" s="519"/>
      <c r="AH111" s="520"/>
      <c r="AI111" s="521"/>
      <c r="AJ111" s="20"/>
      <c r="AK111" s="20"/>
      <c r="AM111" s="142"/>
      <c r="AN111" s="134" t="str">
        <f t="shared" si="25"/>
        <v/>
      </c>
      <c r="AO111" s="134" t="str">
        <f t="shared" si="26"/>
        <v/>
      </c>
      <c r="AQ111" s="134"/>
      <c r="AR111" s="134"/>
      <c r="AS111" s="181">
        <f t="shared" si="27"/>
        <v>0</v>
      </c>
      <c r="AT111" s="320"/>
      <c r="AU111" s="289"/>
      <c r="AV111" s="265"/>
      <c r="AW111" s="265"/>
      <c r="AX111" s="265"/>
      <c r="AY111" s="290"/>
      <c r="AZ111" s="290"/>
      <c r="BA111" s="265"/>
      <c r="BB111" s="265"/>
      <c r="BC111" s="265"/>
      <c r="BD111" s="265"/>
      <c r="BE111" s="265"/>
      <c r="BF111" s="265"/>
      <c r="BG111" s="265"/>
      <c r="BH111" s="265"/>
      <c r="BI111" s="265"/>
      <c r="BJ111" s="265"/>
    </row>
    <row r="112" spans="1:62" ht="14.25" customHeight="1">
      <c r="A112" s="134" t="str">
        <f t="shared" si="18"/>
        <v/>
      </c>
      <c r="B112" s="160" t="str">
        <f>名簿!P109</f>
        <v/>
      </c>
      <c r="C112" s="160"/>
      <c r="D112" s="793"/>
      <c r="E112" s="180">
        <f>名簿!E109</f>
        <v>0</v>
      </c>
      <c r="F112" s="560" t="str">
        <f>名簿!CM109</f>
        <v/>
      </c>
      <c r="G112" s="160" t="str">
        <f>名簿!Z109</f>
        <v/>
      </c>
      <c r="H112" s="1302" t="str">
        <f>名簿!CM109</f>
        <v/>
      </c>
      <c r="I112" s="185" t="str">
        <f>名簿!Y109</f>
        <v/>
      </c>
      <c r="J112" s="1303" t="str">
        <f>名簿!CN109</f>
        <v/>
      </c>
      <c r="K112" s="1304">
        <f>名簿!CP109</f>
        <v>0</v>
      </c>
      <c r="L112" s="1305" t="str">
        <f>名簿!CU109</f>
        <v>00</v>
      </c>
      <c r="M112" s="160" t="str">
        <f>名簿!Q109</f>
        <v/>
      </c>
      <c r="N112" s="1312">
        <f>名簿!D109</f>
        <v>0</v>
      </c>
      <c r="O112" s="1295"/>
      <c r="P112" s="258" t="str">
        <f>IF(O112="","",IF(I112=1,VLOOKUP(O112,男子種目コード!$A$1:$B$33,2,FALSE),IF(I112=2,VLOOKUP(O112,女子種目コード!$A$1:$B$28,2,FALSE))))</f>
        <v/>
      </c>
      <c r="Q112" s="494" t="str">
        <f>IF(O112="","",HLOOKUP(O112,名簿!$AH$3:$CH$118,107,FALSE))</f>
        <v/>
      </c>
      <c r="R112" s="624" t="str">
        <f t="shared" si="19"/>
        <v/>
      </c>
      <c r="S112" s="625" t="str">
        <f t="shared" si="20"/>
        <v/>
      </c>
      <c r="T112" s="303"/>
      <c r="U112" s="258" t="str">
        <f>IF(T112="","",IF(I112=1,VLOOKUP(T112,男子種目コード!$A$1:$B$33,2,FALSE),IF(I112=2,VLOOKUP(T112,女子種目コード!$A$1:$B$28,2,FALSE))))</f>
        <v/>
      </c>
      <c r="V112" s="494" t="str">
        <f>IF(T112="","",HLOOKUP(T112,名簿!$AH$3:$CH$118,107,FALSE))</f>
        <v/>
      </c>
      <c r="W112" s="624" t="str">
        <f t="shared" si="21"/>
        <v/>
      </c>
      <c r="X112" s="625" t="str">
        <f t="shared" si="22"/>
        <v/>
      </c>
      <c r="Y112" s="816"/>
      <c r="Z112" s="812" t="str">
        <f>IF(Y112="","",IF(I112=1,VLOOKUP(Y112,男子種目コード!$A$1:$B$33,2,FALSE),IF(I112=2,VLOOKUP(Y112,女子種目コード!$A$1:$B$27,2,FALSE))))</f>
        <v/>
      </c>
      <c r="AA112" s="304"/>
      <c r="AB112" s="303"/>
      <c r="AC112" s="517"/>
      <c r="AD112" s="518"/>
      <c r="AE112" s="624" t="str">
        <f t="shared" si="23"/>
        <v/>
      </c>
      <c r="AF112" s="625" t="str">
        <f t="shared" si="24"/>
        <v/>
      </c>
      <c r="AG112" s="519"/>
      <c r="AH112" s="520"/>
      <c r="AI112" s="521"/>
      <c r="AJ112" s="20"/>
      <c r="AK112" s="20"/>
      <c r="AM112" s="142"/>
      <c r="AN112" s="134" t="str">
        <f t="shared" si="25"/>
        <v/>
      </c>
      <c r="AO112" s="134" t="str">
        <f t="shared" si="26"/>
        <v/>
      </c>
      <c r="AQ112" s="134"/>
      <c r="AR112" s="134"/>
      <c r="AS112" s="181">
        <f t="shared" si="27"/>
        <v>0</v>
      </c>
      <c r="AT112" s="265"/>
      <c r="AU112" s="265"/>
      <c r="AV112" s="265"/>
      <c r="AW112" s="265"/>
      <c r="AX112" s="265"/>
      <c r="AY112" s="290"/>
      <c r="AZ112" s="290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</row>
    <row r="113" spans="1:62" ht="14.25" customHeight="1">
      <c r="A113" s="134" t="str">
        <f t="shared" si="18"/>
        <v/>
      </c>
      <c r="B113" s="160" t="str">
        <f>名簿!P110</f>
        <v/>
      </c>
      <c r="C113" s="160"/>
      <c r="D113" s="793"/>
      <c r="E113" s="180">
        <f>名簿!E110</f>
        <v>0</v>
      </c>
      <c r="F113" s="560" t="str">
        <f>名簿!CM110</f>
        <v/>
      </c>
      <c r="G113" s="160" t="str">
        <f>名簿!Z110</f>
        <v/>
      </c>
      <c r="H113" s="1302" t="str">
        <f>名簿!CM110</f>
        <v/>
      </c>
      <c r="I113" s="185" t="str">
        <f>名簿!Y110</f>
        <v/>
      </c>
      <c r="J113" s="1303" t="str">
        <f>名簿!CN110</f>
        <v/>
      </c>
      <c r="K113" s="1304">
        <f>名簿!CP110</f>
        <v>0</v>
      </c>
      <c r="L113" s="1305" t="str">
        <f>名簿!CU110</f>
        <v>00</v>
      </c>
      <c r="M113" s="160" t="str">
        <f>名簿!Q110</f>
        <v/>
      </c>
      <c r="N113" s="1312">
        <f>名簿!D110</f>
        <v>0</v>
      </c>
      <c r="O113" s="1295"/>
      <c r="P113" s="258" t="str">
        <f>IF(O113="","",IF(I113=1,VLOOKUP(O113,男子種目コード!$A$1:$B$33,2,FALSE),IF(I113=2,VLOOKUP(O113,女子種目コード!$A$1:$B$28,2,FALSE))))</f>
        <v/>
      </c>
      <c r="Q113" s="494" t="str">
        <f>IF(O113="","",HLOOKUP(O113,名簿!$AH$3:$CH$118,108,FALSE))</f>
        <v/>
      </c>
      <c r="R113" s="624" t="str">
        <f t="shared" si="19"/>
        <v/>
      </c>
      <c r="S113" s="625" t="str">
        <f t="shared" si="20"/>
        <v/>
      </c>
      <c r="T113" s="303"/>
      <c r="U113" s="258" t="str">
        <f>IF(T113="","",IF(I113=1,VLOOKUP(T113,男子種目コード!$A$1:$B$33,2,FALSE),IF(I113=2,VLOOKUP(T113,女子種目コード!$A$1:$B$28,2,FALSE))))</f>
        <v/>
      </c>
      <c r="V113" s="494" t="str">
        <f>IF(T113="","",HLOOKUP(T113,名簿!$AH$3:$CH$118,108,FALSE))</f>
        <v/>
      </c>
      <c r="W113" s="624" t="str">
        <f t="shared" si="21"/>
        <v/>
      </c>
      <c r="X113" s="625" t="str">
        <f t="shared" si="22"/>
        <v/>
      </c>
      <c r="Y113" s="816"/>
      <c r="Z113" s="812" t="str">
        <f>IF(Y113="","",IF(I113=1,VLOOKUP(Y113,男子種目コード!$A$1:$B$33,2,FALSE),IF(I113=2,VLOOKUP(Y113,女子種目コード!$A$1:$B$27,2,FALSE))))</f>
        <v/>
      </c>
      <c r="AA113" s="304"/>
      <c r="AB113" s="303"/>
      <c r="AC113" s="517"/>
      <c r="AD113" s="518"/>
      <c r="AE113" s="624" t="str">
        <f t="shared" si="23"/>
        <v/>
      </c>
      <c r="AF113" s="625" t="str">
        <f t="shared" si="24"/>
        <v/>
      </c>
      <c r="AG113" s="519"/>
      <c r="AH113" s="520"/>
      <c r="AI113" s="521"/>
      <c r="AJ113" s="20"/>
      <c r="AK113" s="20"/>
      <c r="AM113" s="142"/>
      <c r="AN113" s="134" t="str">
        <f t="shared" si="25"/>
        <v/>
      </c>
      <c r="AO113" s="134" t="str">
        <f t="shared" si="26"/>
        <v/>
      </c>
      <c r="AQ113" s="134"/>
      <c r="AR113" s="134"/>
      <c r="AS113" s="181">
        <f t="shared" si="27"/>
        <v>0</v>
      </c>
      <c r="AT113" s="265"/>
      <c r="AU113" s="265"/>
      <c r="AV113" s="265"/>
      <c r="AW113" s="265"/>
      <c r="AX113" s="265"/>
      <c r="AY113" s="290"/>
      <c r="AZ113" s="290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</row>
    <row r="114" spans="1:62" ht="14.25" customHeight="1">
      <c r="A114" s="134" t="str">
        <f t="shared" si="18"/>
        <v/>
      </c>
      <c r="B114" s="160" t="str">
        <f>名簿!P111</f>
        <v/>
      </c>
      <c r="C114" s="160"/>
      <c r="D114" s="793"/>
      <c r="E114" s="180">
        <f>名簿!E111</f>
        <v>0</v>
      </c>
      <c r="F114" s="560" t="str">
        <f>名簿!CM111</f>
        <v/>
      </c>
      <c r="G114" s="160" t="str">
        <f>名簿!Z111</f>
        <v/>
      </c>
      <c r="H114" s="1302" t="str">
        <f>名簿!CM111</f>
        <v/>
      </c>
      <c r="I114" s="185" t="str">
        <f>名簿!Y111</f>
        <v/>
      </c>
      <c r="J114" s="1303" t="str">
        <f>名簿!CN111</f>
        <v/>
      </c>
      <c r="K114" s="1304">
        <f>名簿!CP111</f>
        <v>0</v>
      </c>
      <c r="L114" s="1305" t="str">
        <f>名簿!CU111</f>
        <v>00</v>
      </c>
      <c r="M114" s="160" t="str">
        <f>名簿!Q111</f>
        <v/>
      </c>
      <c r="N114" s="1312">
        <f>名簿!D111</f>
        <v>0</v>
      </c>
      <c r="O114" s="1295"/>
      <c r="P114" s="258" t="str">
        <f>IF(O114="","",IF(I114=1,VLOOKUP(O114,男子種目コード!$A$1:$B$33,2,FALSE),IF(I114=2,VLOOKUP(O114,女子種目コード!$A$1:$B$28,2,FALSE))))</f>
        <v/>
      </c>
      <c r="Q114" s="494" t="str">
        <f>IF(O114="","",HLOOKUP(O114,名簿!$AH$3:$CH$118,109,FALSE))</f>
        <v/>
      </c>
      <c r="R114" s="624" t="str">
        <f t="shared" si="19"/>
        <v/>
      </c>
      <c r="S114" s="625" t="str">
        <f t="shared" si="20"/>
        <v/>
      </c>
      <c r="T114" s="303"/>
      <c r="U114" s="258" t="str">
        <f>IF(T114="","",IF(I114=1,VLOOKUP(T114,男子種目コード!$A$1:$B$33,2,FALSE),IF(I114=2,VLOOKUP(T114,女子種目コード!$A$1:$B$28,2,FALSE))))</f>
        <v/>
      </c>
      <c r="V114" s="494" t="str">
        <f>IF(T114="","",HLOOKUP(T114,名簿!$AH$3:$CH$118,109,FALSE))</f>
        <v/>
      </c>
      <c r="W114" s="624" t="str">
        <f t="shared" si="21"/>
        <v/>
      </c>
      <c r="X114" s="625" t="str">
        <f t="shared" si="22"/>
        <v/>
      </c>
      <c r="Y114" s="816"/>
      <c r="Z114" s="812" t="str">
        <f>IF(Y114="","",IF(I114=1,VLOOKUP(Y114,男子種目コード!$A$1:$B$33,2,FALSE),IF(I114=2,VLOOKUP(Y114,女子種目コード!$A$1:$B$27,2,FALSE))))</f>
        <v/>
      </c>
      <c r="AA114" s="304"/>
      <c r="AB114" s="303"/>
      <c r="AC114" s="517"/>
      <c r="AD114" s="518"/>
      <c r="AE114" s="624" t="str">
        <f t="shared" si="23"/>
        <v/>
      </c>
      <c r="AF114" s="625" t="str">
        <f t="shared" si="24"/>
        <v/>
      </c>
      <c r="AG114" s="519"/>
      <c r="AH114" s="520"/>
      <c r="AI114" s="521"/>
      <c r="AJ114" s="20"/>
      <c r="AK114" s="20"/>
      <c r="AM114" s="142"/>
      <c r="AN114" s="134" t="str">
        <f t="shared" si="25"/>
        <v/>
      </c>
      <c r="AO114" s="134" t="str">
        <f t="shared" si="26"/>
        <v/>
      </c>
      <c r="AQ114" s="134"/>
      <c r="AR114" s="134"/>
      <c r="AS114" s="181">
        <f t="shared" si="27"/>
        <v>0</v>
      </c>
      <c r="AT114" s="265"/>
      <c r="AU114" s="265"/>
      <c r="AV114" s="265"/>
      <c r="AW114" s="265"/>
      <c r="AX114" s="265"/>
      <c r="AY114" s="290"/>
      <c r="AZ114" s="290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</row>
    <row r="115" spans="1:62" ht="14.25" customHeight="1">
      <c r="A115" s="134" t="str">
        <f t="shared" si="18"/>
        <v/>
      </c>
      <c r="B115" s="160" t="str">
        <f>名簿!P112</f>
        <v/>
      </c>
      <c r="C115" s="160"/>
      <c r="D115" s="793"/>
      <c r="E115" s="180">
        <f>名簿!E112</f>
        <v>0</v>
      </c>
      <c r="F115" s="560" t="str">
        <f>名簿!CM112</f>
        <v/>
      </c>
      <c r="G115" s="160" t="str">
        <f>名簿!Z112</f>
        <v/>
      </c>
      <c r="H115" s="1302" t="str">
        <f>名簿!CM112</f>
        <v/>
      </c>
      <c r="I115" s="185" t="str">
        <f>名簿!Y112</f>
        <v/>
      </c>
      <c r="J115" s="1303" t="str">
        <f>名簿!CN112</f>
        <v/>
      </c>
      <c r="K115" s="1304">
        <f>名簿!CP112</f>
        <v>0</v>
      </c>
      <c r="L115" s="1305" t="str">
        <f>名簿!CU112</f>
        <v>00</v>
      </c>
      <c r="M115" s="160" t="str">
        <f>名簿!Q112</f>
        <v/>
      </c>
      <c r="N115" s="1312">
        <f>名簿!D112</f>
        <v>0</v>
      </c>
      <c r="O115" s="1295"/>
      <c r="P115" s="258" t="str">
        <f>IF(O115="","",IF(I115=1,VLOOKUP(O115,男子種目コード!$A$1:$B$33,2,FALSE),IF(I115=2,VLOOKUP(O115,女子種目コード!$A$1:$B$28,2,FALSE))))</f>
        <v/>
      </c>
      <c r="Q115" s="494" t="str">
        <f>IF(O115="","",HLOOKUP(O115,名簿!$AH$3:$CH$118,110,FALSE))</f>
        <v/>
      </c>
      <c r="R115" s="624" t="str">
        <f t="shared" si="19"/>
        <v/>
      </c>
      <c r="S115" s="625" t="str">
        <f t="shared" si="20"/>
        <v/>
      </c>
      <c r="T115" s="303"/>
      <c r="U115" s="258" t="str">
        <f>IF(T115="","",IF(I115=1,VLOOKUP(T115,男子種目コード!$A$1:$B$33,2,FALSE),IF(I115=2,VLOOKUP(T115,女子種目コード!$A$1:$B$28,2,FALSE))))</f>
        <v/>
      </c>
      <c r="V115" s="494" t="str">
        <f>IF(T115="","",HLOOKUP(T115,名簿!$AH$3:$CH$118,110,FALSE))</f>
        <v/>
      </c>
      <c r="W115" s="624" t="str">
        <f t="shared" si="21"/>
        <v/>
      </c>
      <c r="X115" s="625" t="str">
        <f t="shared" si="22"/>
        <v/>
      </c>
      <c r="Y115" s="816"/>
      <c r="Z115" s="812" t="str">
        <f>IF(Y115="","",IF(I115=1,VLOOKUP(Y115,男子種目コード!$A$1:$B$33,2,FALSE),IF(I115=2,VLOOKUP(Y115,女子種目コード!$A$1:$B$27,2,FALSE))))</f>
        <v/>
      </c>
      <c r="AA115" s="304"/>
      <c r="AB115" s="303"/>
      <c r="AC115" s="517"/>
      <c r="AD115" s="518"/>
      <c r="AE115" s="624" t="str">
        <f t="shared" si="23"/>
        <v/>
      </c>
      <c r="AF115" s="625" t="str">
        <f t="shared" si="24"/>
        <v/>
      </c>
      <c r="AG115" s="519"/>
      <c r="AH115" s="520"/>
      <c r="AI115" s="521"/>
      <c r="AJ115" s="20"/>
      <c r="AK115" s="20"/>
      <c r="AM115" s="142"/>
      <c r="AN115" s="134" t="str">
        <f t="shared" si="25"/>
        <v/>
      </c>
      <c r="AO115" s="134" t="str">
        <f t="shared" si="26"/>
        <v/>
      </c>
      <c r="AQ115" s="134"/>
      <c r="AR115" s="134"/>
      <c r="AS115" s="181">
        <f t="shared" si="27"/>
        <v>0</v>
      </c>
      <c r="AT115" s="265"/>
      <c r="AU115" s="265"/>
      <c r="AV115" s="265"/>
      <c r="AW115" s="265"/>
      <c r="AX115" s="265"/>
      <c r="AY115" s="290"/>
      <c r="AZ115" s="290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</row>
    <row r="116" spans="1:62" ht="14.25" customHeight="1" thickBot="1">
      <c r="A116" s="134" t="str">
        <f t="shared" si="18"/>
        <v/>
      </c>
      <c r="B116" s="168" t="str">
        <f>名簿!P113</f>
        <v/>
      </c>
      <c r="C116" s="168"/>
      <c r="D116" s="794"/>
      <c r="E116" s="183">
        <f>名簿!E113</f>
        <v>0</v>
      </c>
      <c r="F116" s="561" t="str">
        <f>名簿!CM113</f>
        <v/>
      </c>
      <c r="G116" s="168" t="str">
        <f>名簿!Z113</f>
        <v/>
      </c>
      <c r="H116" s="1306" t="str">
        <f>名簿!CM113</f>
        <v/>
      </c>
      <c r="I116" s="186" t="str">
        <f>名簿!Y113</f>
        <v/>
      </c>
      <c r="J116" s="1307" t="str">
        <f>名簿!CN113</f>
        <v/>
      </c>
      <c r="K116" s="1308">
        <f>名簿!CP113</f>
        <v>0</v>
      </c>
      <c r="L116" s="1309" t="str">
        <f>名簿!CU113</f>
        <v>00</v>
      </c>
      <c r="M116" s="168" t="str">
        <f>名簿!Q113</f>
        <v/>
      </c>
      <c r="N116" s="1313">
        <f>名簿!D113</f>
        <v>0</v>
      </c>
      <c r="O116" s="1296"/>
      <c r="P116" s="260" t="str">
        <f>IF(O116="","",IF(I116=1,VLOOKUP(O116,男子種目コード!$A$1:$B$33,2,FALSE),IF(I116=2,VLOOKUP(O116,女子種目コード!$A$1:$B$28,2,FALSE))))</f>
        <v/>
      </c>
      <c r="Q116" s="495" t="str">
        <f>IF(O116="","",HLOOKUP(O116,名簿!$AH$3:$CH$118,111,FALSE))</f>
        <v/>
      </c>
      <c r="R116" s="626" t="str">
        <f t="shared" si="19"/>
        <v/>
      </c>
      <c r="S116" s="627" t="str">
        <f t="shared" si="20"/>
        <v/>
      </c>
      <c r="T116" s="305"/>
      <c r="U116" s="260" t="str">
        <f>IF(T116="","",IF(I116=1,VLOOKUP(T116,男子種目コード!$A$1:$B$33,2,FALSE),IF(I116=2,VLOOKUP(T116,女子種目コード!$A$1:$B$28,2,FALSE))))</f>
        <v/>
      </c>
      <c r="V116" s="495" t="str">
        <f>IF(T116="","",HLOOKUP(T116,名簿!$AH$3:$CH$118,111,FALSE))</f>
        <v/>
      </c>
      <c r="W116" s="626" t="str">
        <f t="shared" si="21"/>
        <v/>
      </c>
      <c r="X116" s="627" t="str">
        <f t="shared" si="22"/>
        <v/>
      </c>
      <c r="Y116" s="817"/>
      <c r="Z116" s="813" t="str">
        <f>IF(Y116="","",IF(I116=1,VLOOKUP(Y116,男子種目コード!$A$1:$B$33,2,FALSE),IF(I116=2,VLOOKUP(Y116,女子種目コード!$A$1:$B$27,2,FALSE))))</f>
        <v/>
      </c>
      <c r="AA116" s="306"/>
      <c r="AB116" s="305"/>
      <c r="AC116" s="522"/>
      <c r="AD116" s="523"/>
      <c r="AE116" s="626" t="str">
        <f t="shared" si="23"/>
        <v/>
      </c>
      <c r="AF116" s="627" t="str">
        <f t="shared" si="24"/>
        <v/>
      </c>
      <c r="AG116" s="524"/>
      <c r="AH116" s="525"/>
      <c r="AI116" s="521"/>
      <c r="AJ116" s="20"/>
      <c r="AK116" s="20"/>
      <c r="AM116" s="142"/>
      <c r="AN116" s="134" t="str">
        <f t="shared" si="25"/>
        <v/>
      </c>
      <c r="AO116" s="134" t="str">
        <f t="shared" si="26"/>
        <v/>
      </c>
      <c r="AQ116" s="134"/>
      <c r="AR116" s="134"/>
      <c r="AS116" s="184">
        <f t="shared" si="27"/>
        <v>0</v>
      </c>
      <c r="AT116" s="265"/>
      <c r="AU116" s="265"/>
      <c r="AV116" s="265"/>
      <c r="AW116" s="265"/>
      <c r="AX116" s="265"/>
      <c r="AY116" s="290"/>
      <c r="AZ116" s="290"/>
      <c r="BA116" s="265"/>
      <c r="BB116" s="265"/>
      <c r="BC116" s="265"/>
      <c r="BD116" s="265"/>
      <c r="BE116" s="265"/>
      <c r="BF116" s="265"/>
      <c r="BG116" s="265"/>
      <c r="BH116" s="265"/>
      <c r="BI116" s="265"/>
      <c r="BJ116" s="265"/>
    </row>
    <row r="117" spans="1:62">
      <c r="B117" s="265"/>
      <c r="C117" s="265"/>
      <c r="D117" s="265"/>
      <c r="E117" s="265"/>
      <c r="F117" s="265"/>
      <c r="G117" s="297"/>
      <c r="H117" s="298"/>
      <c r="I117" s="298"/>
      <c r="J117" s="227"/>
      <c r="K117" s="643"/>
      <c r="L117" s="265"/>
      <c r="M117" s="310"/>
      <c r="N117" s="299"/>
      <c r="O117" s="311"/>
      <c r="P117" s="310"/>
      <c r="Q117" s="299"/>
      <c r="R117" s="311"/>
      <c r="S117" s="310"/>
      <c r="T117" s="268"/>
      <c r="U117" s="311"/>
      <c r="V117" s="310"/>
      <c r="W117" s="268"/>
      <c r="X117" s="311"/>
      <c r="Y117" s="310"/>
      <c r="Z117" s="268"/>
      <c r="AA117" s="311"/>
      <c r="AB117" s="227"/>
      <c r="AC117" s="227"/>
      <c r="AD117" s="265"/>
      <c r="AE117" s="271"/>
      <c r="AF117" s="265">
        <f>SUM(AN7:AN116)</f>
        <v>1</v>
      </c>
      <c r="AG117" s="265">
        <f>SUM(AO7:AO116)</f>
        <v>0</v>
      </c>
      <c r="AH117" s="265"/>
      <c r="AI117" s="265"/>
      <c r="AJ117" s="265"/>
      <c r="AK117" s="265"/>
      <c r="AL117" s="265"/>
      <c r="AM117" s="265"/>
      <c r="AN117" s="265"/>
      <c r="AO117" s="265"/>
      <c r="AP117" s="265"/>
      <c r="AQ117" s="290"/>
      <c r="AR117" s="290"/>
      <c r="AS117" s="265"/>
      <c r="AT117" s="265"/>
      <c r="AU117" s="265"/>
      <c r="AV117" s="265"/>
      <c r="AY117" s="290"/>
      <c r="AZ117" s="290"/>
      <c r="BE117" s="265"/>
      <c r="BF117" s="265"/>
      <c r="BG117" s="265"/>
      <c r="BH117" s="265"/>
      <c r="BI117" s="265"/>
      <c r="BJ117" s="265"/>
    </row>
    <row r="118" spans="1:62">
      <c r="B118" s="265"/>
      <c r="C118" s="265"/>
      <c r="D118" s="265"/>
      <c r="E118" s="265"/>
      <c r="F118" s="265"/>
      <c r="G118" s="297"/>
      <c r="H118" s="298"/>
      <c r="I118" s="298"/>
      <c r="J118" s="227"/>
      <c r="K118" s="643"/>
      <c r="L118" s="265"/>
      <c r="M118" s="310"/>
      <c r="N118" s="299"/>
      <c r="O118" s="311"/>
      <c r="P118" s="310"/>
      <c r="Q118" s="299"/>
      <c r="R118" s="311"/>
      <c r="S118" s="310"/>
      <c r="T118" s="268"/>
      <c r="U118" s="311"/>
      <c r="V118" s="310"/>
      <c r="W118" s="268"/>
      <c r="X118" s="311"/>
      <c r="Y118" s="310"/>
      <c r="Z118" s="268"/>
      <c r="AA118" s="311"/>
      <c r="AB118" s="227"/>
      <c r="AC118" s="227"/>
      <c r="AD118" s="265"/>
      <c r="AE118" s="271"/>
      <c r="AF118" s="265">
        <f>SUM(AF117:AG117)</f>
        <v>1</v>
      </c>
      <c r="AG118" s="265"/>
      <c r="AH118" s="265"/>
      <c r="AI118" s="265"/>
      <c r="AJ118" s="265"/>
      <c r="AK118" s="265"/>
      <c r="AL118" s="265"/>
      <c r="AM118" s="265"/>
      <c r="AN118" s="265"/>
      <c r="AO118" s="265"/>
      <c r="AP118" s="265"/>
      <c r="AQ118" s="290"/>
      <c r="AR118" s="290"/>
      <c r="AS118" s="265"/>
      <c r="AT118" s="265"/>
      <c r="AU118" s="265"/>
      <c r="AV118" s="265"/>
      <c r="BE118" s="265"/>
      <c r="BF118" s="265"/>
      <c r="BG118" s="265"/>
      <c r="BH118" s="265"/>
      <c r="BI118" s="265"/>
      <c r="BJ118" s="265"/>
    </row>
    <row r="119" spans="1:62">
      <c r="B119" s="265"/>
      <c r="C119" s="265"/>
      <c r="D119" s="265"/>
      <c r="E119" s="265"/>
      <c r="F119" s="265"/>
      <c r="G119" s="297"/>
      <c r="H119" s="298"/>
      <c r="I119" s="298"/>
      <c r="J119" s="227"/>
      <c r="K119" s="643"/>
      <c r="L119" s="265"/>
      <c r="M119" s="310"/>
      <c r="N119" s="299"/>
      <c r="O119" s="311"/>
      <c r="P119" s="310"/>
      <c r="Q119" s="299"/>
      <c r="R119" s="311"/>
      <c r="S119" s="310"/>
      <c r="T119" s="268"/>
      <c r="U119" s="311"/>
      <c r="V119" s="310"/>
      <c r="W119" s="268"/>
      <c r="X119" s="311"/>
      <c r="Y119" s="310"/>
      <c r="Z119" s="268"/>
      <c r="AA119" s="311"/>
      <c r="AB119" s="227"/>
      <c r="AC119" s="227"/>
      <c r="AD119" s="265"/>
      <c r="AE119" s="271"/>
      <c r="AF119" s="265"/>
      <c r="AG119" s="265"/>
      <c r="AH119" s="265"/>
      <c r="AI119" s="265"/>
      <c r="AJ119" s="265"/>
      <c r="AK119" s="265"/>
      <c r="AL119" s="265"/>
      <c r="AM119" s="265"/>
      <c r="AN119" s="265"/>
      <c r="AO119" s="265"/>
      <c r="AP119" s="265"/>
      <c r="AQ119" s="290"/>
      <c r="AR119" s="290"/>
      <c r="AS119" s="265"/>
      <c r="AT119" s="265"/>
      <c r="AU119" s="265"/>
      <c r="AV119" s="265"/>
      <c r="BE119" s="265"/>
      <c r="BF119" s="265"/>
      <c r="BG119" s="265"/>
      <c r="BH119" s="265"/>
      <c r="BI119" s="265"/>
      <c r="BJ119" s="265"/>
    </row>
    <row r="120" spans="1:62">
      <c r="B120" s="265"/>
      <c r="C120" s="265"/>
      <c r="D120" s="265"/>
      <c r="E120" s="265"/>
      <c r="F120" s="265"/>
      <c r="G120" s="297"/>
      <c r="H120" s="298"/>
      <c r="I120" s="298"/>
      <c r="J120" s="227"/>
      <c r="K120" s="643"/>
      <c r="L120" s="265"/>
      <c r="M120" s="310"/>
      <c r="N120" s="299"/>
      <c r="O120" s="311"/>
      <c r="P120" s="310"/>
      <c r="Q120" s="299"/>
      <c r="R120" s="311"/>
      <c r="S120" s="310"/>
      <c r="T120" s="268"/>
      <c r="U120" s="311"/>
      <c r="V120" s="310"/>
      <c r="W120" s="268"/>
      <c r="X120" s="311"/>
      <c r="Y120" s="310"/>
      <c r="Z120" s="268"/>
      <c r="AA120" s="311"/>
      <c r="AB120" s="227"/>
      <c r="AC120" s="227"/>
      <c r="AD120" s="265"/>
      <c r="AE120" s="271"/>
      <c r="AF120" s="265"/>
      <c r="AG120" s="265"/>
      <c r="AH120" s="265"/>
      <c r="AI120" s="265"/>
      <c r="AJ120" s="265"/>
      <c r="AK120" s="265"/>
      <c r="AL120" s="265"/>
      <c r="AM120" s="265"/>
      <c r="AN120" s="265"/>
      <c r="AO120" s="265"/>
      <c r="AP120" s="265"/>
      <c r="AQ120" s="290"/>
      <c r="AR120" s="290"/>
      <c r="AS120" s="265"/>
      <c r="AT120" s="265"/>
      <c r="AU120" s="265"/>
      <c r="AV120" s="265"/>
      <c r="BE120" s="265"/>
      <c r="BF120" s="265"/>
      <c r="BG120" s="265"/>
      <c r="BH120" s="265"/>
      <c r="BI120" s="265"/>
      <c r="BJ120" s="265"/>
    </row>
    <row r="121" spans="1:62">
      <c r="B121" s="265"/>
      <c r="C121" s="265"/>
      <c r="D121" s="265"/>
      <c r="E121" s="265"/>
      <c r="F121" s="265"/>
      <c r="G121" s="297"/>
      <c r="H121" s="298"/>
      <c r="I121" s="298"/>
      <c r="J121" s="227"/>
      <c r="K121" s="643"/>
      <c r="L121" s="265"/>
      <c r="M121" s="310"/>
      <c r="N121" s="299"/>
      <c r="O121" s="311"/>
      <c r="P121" s="310"/>
      <c r="Q121" s="299"/>
      <c r="R121" s="311"/>
      <c r="S121" s="310"/>
      <c r="T121" s="268"/>
      <c r="U121" s="311"/>
      <c r="V121" s="310"/>
      <c r="W121" s="268"/>
      <c r="X121" s="311"/>
      <c r="Y121" s="310"/>
      <c r="Z121" s="268"/>
      <c r="AA121" s="311"/>
      <c r="AB121" s="227"/>
      <c r="AC121" s="227"/>
      <c r="AD121" s="265"/>
      <c r="AE121" s="271"/>
      <c r="AF121" s="265"/>
      <c r="AG121" s="265"/>
      <c r="AH121" s="265"/>
      <c r="AI121" s="265"/>
      <c r="AJ121" s="265"/>
      <c r="AK121" s="265"/>
      <c r="AL121" s="265"/>
      <c r="AM121" s="265"/>
      <c r="AN121" s="265"/>
      <c r="AO121" s="265"/>
      <c r="AP121" s="265"/>
      <c r="AQ121" s="290"/>
      <c r="AR121" s="290"/>
      <c r="AS121" s="265"/>
      <c r="AT121" s="265"/>
      <c r="AU121" s="265"/>
      <c r="AV121" s="265"/>
      <c r="BE121" s="265"/>
      <c r="BF121" s="265"/>
      <c r="BG121" s="265"/>
      <c r="BH121" s="265"/>
      <c r="BI121" s="265"/>
      <c r="BJ121" s="265"/>
    </row>
    <row r="122" spans="1:62">
      <c r="B122" s="265"/>
      <c r="C122" s="265"/>
      <c r="D122" s="265"/>
      <c r="E122" s="265"/>
      <c r="F122" s="265"/>
      <c r="G122" s="297"/>
      <c r="H122" s="298"/>
      <c r="I122" s="298"/>
      <c r="J122" s="227"/>
      <c r="K122" s="643"/>
      <c r="L122" s="265"/>
      <c r="M122" s="310"/>
      <c r="N122" s="299"/>
      <c r="O122" s="311"/>
      <c r="P122" s="310"/>
      <c r="Q122" s="299"/>
      <c r="R122" s="311"/>
      <c r="S122" s="310"/>
      <c r="T122" s="268"/>
      <c r="U122" s="311"/>
      <c r="V122" s="310"/>
      <c r="W122" s="268"/>
      <c r="X122" s="311"/>
      <c r="Y122" s="310"/>
      <c r="Z122" s="268"/>
      <c r="AA122" s="311"/>
      <c r="AB122" s="227"/>
      <c r="AC122" s="227"/>
      <c r="AD122" s="265"/>
      <c r="AE122" s="271"/>
      <c r="AF122" s="265"/>
      <c r="AG122" s="265"/>
      <c r="AH122" s="265"/>
      <c r="AI122" s="265"/>
      <c r="AJ122" s="265"/>
      <c r="AK122" s="265"/>
      <c r="AL122" s="265"/>
      <c r="AM122" s="265"/>
      <c r="AN122" s="265"/>
      <c r="AO122" s="265"/>
      <c r="AP122" s="265"/>
      <c r="AQ122" s="290"/>
      <c r="AR122" s="290"/>
      <c r="AS122" s="265"/>
      <c r="AT122" s="265"/>
      <c r="AU122" s="265"/>
      <c r="AV122" s="265"/>
      <c r="BE122" s="265"/>
      <c r="BF122" s="265"/>
      <c r="BG122" s="265"/>
      <c r="BH122" s="265"/>
      <c r="BI122" s="265"/>
      <c r="BJ122" s="265"/>
    </row>
    <row r="123" spans="1:62">
      <c r="B123" s="265"/>
      <c r="C123" s="265"/>
      <c r="D123" s="265"/>
      <c r="E123" s="265"/>
      <c r="F123" s="265"/>
      <c r="G123" s="297"/>
      <c r="H123" s="298"/>
      <c r="I123" s="298"/>
      <c r="J123" s="227"/>
      <c r="K123" s="643"/>
      <c r="L123" s="265"/>
      <c r="M123" s="310"/>
      <c r="N123" s="299"/>
      <c r="O123" s="311"/>
      <c r="P123" s="310"/>
      <c r="Q123" s="299"/>
      <c r="R123" s="311"/>
      <c r="S123" s="310"/>
      <c r="T123" s="268"/>
      <c r="U123" s="311"/>
      <c r="V123" s="310"/>
      <c r="W123" s="268"/>
      <c r="X123" s="311"/>
      <c r="Y123" s="310"/>
      <c r="Z123" s="268"/>
      <c r="AA123" s="311"/>
      <c r="AB123" s="227"/>
      <c r="AC123" s="227"/>
      <c r="AD123" s="265"/>
      <c r="AE123" s="271"/>
      <c r="AF123" s="265"/>
      <c r="AG123" s="265"/>
      <c r="AH123" s="265"/>
      <c r="AI123" s="265"/>
      <c r="AJ123" s="265"/>
      <c r="AK123" s="265"/>
      <c r="AL123" s="265"/>
      <c r="AM123" s="265"/>
      <c r="AN123" s="265"/>
      <c r="AO123" s="265"/>
      <c r="AP123" s="265"/>
      <c r="AQ123" s="290"/>
      <c r="AR123" s="290"/>
      <c r="AS123" s="265"/>
      <c r="AT123" s="265"/>
      <c r="AU123" s="265"/>
      <c r="AV123" s="265"/>
      <c r="BE123" s="265"/>
      <c r="BF123" s="265"/>
      <c r="BG123" s="265"/>
      <c r="BH123" s="265"/>
      <c r="BI123" s="265"/>
      <c r="BJ123" s="265"/>
    </row>
    <row r="124" spans="1:62">
      <c r="B124" s="265"/>
      <c r="C124" s="265"/>
      <c r="D124" s="265"/>
      <c r="E124" s="265"/>
      <c r="F124" s="265"/>
      <c r="G124" s="297"/>
      <c r="H124" s="298"/>
      <c r="I124" s="298"/>
      <c r="J124" s="227"/>
      <c r="K124" s="643"/>
      <c r="L124" s="265"/>
      <c r="M124" s="310"/>
      <c r="N124" s="299"/>
      <c r="O124" s="311"/>
      <c r="P124" s="310"/>
      <c r="Q124" s="299"/>
      <c r="R124" s="311"/>
      <c r="S124" s="310"/>
      <c r="T124" s="268"/>
      <c r="U124" s="311"/>
      <c r="V124" s="310"/>
      <c r="W124" s="268"/>
      <c r="X124" s="311"/>
      <c r="Y124" s="310"/>
      <c r="Z124" s="268"/>
      <c r="AA124" s="311"/>
      <c r="AB124" s="227"/>
      <c r="AC124" s="227"/>
      <c r="AD124" s="265"/>
      <c r="AE124" s="271"/>
      <c r="AF124" s="265"/>
      <c r="AG124" s="265"/>
      <c r="AH124" s="265"/>
      <c r="AI124" s="265"/>
      <c r="AJ124" s="265"/>
      <c r="AK124" s="265"/>
      <c r="AL124" s="265"/>
      <c r="AM124" s="265"/>
      <c r="AN124" s="265"/>
      <c r="AO124" s="265"/>
      <c r="AP124" s="265"/>
      <c r="AQ124" s="290"/>
      <c r="AR124" s="290"/>
      <c r="AS124" s="265"/>
      <c r="AT124" s="265"/>
      <c r="AU124" s="265"/>
      <c r="AV124" s="265"/>
      <c r="BE124" s="265"/>
      <c r="BF124" s="265"/>
      <c r="BG124" s="265"/>
      <c r="BH124" s="265"/>
      <c r="BI124" s="265"/>
      <c r="BJ124" s="265"/>
    </row>
    <row r="125" spans="1:62">
      <c r="B125" s="265"/>
      <c r="C125" s="265"/>
      <c r="D125" s="265"/>
      <c r="E125" s="265"/>
      <c r="F125" s="265"/>
      <c r="G125" s="297"/>
      <c r="H125" s="298"/>
      <c r="I125" s="298"/>
      <c r="J125" s="227"/>
      <c r="K125" s="643"/>
      <c r="L125" s="265"/>
      <c r="M125" s="310"/>
      <c r="N125" s="299"/>
      <c r="O125" s="311"/>
      <c r="P125" s="310"/>
      <c r="Q125" s="299"/>
      <c r="R125" s="311"/>
      <c r="S125" s="310"/>
      <c r="T125" s="268"/>
      <c r="U125" s="311"/>
      <c r="V125" s="310"/>
      <c r="W125" s="268"/>
      <c r="X125" s="311"/>
      <c r="Y125" s="310"/>
      <c r="Z125" s="268"/>
      <c r="AA125" s="311"/>
      <c r="AB125" s="227"/>
      <c r="AC125" s="227"/>
      <c r="AD125" s="265"/>
      <c r="AE125" s="271"/>
      <c r="AF125" s="265"/>
      <c r="AG125" s="265"/>
      <c r="AH125" s="265"/>
      <c r="AI125" s="265"/>
      <c r="AJ125" s="265"/>
      <c r="AK125" s="265"/>
      <c r="AL125" s="265"/>
      <c r="AM125" s="265"/>
      <c r="AN125" s="265"/>
      <c r="AO125" s="265"/>
      <c r="AP125" s="265"/>
      <c r="AQ125" s="290"/>
      <c r="AR125" s="290"/>
      <c r="AS125" s="265"/>
      <c r="AT125" s="265"/>
      <c r="AU125" s="265"/>
      <c r="AV125" s="265"/>
      <c r="BE125" s="265"/>
      <c r="BF125" s="265"/>
      <c r="BG125" s="265"/>
      <c r="BH125" s="265"/>
      <c r="BI125" s="265"/>
      <c r="BJ125" s="265"/>
    </row>
    <row r="126" spans="1:62">
      <c r="B126" s="265"/>
      <c r="C126" s="265"/>
      <c r="D126" s="265"/>
      <c r="E126" s="265"/>
      <c r="F126" s="265"/>
      <c r="G126" s="297"/>
      <c r="H126" s="298"/>
      <c r="I126" s="298"/>
      <c r="J126" s="227"/>
      <c r="K126" s="643"/>
      <c r="L126" s="265"/>
      <c r="M126" s="310"/>
      <c r="N126" s="299"/>
      <c r="O126" s="311"/>
      <c r="P126" s="310"/>
      <c r="Q126" s="299"/>
      <c r="R126" s="311"/>
      <c r="S126" s="310"/>
      <c r="T126" s="268"/>
      <c r="U126" s="311"/>
      <c r="V126" s="310"/>
      <c r="W126" s="268"/>
      <c r="X126" s="311"/>
      <c r="Y126" s="310"/>
      <c r="Z126" s="268"/>
      <c r="AA126" s="311"/>
      <c r="AB126" s="227"/>
      <c r="AC126" s="227"/>
      <c r="AD126" s="265"/>
      <c r="AE126" s="271"/>
      <c r="AF126" s="265"/>
      <c r="AG126" s="265"/>
      <c r="AH126" s="265"/>
      <c r="AI126" s="265"/>
      <c r="AJ126" s="265"/>
      <c r="AK126" s="265"/>
      <c r="AL126" s="265"/>
      <c r="AM126" s="265"/>
      <c r="AN126" s="265"/>
      <c r="AO126" s="265"/>
      <c r="AP126" s="265"/>
      <c r="AQ126" s="290"/>
      <c r="AR126" s="290"/>
      <c r="AS126" s="265"/>
      <c r="AT126" s="265"/>
      <c r="AU126" s="265"/>
      <c r="AV126" s="265"/>
      <c r="BE126" s="265"/>
      <c r="BF126" s="265"/>
      <c r="BG126" s="265"/>
      <c r="BH126" s="265"/>
      <c r="BI126" s="265"/>
      <c r="BJ126" s="265"/>
    </row>
    <row r="127" spans="1:62">
      <c r="T127" s="526"/>
      <c r="U127" s="527"/>
      <c r="W127" s="526"/>
      <c r="X127" s="527"/>
      <c r="Z127" s="526"/>
      <c r="AA127" s="527"/>
      <c r="AL127" s="265"/>
      <c r="AM127" s="265"/>
      <c r="AQ127" s="290"/>
      <c r="AT127" s="265"/>
      <c r="AU127" s="265"/>
    </row>
    <row r="128" spans="1:62">
      <c r="T128" s="526"/>
      <c r="U128" s="527"/>
      <c r="W128" s="526"/>
      <c r="X128" s="527"/>
      <c r="Z128" s="526"/>
      <c r="AA128" s="527"/>
      <c r="AT128" s="265"/>
      <c r="AU128" s="265"/>
    </row>
    <row r="129" spans="20:27">
      <c r="T129" s="526"/>
      <c r="U129" s="527"/>
      <c r="W129" s="526"/>
      <c r="X129" s="527"/>
      <c r="Z129" s="526"/>
      <c r="AA129" s="527"/>
    </row>
    <row r="130" spans="20:27">
      <c r="T130" s="526"/>
      <c r="U130" s="527"/>
      <c r="W130" s="526"/>
      <c r="X130" s="527"/>
      <c r="Z130" s="526"/>
      <c r="AA130" s="527"/>
    </row>
    <row r="131" spans="20:27">
      <c r="T131" s="526"/>
      <c r="U131" s="527"/>
      <c r="W131" s="526"/>
      <c r="X131" s="527"/>
      <c r="Z131" s="526"/>
      <c r="AA131" s="527"/>
    </row>
    <row r="132" spans="20:27">
      <c r="T132" s="526"/>
      <c r="U132" s="527"/>
      <c r="W132" s="526"/>
      <c r="X132" s="527"/>
      <c r="Z132" s="526"/>
      <c r="AA132" s="527"/>
    </row>
    <row r="133" spans="20:27">
      <c r="T133" s="526"/>
      <c r="U133" s="527"/>
      <c r="W133" s="526"/>
      <c r="X133" s="527"/>
      <c r="Z133" s="526"/>
      <c r="AA133" s="527"/>
    </row>
    <row r="134" spans="20:27">
      <c r="T134" s="526"/>
      <c r="U134" s="527"/>
      <c r="W134" s="526"/>
      <c r="X134" s="527"/>
      <c r="Z134" s="526"/>
      <c r="AA134" s="527"/>
    </row>
    <row r="135" spans="20:27">
      <c r="T135" s="526"/>
      <c r="U135" s="527"/>
      <c r="W135" s="526"/>
      <c r="X135" s="527"/>
      <c r="Z135" s="526"/>
      <c r="AA135" s="527"/>
    </row>
    <row r="136" spans="20:27">
      <c r="T136" s="526"/>
      <c r="U136" s="527"/>
      <c r="W136" s="526"/>
      <c r="X136" s="527"/>
      <c r="Z136" s="526"/>
      <c r="AA136" s="527"/>
    </row>
    <row r="137" spans="20:27">
      <c r="T137" s="526"/>
      <c r="U137" s="527"/>
      <c r="W137" s="526"/>
      <c r="X137" s="527"/>
      <c r="Z137" s="526"/>
      <c r="AA137" s="527"/>
    </row>
    <row r="138" spans="20:27">
      <c r="T138" s="526"/>
      <c r="U138" s="527"/>
      <c r="W138" s="526"/>
      <c r="X138" s="527"/>
      <c r="Z138" s="526"/>
      <c r="AA138" s="527"/>
    </row>
    <row r="139" spans="20:27">
      <c r="T139" s="526"/>
      <c r="U139" s="527"/>
      <c r="W139" s="526"/>
      <c r="X139" s="527"/>
      <c r="Z139" s="526"/>
      <c r="AA139" s="527"/>
    </row>
    <row r="140" spans="20:27">
      <c r="T140" s="526"/>
      <c r="U140" s="527"/>
      <c r="W140" s="526"/>
      <c r="X140" s="527"/>
      <c r="Z140" s="526"/>
      <c r="AA140" s="527"/>
    </row>
    <row r="141" spans="20:27">
      <c r="T141" s="526"/>
      <c r="U141" s="527"/>
      <c r="W141" s="526"/>
      <c r="X141" s="527"/>
      <c r="Z141" s="526"/>
      <c r="AA141" s="527"/>
    </row>
    <row r="142" spans="20:27">
      <c r="T142" s="526"/>
      <c r="U142" s="527"/>
      <c r="W142" s="526"/>
      <c r="X142" s="527"/>
      <c r="Z142" s="526"/>
      <c r="AA142" s="527"/>
    </row>
    <row r="143" spans="20:27">
      <c r="T143" s="526"/>
      <c r="U143" s="527"/>
      <c r="W143" s="526"/>
      <c r="X143" s="527"/>
      <c r="Z143" s="526"/>
      <c r="AA143" s="527"/>
    </row>
    <row r="144" spans="20:27">
      <c r="T144" s="526"/>
      <c r="U144" s="527"/>
      <c r="W144" s="526"/>
      <c r="X144" s="527"/>
      <c r="Z144" s="526"/>
      <c r="AA144" s="527"/>
    </row>
    <row r="145" spans="20:27">
      <c r="T145" s="526"/>
      <c r="U145" s="527"/>
      <c r="W145" s="526"/>
      <c r="X145" s="527"/>
      <c r="Z145" s="526"/>
      <c r="AA145" s="527"/>
    </row>
    <row r="146" spans="20:27">
      <c r="T146" s="526"/>
      <c r="U146" s="527"/>
      <c r="W146" s="526"/>
      <c r="X146" s="527"/>
      <c r="Z146" s="526"/>
      <c r="AA146" s="527"/>
    </row>
    <row r="147" spans="20:27">
      <c r="T147" s="526"/>
      <c r="U147" s="527"/>
      <c r="W147" s="526"/>
      <c r="X147" s="527"/>
      <c r="Z147" s="526"/>
      <c r="AA147" s="527"/>
    </row>
    <row r="148" spans="20:27">
      <c r="T148" s="526"/>
      <c r="U148" s="527"/>
      <c r="W148" s="526"/>
      <c r="X148" s="527"/>
      <c r="Z148" s="526"/>
      <c r="AA148" s="527"/>
    </row>
    <row r="149" spans="20:27">
      <c r="T149" s="526"/>
      <c r="U149" s="527"/>
      <c r="W149" s="526"/>
      <c r="X149" s="527"/>
      <c r="Z149" s="526"/>
      <c r="AA149" s="527"/>
    </row>
    <row r="150" spans="20:27">
      <c r="T150" s="526"/>
      <c r="U150" s="527"/>
      <c r="W150" s="526"/>
      <c r="X150" s="527"/>
      <c r="Z150" s="526"/>
      <c r="AA150" s="527"/>
    </row>
    <row r="151" spans="20:27">
      <c r="T151" s="526"/>
      <c r="U151" s="527"/>
      <c r="W151" s="526"/>
      <c r="X151" s="527"/>
      <c r="Z151" s="526"/>
      <c r="AA151" s="527"/>
    </row>
    <row r="152" spans="20:27">
      <c r="T152" s="526"/>
      <c r="U152" s="527"/>
      <c r="W152" s="526"/>
      <c r="X152" s="527"/>
      <c r="Z152" s="526"/>
      <c r="AA152" s="527"/>
    </row>
    <row r="153" spans="20:27">
      <c r="T153" s="526"/>
      <c r="U153" s="527"/>
      <c r="W153" s="526"/>
      <c r="X153" s="527"/>
      <c r="Z153" s="526"/>
      <c r="AA153" s="527"/>
    </row>
    <row r="154" spans="20:27">
      <c r="T154" s="526"/>
      <c r="U154" s="527"/>
      <c r="W154" s="526"/>
      <c r="X154" s="527"/>
      <c r="Z154" s="526"/>
      <c r="AA154" s="527"/>
    </row>
    <row r="155" spans="20:27">
      <c r="T155" s="526"/>
      <c r="U155" s="527"/>
      <c r="W155" s="526"/>
      <c r="X155" s="527"/>
      <c r="Z155" s="526"/>
      <c r="AA155" s="527"/>
    </row>
    <row r="156" spans="20:27">
      <c r="T156" s="526"/>
      <c r="U156" s="527"/>
      <c r="W156" s="526"/>
      <c r="X156" s="527"/>
      <c r="Z156" s="526"/>
      <c r="AA156" s="527"/>
    </row>
    <row r="157" spans="20:27">
      <c r="T157" s="526"/>
      <c r="U157" s="527"/>
      <c r="W157" s="526"/>
      <c r="X157" s="527"/>
      <c r="Z157" s="526"/>
      <c r="AA157" s="527"/>
    </row>
    <row r="158" spans="20:27">
      <c r="T158" s="526"/>
      <c r="U158" s="527"/>
      <c r="W158" s="526"/>
      <c r="X158" s="527"/>
      <c r="Z158" s="526"/>
      <c r="AA158" s="527"/>
    </row>
    <row r="159" spans="20:27">
      <c r="T159" s="526"/>
      <c r="U159" s="527"/>
      <c r="W159" s="526"/>
      <c r="X159" s="527"/>
      <c r="Z159" s="526"/>
      <c r="AA159" s="527"/>
    </row>
    <row r="160" spans="20:27">
      <c r="T160" s="526"/>
      <c r="U160" s="527"/>
      <c r="W160" s="526"/>
      <c r="X160" s="527"/>
      <c r="Z160" s="526"/>
      <c r="AA160" s="527"/>
    </row>
    <row r="161" spans="20:27">
      <c r="T161" s="526"/>
      <c r="U161" s="527"/>
      <c r="W161" s="526"/>
      <c r="X161" s="527"/>
      <c r="Z161" s="526"/>
      <c r="AA161" s="527"/>
    </row>
  </sheetData>
  <sheetProtection password="83D4" sheet="1" objects="1" scenarios="1"/>
  <mergeCells count="7">
    <mergeCell ref="P2:Q2"/>
    <mergeCell ref="AT7:AU7"/>
    <mergeCell ref="AT35:AU35"/>
    <mergeCell ref="AT6:AU6"/>
    <mergeCell ref="BE6:BF6"/>
    <mergeCell ref="BE14:BF14"/>
    <mergeCell ref="V2:W2"/>
  </mergeCells>
  <phoneticPr fontId="5"/>
  <conditionalFormatting sqref="N7:N116">
    <cfRule type="expression" dxfId="23" priority="1" stopIfTrue="1">
      <formula>I7=2</formula>
    </cfRule>
  </conditionalFormatting>
  <conditionalFormatting sqref="F7:F116">
    <cfRule type="expression" dxfId="22" priority="2" stopIfTrue="1">
      <formula>I7=2</formula>
    </cfRule>
  </conditionalFormatting>
  <conditionalFormatting sqref="J7:J116">
    <cfRule type="expression" dxfId="21" priority="3" stopIfTrue="1">
      <formula>I7=2</formula>
    </cfRule>
  </conditionalFormatting>
  <conditionalFormatting sqref="E7:E116">
    <cfRule type="expression" dxfId="20" priority="4" stopIfTrue="1">
      <formula>I7=2</formula>
    </cfRule>
  </conditionalFormatting>
  <conditionalFormatting sqref="G7:G116">
    <cfRule type="expression" dxfId="19" priority="5" stopIfTrue="1">
      <formula>I7=2</formula>
    </cfRule>
  </conditionalFormatting>
  <conditionalFormatting sqref="AS7:AS116">
    <cfRule type="expression" dxfId="18" priority="6" stopIfTrue="1">
      <formula>I7=2</formula>
    </cfRule>
  </conditionalFormatting>
  <conditionalFormatting sqref="AC7:AC116">
    <cfRule type="expression" dxfId="17" priority="7" stopIfTrue="1">
      <formula>ISNA(AD7)</formula>
    </cfRule>
    <cfRule type="expression" dxfId="16" priority="8" stopIfTrue="1">
      <formula>COUNTIF(#REF!,7)</formula>
    </cfRule>
  </conditionalFormatting>
  <conditionalFormatting sqref="AB7:AB116">
    <cfRule type="expression" dxfId="15" priority="9" stopIfTrue="1">
      <formula>ISNA(AC7)</formula>
    </cfRule>
    <cfRule type="expression" dxfId="14" priority="10" stopIfTrue="1">
      <formula>COUNTIF(#REF!,7)</formula>
    </cfRule>
  </conditionalFormatting>
  <conditionalFormatting sqref="AG7:AG116">
    <cfRule type="expression" dxfId="13" priority="11" stopIfTrue="1">
      <formula>ISNA(AH7)</formula>
    </cfRule>
    <cfRule type="expression" dxfId="12" priority="12" stopIfTrue="1">
      <formula>COUNTIF(#REF!,7)</formula>
    </cfRule>
  </conditionalFormatting>
  <conditionalFormatting sqref="P7:P116">
    <cfRule type="expression" dxfId="11" priority="15" stopIfTrue="1">
      <formula>I7=""</formula>
    </cfRule>
  </conditionalFormatting>
  <conditionalFormatting sqref="U7:U116">
    <cfRule type="expression" dxfId="10" priority="16" stopIfTrue="1">
      <formula>I7=""</formula>
    </cfRule>
  </conditionalFormatting>
  <conditionalFormatting sqref="I7:I116">
    <cfRule type="cellIs" dxfId="9" priority="17" stopIfTrue="1" operator="equal">
      <formula>2</formula>
    </cfRule>
  </conditionalFormatting>
  <conditionalFormatting sqref="Y7:Y116">
    <cfRule type="expression" dxfId="8" priority="115" stopIfTrue="1">
      <formula>I7=""</formula>
    </cfRule>
  </conditionalFormatting>
  <conditionalFormatting sqref="Z7:Z116">
    <cfRule type="expression" dxfId="7" priority="116" stopIfTrue="1">
      <formula>I7=""</formula>
    </cfRule>
  </conditionalFormatting>
  <conditionalFormatting sqref="AA7:AA116">
    <cfRule type="expression" dxfId="6" priority="117" stopIfTrue="1">
      <formula>I7=""</formula>
    </cfRule>
  </conditionalFormatting>
  <conditionalFormatting sqref="O7:O116">
    <cfRule type="expression" dxfId="5" priority="131" stopIfTrue="1">
      <formula>ISNA(P7)</formula>
    </cfRule>
    <cfRule type="expression" dxfId="4" priority="132" stopIfTrue="1">
      <formula>I7=""</formula>
    </cfRule>
  </conditionalFormatting>
  <conditionalFormatting sqref="T7:T116">
    <cfRule type="expression" dxfId="3" priority="461" stopIfTrue="1">
      <formula>ISNA(U7)</formula>
    </cfRule>
    <cfRule type="expression" dxfId="2" priority="462" stopIfTrue="1">
      <formula>I7=""</formula>
    </cfRule>
  </conditionalFormatting>
  <conditionalFormatting sqref="AD7:AD116">
    <cfRule type="expression" dxfId="1" priority="465" stopIfTrue="1">
      <formula>ISNA(AG7)</formula>
    </cfRule>
    <cfRule type="expression" dxfId="0" priority="466" stopIfTrue="1">
      <formula>COUNTIF(#REF!,7)</formula>
    </cfRule>
  </conditionalFormatting>
  <dataValidations xWindow="713" yWindow="173" count="11">
    <dataValidation allowBlank="1" showInputMessage="1" showErrorMessage="1" prompt="#N/Aが表示された時は入力ミスです" sqref="AC7:AC116"/>
    <dataValidation imeMode="halfAlpha" allowBlank="1" showInputMessage="1" showErrorMessage="1" prompt="半角英数字入力_x000a_例_x000a_41秒00→41.50_x000a_3分20秒11→3.20.11" sqref="AI7:AI116 AD7:AD116"/>
    <dataValidation imeMode="disabled" allowBlank="1" sqref="Q6 R117:R65536 O2:O3 O117:O65536 R2:R5 V6"/>
    <dataValidation type="list" allowBlank="1" showInputMessage="1" showErrorMessage="1" prompt="ここは1600mRです" sqref="AG7:AG116">
      <formula1>$AM$32:$AM$37</formula1>
    </dataValidation>
    <dataValidation type="list" allowBlank="1" showInputMessage="1" showErrorMessage="1" prompt="ここは400mRです_x000a_" sqref="AB7:AB116">
      <formula1>$AM$32:$AM$37</formula1>
    </dataValidation>
    <dataValidation imeMode="disabled" allowBlank="1" showInputMessage="1" prompt="記録は_x000a_トラックはドットで区切る_x000a_フィールドはmで区切ること_x000a_10秒20→10.20_x000a_2m00→2m00" sqref="AA7:AA116"/>
    <dataValidation allowBlank="1" showErrorMessage="1" prompt="#N/A表示は種目選択ミスです" sqref="P7:P116 Z7:Z116 U7:U116"/>
    <dataValidation imeMode="disabled" allowBlank="1" showInputMessage="1" prompt="記録は半角英数字で_x000a_例_x000a_11秒11→11.11_x000a_1分50秒00→1.50.00_x000a_15m50→15m50_x000a__x000a_" sqref="Q7:Q116 V7:V116"/>
    <dataValidation type="list" allowBlank="1" showErrorMessage="1" prompt="種目を選択して下さい" sqref="O7:O116">
      <formula1>IF(I7=1,$AY$6:$AY$31,$AZ$6:$AZ$27)</formula1>
    </dataValidation>
    <dataValidation type="list" allowBlank="1" showErrorMessage="1" prompt="種目を選択して下さい" sqref="Y7:Y116">
      <formula1>IF(L7=1,$AY$32,$AZ$28)</formula1>
    </dataValidation>
    <dataValidation type="list" allowBlank="1" showErrorMessage="1" prompt="種目を選択して下さい" sqref="T7:T116">
      <formula1>IF(I7=1,$AY$6:$AY$31,$AZ$6:$AZ$27)</formula1>
    </dataValidation>
  </dataValidations>
  <printOptions horizontalCentered="1"/>
  <pageMargins left="0.78740157480314965" right="0.59055118110236227" top="0.98425196850393704" bottom="0.98425196850393704" header="0.51181102362204722" footer="0.51181102362204722"/>
  <pageSetup paperSize="9" scale="59" fitToHeight="2" orientation="portrait" verticalDpi="300" r:id="rId1"/>
  <headerFooter alignWithMargins="0">
    <oddHeader>&amp;L中学 申込&amp;R&amp;D　&amp;T</oddHeader>
    <oddFooter>&amp;L&amp;P&amp;R三重陸上競技協会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17</vt:i4>
      </vt:variant>
    </vt:vector>
  </HeadingPairs>
  <TitlesOfParts>
    <vt:vector size="35" baseType="lpstr">
      <vt:lpstr>注意</vt:lpstr>
      <vt:lpstr>説明</vt:lpstr>
      <vt:lpstr>メニュー</vt:lpstr>
      <vt:lpstr>大会申込</vt:lpstr>
      <vt:lpstr>前年度登録</vt:lpstr>
      <vt:lpstr>名簿</vt:lpstr>
      <vt:lpstr>国体1次</vt:lpstr>
      <vt:lpstr>リレーカー二バル</vt:lpstr>
      <vt:lpstr>県選</vt:lpstr>
      <vt:lpstr>ジュニアO</vt:lpstr>
      <vt:lpstr>所属コード</vt:lpstr>
      <vt:lpstr>タスキリレー</vt:lpstr>
      <vt:lpstr>タスキリレーオーダー</vt:lpstr>
      <vt:lpstr>ロードレース</vt:lpstr>
      <vt:lpstr>振込票貼付用紙</vt:lpstr>
      <vt:lpstr>1</vt:lpstr>
      <vt:lpstr>男子種目コード</vt:lpstr>
      <vt:lpstr>女子種目コード</vt:lpstr>
      <vt:lpstr>ジュニアO!Print_Area</vt:lpstr>
      <vt:lpstr>タスキリレー!Print_Area</vt:lpstr>
      <vt:lpstr>リレーカー二バル!Print_Area</vt:lpstr>
      <vt:lpstr>ロードレース!Print_Area</vt:lpstr>
      <vt:lpstr>県選!Print_Area</vt:lpstr>
      <vt:lpstr>国体1次!Print_Area</vt:lpstr>
      <vt:lpstr>振込票貼付用紙!Print_Area</vt:lpstr>
      <vt:lpstr>説明!Print_Area</vt:lpstr>
      <vt:lpstr>前年度登録!Print_Area</vt:lpstr>
      <vt:lpstr>名簿!Print_Area</vt:lpstr>
      <vt:lpstr>ジュニアO!Print_Titles</vt:lpstr>
      <vt:lpstr>リレーカー二バル!Print_Titles</vt:lpstr>
      <vt:lpstr>ロードレース!Print_Titles</vt:lpstr>
      <vt:lpstr>県選!Print_Titles</vt:lpstr>
      <vt:lpstr>国体1次!Print_Titles</vt:lpstr>
      <vt:lpstr>前年度登録!Print_Titles</vt:lpstr>
      <vt:lpstr>名簿!Print_Titles</vt:lpstr>
    </vt:vector>
  </TitlesOfParts>
  <Company>三重陸上競技協会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2016中学クラブ大会申込Ver1</dc:title>
  <dc:creator>三重陸上競技協会情報部</dc:creator>
  <cp:lastModifiedBy>NANS21</cp:lastModifiedBy>
  <cp:lastPrinted>2013-11-30T07:45:53Z</cp:lastPrinted>
  <dcterms:created xsi:type="dcterms:W3CDTF">2003-01-04T11:51:22Z</dcterms:created>
  <dcterms:modified xsi:type="dcterms:W3CDTF">2017-03-03T02:30:24Z</dcterms:modified>
</cp:coreProperties>
</file>