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showSheetTabs="0" xWindow="120" yWindow="105" windowWidth="15180" windowHeight="8505" tabRatio="0" firstSheet="1"/>
  </bookViews>
  <sheets>
    <sheet name="注意" sheetId="36" r:id="rId1"/>
    <sheet name="説明" sheetId="17" r:id="rId2"/>
    <sheet name="メニュー" sheetId="34" r:id="rId3"/>
    <sheet name="名簿" sheetId="10" r:id="rId4"/>
    <sheet name="大会申込" sheetId="35" r:id="rId5"/>
    <sheet name="国体1次" sheetId="18" r:id="rId6"/>
    <sheet name="県選" sheetId="15" r:id="rId7"/>
    <sheet name="ロードレース" sheetId="22" r:id="rId8"/>
    <sheet name="SF" sheetId="49" r:id="rId9"/>
    <sheet name="振込票貼付用紙" sheetId="43" r:id="rId10"/>
    <sheet name="男子種目コード" sheetId="8" state="hidden" r:id="rId11"/>
    <sheet name="女子種目コード" sheetId="9" state="hidden" r:id="rId12"/>
    <sheet name="作業" sheetId="31" r:id="rId13"/>
    <sheet name="所属コード" sheetId="5" state="hidden" r:id="rId14"/>
    <sheet name="所属地コード" sheetId="6" state="hidden" r:id="rId15"/>
  </sheets>
  <functionGroups/>
  <externalReferences>
    <externalReference r:id="rId16"/>
  </externalReferences>
  <definedNames>
    <definedName name="_xlnm._FilterDatabase" localSheetId="8" hidden="1">SF!$F$6:$AL$6</definedName>
    <definedName name="_xlnm._FilterDatabase" localSheetId="7" hidden="1">ロードレース!#REF!</definedName>
    <definedName name="_xlnm._FilterDatabase" localSheetId="6" hidden="1">県選!$F$6:$AL$6</definedName>
    <definedName name="_xlnm._FilterDatabase" localSheetId="5" hidden="1">国体1次!$E$6:$AN$6</definedName>
    <definedName name="_xlnm._FilterDatabase" localSheetId="12" hidden="1">作業!$A$1:$D$111</definedName>
    <definedName name="_xlnm._FilterDatabase" localSheetId="13" hidden="1">所属コード!$B$1:$D$104</definedName>
    <definedName name="_xlnm._FilterDatabase" localSheetId="14" hidden="1">所属地コード!$B$1:$B$13</definedName>
    <definedName name="_xlnm._FilterDatabase" localSheetId="3" hidden="1">名簿!$E$7:$S$58</definedName>
    <definedName name="_xlnm.Print_Area" localSheetId="8">SF!$E$1:$BG$56</definedName>
    <definedName name="_xlnm.Print_Area" localSheetId="7">ロードレース!$E$1:$T$44</definedName>
    <definedName name="_xlnm.Print_Area" localSheetId="6">県選!$E$1:$BO$56</definedName>
    <definedName name="_xlnm.Print_Area" localSheetId="5">国体1次!$E$1:$AW$56</definedName>
    <definedName name="_xlnm.Print_Area" localSheetId="9">振込票貼付用紙!$A$1:$J$49</definedName>
    <definedName name="_xlnm.Print_Area" localSheetId="3">名簿!$A$7:$R$58</definedName>
    <definedName name="_xlnm.Print_Titles" localSheetId="8">SF!$6:$6</definedName>
    <definedName name="_xlnm.Print_Titles" localSheetId="6">県選!$6:$6</definedName>
    <definedName name="_xlnm.Print_Titles" localSheetId="5">国体1次!$6:$6</definedName>
    <definedName name="_xlnm.Print_Titles" localSheetId="3">名簿!$7:$8</definedName>
    <definedName name="女継新" localSheetId="8">#REF!</definedName>
    <definedName name="女継新">#REF!</definedName>
    <definedName name="女追加" localSheetId="8">#REF!</definedName>
    <definedName name="女追加">#REF!</definedName>
    <definedName name="男継新" localSheetId="8">#REF!</definedName>
    <definedName name="男継新">#REF!</definedName>
    <definedName name="男追加" localSheetId="8">#REF!</definedName>
    <definedName name="男追加">#REF!</definedName>
    <definedName name="登録日" localSheetId="8">[1]学校データ!#REF!</definedName>
    <definedName name="登録日">[1]学校データ!#REF!</definedName>
  </definedNames>
  <calcPr calcId="125725"/>
</workbook>
</file>

<file path=xl/calcChain.xml><?xml version="1.0" encoding="utf-8"?>
<calcChain xmlns="http://schemas.openxmlformats.org/spreadsheetml/2006/main">
  <c r="N8" i="15"/>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7"/>
  <c r="N8" i="1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7"/>
  <c r="D8" i="49"/>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7"/>
  <c r="G12" i="22"/>
  <c r="H12"/>
  <c r="I12"/>
  <c r="J12"/>
  <c r="G13"/>
  <c r="H13"/>
  <c r="I13"/>
  <c r="J13"/>
  <c r="G14"/>
  <c r="H14"/>
  <c r="I14"/>
  <c r="J14"/>
  <c r="G15"/>
  <c r="H15"/>
  <c r="I15"/>
  <c r="J15"/>
  <c r="G16"/>
  <c r="H16"/>
  <c r="I16"/>
  <c r="J16"/>
  <c r="G17"/>
  <c r="H17"/>
  <c r="I17"/>
  <c r="J17"/>
  <c r="G18"/>
  <c r="H18"/>
  <c r="I18"/>
  <c r="J18"/>
  <c r="G19"/>
  <c r="H19"/>
  <c r="I19"/>
  <c r="J19"/>
  <c r="G20"/>
  <c r="H20"/>
  <c r="I20"/>
  <c r="J20"/>
  <c r="E12"/>
  <c r="E13"/>
  <c r="E14"/>
  <c r="E15"/>
  <c r="E16"/>
  <c r="E17"/>
  <c r="E18"/>
  <c r="E19"/>
  <c r="E20"/>
  <c r="J11"/>
  <c r="I11"/>
  <c r="H11"/>
  <c r="G11"/>
  <c r="E11"/>
  <c r="M12"/>
  <c r="M13"/>
  <c r="M14"/>
  <c r="M15"/>
  <c r="M16"/>
  <c r="M17"/>
  <c r="M18"/>
  <c r="M19"/>
  <c r="M20"/>
  <c r="M11"/>
  <c r="D8" i="15"/>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7"/>
  <c r="D8" i="1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7"/>
  <c r="T12" i="22"/>
  <c r="T13"/>
  <c r="T14"/>
  <c r="T15"/>
  <c r="T16"/>
  <c r="T17"/>
  <c r="T18"/>
  <c r="T19"/>
  <c r="T20"/>
  <c r="T11"/>
  <c r="K8" i="49"/>
  <c r="K9"/>
  <c r="L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K48"/>
  <c r="L48"/>
  <c r="K49"/>
  <c r="L49"/>
  <c r="K50"/>
  <c r="L50"/>
  <c r="K51"/>
  <c r="L51"/>
  <c r="K52"/>
  <c r="L52"/>
  <c r="K53"/>
  <c r="L53"/>
  <c r="K54"/>
  <c r="L54"/>
  <c r="K55"/>
  <c r="L55"/>
  <c r="K56"/>
  <c r="L56"/>
  <c r="K7"/>
  <c r="K8" i="15"/>
  <c r="K9"/>
  <c r="L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K48"/>
  <c r="L48"/>
  <c r="K49"/>
  <c r="L49"/>
  <c r="K50"/>
  <c r="L50"/>
  <c r="K51"/>
  <c r="L51"/>
  <c r="K52"/>
  <c r="L52"/>
  <c r="K53"/>
  <c r="L53"/>
  <c r="K54"/>
  <c r="L54"/>
  <c r="K55"/>
  <c r="L55"/>
  <c r="K56"/>
  <c r="L56"/>
  <c r="K7"/>
  <c r="K8" i="18"/>
  <c r="K9"/>
  <c r="L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K48"/>
  <c r="L48"/>
  <c r="K49"/>
  <c r="L49"/>
  <c r="K50"/>
  <c r="L50"/>
  <c r="K51"/>
  <c r="L51"/>
  <c r="K52"/>
  <c r="L52"/>
  <c r="K53"/>
  <c r="L53"/>
  <c r="K54"/>
  <c r="L54"/>
  <c r="K55"/>
  <c r="L55"/>
  <c r="K56"/>
  <c r="L56"/>
  <c r="K7"/>
  <c r="BO10" i="10"/>
  <c r="BP10"/>
  <c r="BQ10"/>
  <c r="L8" i="49" s="1"/>
  <c r="BO11" i="10"/>
  <c r="BP11"/>
  <c r="BQ11"/>
  <c r="BO12"/>
  <c r="BP12"/>
  <c r="BQ12"/>
  <c r="BO13"/>
  <c r="BP13"/>
  <c r="BQ13"/>
  <c r="BO14"/>
  <c r="BP14"/>
  <c r="BQ14"/>
  <c r="BO15"/>
  <c r="BP15"/>
  <c r="BQ15"/>
  <c r="BO16"/>
  <c r="BP16"/>
  <c r="BQ16"/>
  <c r="BO17"/>
  <c r="BP17"/>
  <c r="BQ17"/>
  <c r="BO18"/>
  <c r="BP18"/>
  <c r="BQ18"/>
  <c r="BO19"/>
  <c r="BP19"/>
  <c r="BQ19"/>
  <c r="BO20"/>
  <c r="BP20"/>
  <c r="BQ20"/>
  <c r="BO21"/>
  <c r="BP21"/>
  <c r="BQ21"/>
  <c r="BO22"/>
  <c r="BP22"/>
  <c r="BQ22"/>
  <c r="BO23"/>
  <c r="BP23"/>
  <c r="BQ23"/>
  <c r="BO24"/>
  <c r="BP24"/>
  <c r="BQ24"/>
  <c r="BO25"/>
  <c r="BP25"/>
  <c r="BQ25"/>
  <c r="BO26"/>
  <c r="BP26"/>
  <c r="BQ26"/>
  <c r="BO27"/>
  <c r="BP27"/>
  <c r="BQ27"/>
  <c r="BO28"/>
  <c r="BP28"/>
  <c r="BQ28"/>
  <c r="BO29"/>
  <c r="BP29"/>
  <c r="BQ29"/>
  <c r="BO30"/>
  <c r="BP30"/>
  <c r="BQ30"/>
  <c r="BO31"/>
  <c r="BP31"/>
  <c r="BQ31"/>
  <c r="BO32"/>
  <c r="BP32"/>
  <c r="BQ32"/>
  <c r="BO33"/>
  <c r="BP33"/>
  <c r="BQ33"/>
  <c r="BO34"/>
  <c r="BP34"/>
  <c r="BQ34"/>
  <c r="BO35"/>
  <c r="BP35"/>
  <c r="BQ35"/>
  <c r="BO36"/>
  <c r="BP36"/>
  <c r="BQ36"/>
  <c r="BO37"/>
  <c r="BP37"/>
  <c r="BQ37"/>
  <c r="BO38"/>
  <c r="BP38"/>
  <c r="BQ38"/>
  <c r="BO39"/>
  <c r="BP39"/>
  <c r="BQ39"/>
  <c r="BO40"/>
  <c r="BP40"/>
  <c r="BQ40"/>
  <c r="BO41"/>
  <c r="BP41"/>
  <c r="BQ41"/>
  <c r="BO42"/>
  <c r="BP42"/>
  <c r="BQ42"/>
  <c r="BO43"/>
  <c r="BP43"/>
  <c r="BQ43"/>
  <c r="BO44"/>
  <c r="BP44"/>
  <c r="BQ44"/>
  <c r="BO45"/>
  <c r="BP45"/>
  <c r="BQ45"/>
  <c r="BO46"/>
  <c r="BP46"/>
  <c r="BQ46"/>
  <c r="BO47"/>
  <c r="BP47"/>
  <c r="BQ47"/>
  <c r="BO48"/>
  <c r="BP48"/>
  <c r="BQ48"/>
  <c r="BO49"/>
  <c r="BP49"/>
  <c r="BQ49"/>
  <c r="BO50"/>
  <c r="BP50"/>
  <c r="BQ50"/>
  <c r="BO51"/>
  <c r="BP51"/>
  <c r="BQ51"/>
  <c r="BO52"/>
  <c r="BP52"/>
  <c r="BQ52"/>
  <c r="BO53"/>
  <c r="BP53"/>
  <c r="BQ53"/>
  <c r="BO54"/>
  <c r="BP54"/>
  <c r="BQ54"/>
  <c r="BO55"/>
  <c r="BP55"/>
  <c r="BQ55"/>
  <c r="BO56"/>
  <c r="BP56"/>
  <c r="BQ56"/>
  <c r="BO57"/>
  <c r="BP57"/>
  <c r="BQ57"/>
  <c r="BO58"/>
  <c r="BP58"/>
  <c r="BQ58"/>
  <c r="BP9"/>
  <c r="BO9"/>
  <c r="BQ9" s="1"/>
  <c r="L7" i="49" s="1"/>
  <c r="G31" i="22" l="1"/>
  <c r="P4" s="1"/>
  <c r="K4" s="1"/>
  <c r="L7" i="18"/>
  <c r="L8"/>
  <c r="L7" i="15"/>
  <c r="L8"/>
  <c r="R9" i="10"/>
  <c r="M7" i="15" s="1"/>
  <c r="V56" i="18"/>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V15"/>
  <c r="V14"/>
  <c r="V13"/>
  <c r="V12"/>
  <c r="V11"/>
  <c r="V10"/>
  <c r="V9"/>
  <c r="V8"/>
  <c r="V7"/>
  <c r="C5" i="43"/>
  <c r="U8" i="49"/>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7"/>
  <c r="P9"/>
  <c r="BB9" s="1"/>
  <c r="P10"/>
  <c r="BB10" s="1"/>
  <c r="P11"/>
  <c r="P12"/>
  <c r="P13"/>
  <c r="BB13" s="1"/>
  <c r="P14"/>
  <c r="P15"/>
  <c r="P16"/>
  <c r="P17"/>
  <c r="BB17" s="1"/>
  <c r="P18"/>
  <c r="P19"/>
  <c r="P20"/>
  <c r="P21"/>
  <c r="BB21" s="1"/>
  <c r="P22"/>
  <c r="BB22" s="1"/>
  <c r="P23"/>
  <c r="P24"/>
  <c r="P25"/>
  <c r="BB25" s="1"/>
  <c r="P26"/>
  <c r="P27"/>
  <c r="P28"/>
  <c r="P29"/>
  <c r="P30"/>
  <c r="BB30" s="1"/>
  <c r="P31"/>
  <c r="P32"/>
  <c r="P33"/>
  <c r="BB33" s="1"/>
  <c r="P34"/>
  <c r="BB34" s="1"/>
  <c r="P35"/>
  <c r="P36"/>
  <c r="P37"/>
  <c r="BB37" s="1"/>
  <c r="P38"/>
  <c r="BB38" s="1"/>
  <c r="P39"/>
  <c r="P40"/>
  <c r="P41"/>
  <c r="BB41" s="1"/>
  <c r="P42"/>
  <c r="BB42" s="1"/>
  <c r="P43"/>
  <c r="P44"/>
  <c r="P45"/>
  <c r="BB45" s="1"/>
  <c r="P46"/>
  <c r="BB46" s="1"/>
  <c r="P47"/>
  <c r="P48"/>
  <c r="P49"/>
  <c r="BB49" s="1"/>
  <c r="P50"/>
  <c r="BB50" s="1"/>
  <c r="P51"/>
  <c r="P52"/>
  <c r="P53"/>
  <c r="BB53" s="1"/>
  <c r="P54"/>
  <c r="BB54" s="1"/>
  <c r="P55"/>
  <c r="P56"/>
  <c r="AG73"/>
  <c r="AB73"/>
  <c r="AG72"/>
  <c r="AB72"/>
  <c r="AG71"/>
  <c r="AB71"/>
  <c r="AG70"/>
  <c r="AB70"/>
  <c r="AG69"/>
  <c r="AF69"/>
  <c r="AE69"/>
  <c r="AD69"/>
  <c r="AC69"/>
  <c r="AB69"/>
  <c r="AG68"/>
  <c r="AF68"/>
  <c r="AE68"/>
  <c r="AD68"/>
  <c r="AC68"/>
  <c r="AB68"/>
  <c r="AG67"/>
  <c r="AF67"/>
  <c r="AE67"/>
  <c r="AD67"/>
  <c r="AC67"/>
  <c r="AB67"/>
  <c r="AG66"/>
  <c r="AF66"/>
  <c r="AE66"/>
  <c r="AD66"/>
  <c r="AC66"/>
  <c r="AB66"/>
  <c r="AT56"/>
  <c r="AQ56"/>
  <c r="AP56"/>
  <c r="AH56"/>
  <c r="X56"/>
  <c r="V56"/>
  <c r="Q56"/>
  <c r="J56"/>
  <c r="E56"/>
  <c r="C56"/>
  <c r="A56"/>
  <c r="AT55"/>
  <c r="AQ55"/>
  <c r="AP55"/>
  <c r="AH55"/>
  <c r="X55"/>
  <c r="V55"/>
  <c r="Q55"/>
  <c r="J55"/>
  <c r="E55"/>
  <c r="C55"/>
  <c r="A55"/>
  <c r="AT54"/>
  <c r="AQ54"/>
  <c r="AP54"/>
  <c r="AH54"/>
  <c r="X54"/>
  <c r="V54"/>
  <c r="Q54"/>
  <c r="J54"/>
  <c r="E54"/>
  <c r="C54"/>
  <c r="A54"/>
  <c r="AT53"/>
  <c r="AU53"/>
  <c r="AQ53"/>
  <c r="AP53"/>
  <c r="AH53"/>
  <c r="X53"/>
  <c r="V53"/>
  <c r="Q53"/>
  <c r="J53"/>
  <c r="E53"/>
  <c r="C53"/>
  <c r="A53"/>
  <c r="AT52"/>
  <c r="AQ52"/>
  <c r="AP52"/>
  <c r="AH52"/>
  <c r="X52"/>
  <c r="V52"/>
  <c r="Q52"/>
  <c r="J52"/>
  <c r="E52"/>
  <c r="C52"/>
  <c r="A52"/>
  <c r="AT51"/>
  <c r="AQ51"/>
  <c r="AP51"/>
  <c r="AH51"/>
  <c r="X51"/>
  <c r="V51"/>
  <c r="Q51"/>
  <c r="J51"/>
  <c r="E51"/>
  <c r="C51"/>
  <c r="A51"/>
  <c r="AT50"/>
  <c r="AQ50"/>
  <c r="AP50"/>
  <c r="AH50"/>
  <c r="X50"/>
  <c r="V50"/>
  <c r="Q50"/>
  <c r="J50"/>
  <c r="E50"/>
  <c r="C50"/>
  <c r="A50"/>
  <c r="AT49"/>
  <c r="AQ49"/>
  <c r="AP49"/>
  <c r="AH49"/>
  <c r="X49"/>
  <c r="V49"/>
  <c r="Q49"/>
  <c r="J49"/>
  <c r="E49"/>
  <c r="C49"/>
  <c r="A49"/>
  <c r="AT48"/>
  <c r="AQ48"/>
  <c r="AP48"/>
  <c r="AH48"/>
  <c r="X48"/>
  <c r="V48"/>
  <c r="Q48"/>
  <c r="J48"/>
  <c r="E48"/>
  <c r="C48"/>
  <c r="A48"/>
  <c r="AT47"/>
  <c r="AQ47"/>
  <c r="AP47"/>
  <c r="AH47"/>
  <c r="X47"/>
  <c r="V47"/>
  <c r="Q47"/>
  <c r="J47"/>
  <c r="E47"/>
  <c r="C47"/>
  <c r="A47"/>
  <c r="AT46"/>
  <c r="AQ46"/>
  <c r="AP46"/>
  <c r="AH46"/>
  <c r="X46"/>
  <c r="V46"/>
  <c r="Q46"/>
  <c r="J46"/>
  <c r="E46"/>
  <c r="C46"/>
  <c r="A46"/>
  <c r="AT45"/>
  <c r="AQ45"/>
  <c r="AP45"/>
  <c r="AH45"/>
  <c r="X45"/>
  <c r="V45"/>
  <c r="Q45"/>
  <c r="J45"/>
  <c r="E45"/>
  <c r="C45"/>
  <c r="A45"/>
  <c r="AT44"/>
  <c r="AQ44"/>
  <c r="AP44"/>
  <c r="AH44"/>
  <c r="X44"/>
  <c r="V44"/>
  <c r="Q44"/>
  <c r="J44"/>
  <c r="E44"/>
  <c r="C44"/>
  <c r="A44"/>
  <c r="AT43"/>
  <c r="AQ43"/>
  <c r="AP43"/>
  <c r="AH43"/>
  <c r="X43"/>
  <c r="V43"/>
  <c r="Q43"/>
  <c r="J43"/>
  <c r="E43"/>
  <c r="C43"/>
  <c r="A43"/>
  <c r="AT42"/>
  <c r="AQ42"/>
  <c r="AP42"/>
  <c r="AH42"/>
  <c r="X42"/>
  <c r="V42"/>
  <c r="Q42"/>
  <c r="J42"/>
  <c r="E42"/>
  <c r="C42"/>
  <c r="A42"/>
  <c r="AT41"/>
  <c r="AQ41"/>
  <c r="AP41"/>
  <c r="AH41"/>
  <c r="X41"/>
  <c r="V41"/>
  <c r="Q41"/>
  <c r="J41"/>
  <c r="E41"/>
  <c r="C41"/>
  <c r="A41"/>
  <c r="AT40"/>
  <c r="AQ40"/>
  <c r="AP40"/>
  <c r="AH40"/>
  <c r="X40"/>
  <c r="V40"/>
  <c r="Q40"/>
  <c r="J40"/>
  <c r="E40"/>
  <c r="C40"/>
  <c r="A40"/>
  <c r="AT39"/>
  <c r="AQ39"/>
  <c r="AP39"/>
  <c r="AH39"/>
  <c r="X39"/>
  <c r="V39"/>
  <c r="Q39"/>
  <c r="J39"/>
  <c r="E39"/>
  <c r="C39"/>
  <c r="A39"/>
  <c r="AT38"/>
  <c r="AQ38"/>
  <c r="AP38"/>
  <c r="AH38"/>
  <c r="X38"/>
  <c r="V38"/>
  <c r="Q38"/>
  <c r="J38"/>
  <c r="E38"/>
  <c r="C38"/>
  <c r="A38"/>
  <c r="AU38"/>
  <c r="AU40"/>
  <c r="AU42"/>
  <c r="AU44"/>
  <c r="AU46"/>
  <c r="AU48"/>
  <c r="AU50"/>
  <c r="AU52"/>
  <c r="AV53"/>
  <c r="AW53" s="1"/>
  <c r="AU54"/>
  <c r="AU55"/>
  <c r="AV55"/>
  <c r="AW55" s="1"/>
  <c r="AX55" s="1"/>
  <c r="AU56"/>
  <c r="AT37"/>
  <c r="AQ37"/>
  <c r="AP37"/>
  <c r="AH37"/>
  <c r="X37"/>
  <c r="V37"/>
  <c r="Q37"/>
  <c r="J37"/>
  <c r="E37"/>
  <c r="C37"/>
  <c r="A37"/>
  <c r="AU37"/>
  <c r="AT36"/>
  <c r="AQ36"/>
  <c r="AP36"/>
  <c r="AH36"/>
  <c r="X36"/>
  <c r="V36"/>
  <c r="Q36"/>
  <c r="J36"/>
  <c r="E36"/>
  <c r="C36"/>
  <c r="A36"/>
  <c r="AU36"/>
  <c r="AT35"/>
  <c r="AQ35"/>
  <c r="AP35"/>
  <c r="AH35"/>
  <c r="X35"/>
  <c r="V35"/>
  <c r="Q35"/>
  <c r="J35"/>
  <c r="E35"/>
  <c r="C35"/>
  <c r="A35"/>
  <c r="AU35"/>
  <c r="AT34"/>
  <c r="AQ34"/>
  <c r="AP34"/>
  <c r="AH34"/>
  <c r="X34"/>
  <c r="V34"/>
  <c r="Q34"/>
  <c r="J34"/>
  <c r="E34"/>
  <c r="C34"/>
  <c r="A34"/>
  <c r="AU34"/>
  <c r="AT33"/>
  <c r="AQ33"/>
  <c r="AP33"/>
  <c r="AH33"/>
  <c r="X33"/>
  <c r="V33"/>
  <c r="Q33"/>
  <c r="J33"/>
  <c r="E33"/>
  <c r="C33"/>
  <c r="A33"/>
  <c r="AU33"/>
  <c r="AT32"/>
  <c r="AQ32"/>
  <c r="AP32"/>
  <c r="AH32"/>
  <c r="X32"/>
  <c r="V32"/>
  <c r="Q32"/>
  <c r="J32"/>
  <c r="E32"/>
  <c r="C32"/>
  <c r="A32"/>
  <c r="AT31"/>
  <c r="AQ31"/>
  <c r="AP31"/>
  <c r="AH31"/>
  <c r="X31"/>
  <c r="V31"/>
  <c r="Q31"/>
  <c r="J31"/>
  <c r="E31"/>
  <c r="C31"/>
  <c r="A31"/>
  <c r="AT30"/>
  <c r="AQ30"/>
  <c r="AP30"/>
  <c r="AH30"/>
  <c r="X30"/>
  <c r="V30"/>
  <c r="Q30"/>
  <c r="J30"/>
  <c r="E30"/>
  <c r="C30"/>
  <c r="A30"/>
  <c r="AU30"/>
  <c r="AU31"/>
  <c r="AV31"/>
  <c r="AW31" s="1"/>
  <c r="AX31" s="1"/>
  <c r="AU32"/>
  <c r="AT29"/>
  <c r="AQ29"/>
  <c r="AP29"/>
  <c r="AH29"/>
  <c r="X29"/>
  <c r="V29"/>
  <c r="Q29"/>
  <c r="J29"/>
  <c r="E29"/>
  <c r="C29"/>
  <c r="A29"/>
  <c r="AU29"/>
  <c r="AT28"/>
  <c r="AQ28"/>
  <c r="AP28"/>
  <c r="AH28"/>
  <c r="X28"/>
  <c r="V28"/>
  <c r="Q28"/>
  <c r="J28"/>
  <c r="E28"/>
  <c r="C28"/>
  <c r="A28"/>
  <c r="AU28"/>
  <c r="AT27"/>
  <c r="AQ27"/>
  <c r="AP27"/>
  <c r="AH27"/>
  <c r="X27"/>
  <c r="V27"/>
  <c r="Q27"/>
  <c r="J27"/>
  <c r="E27"/>
  <c r="C27"/>
  <c r="A27"/>
  <c r="AU27"/>
  <c r="AV27"/>
  <c r="AT26"/>
  <c r="AQ26"/>
  <c r="AP26"/>
  <c r="AH26"/>
  <c r="X26"/>
  <c r="V26"/>
  <c r="Q26"/>
  <c r="J26"/>
  <c r="E26"/>
  <c r="C26"/>
  <c r="A26"/>
  <c r="AU26"/>
  <c r="AV26"/>
  <c r="AW26" s="1"/>
  <c r="AX26" s="1"/>
  <c r="BB26"/>
  <c r="AT25"/>
  <c r="AU25"/>
  <c r="AQ25"/>
  <c r="AP25"/>
  <c r="AH25"/>
  <c r="X25"/>
  <c r="V25"/>
  <c r="Q25"/>
  <c r="J25"/>
  <c r="E25"/>
  <c r="C25"/>
  <c r="A25"/>
  <c r="AT24"/>
  <c r="AU24"/>
  <c r="AQ24"/>
  <c r="AP24"/>
  <c r="AH24"/>
  <c r="X24"/>
  <c r="V24"/>
  <c r="Q24"/>
  <c r="J24"/>
  <c r="E24"/>
  <c r="C24"/>
  <c r="A24"/>
  <c r="AT23"/>
  <c r="AQ23"/>
  <c r="AP23"/>
  <c r="AH23"/>
  <c r="X23"/>
  <c r="V23"/>
  <c r="Q23"/>
  <c r="J23"/>
  <c r="E23"/>
  <c r="C23"/>
  <c r="A23"/>
  <c r="AT22"/>
  <c r="AU22"/>
  <c r="AQ22"/>
  <c r="AP22"/>
  <c r="AH22"/>
  <c r="X22"/>
  <c r="V22"/>
  <c r="Q22"/>
  <c r="J22"/>
  <c r="E22"/>
  <c r="C22"/>
  <c r="A22"/>
  <c r="AU23"/>
  <c r="AT21"/>
  <c r="AU21"/>
  <c r="AQ21"/>
  <c r="AP21"/>
  <c r="AH21"/>
  <c r="X21"/>
  <c r="V21"/>
  <c r="Q21"/>
  <c r="J21"/>
  <c r="E21"/>
  <c r="C21"/>
  <c r="A21"/>
  <c r="AT20"/>
  <c r="AU20"/>
  <c r="AQ20"/>
  <c r="AP20"/>
  <c r="AH20"/>
  <c r="X20"/>
  <c r="V20"/>
  <c r="Q20"/>
  <c r="J20"/>
  <c r="E20"/>
  <c r="C20"/>
  <c r="A20"/>
  <c r="AT19"/>
  <c r="AU19"/>
  <c r="AQ19"/>
  <c r="AP19"/>
  <c r="AH19"/>
  <c r="X19"/>
  <c r="V19"/>
  <c r="Q19"/>
  <c r="J19"/>
  <c r="E19"/>
  <c r="C19"/>
  <c r="A19"/>
  <c r="AT18"/>
  <c r="AU18"/>
  <c r="AQ18"/>
  <c r="AP18"/>
  <c r="AH18"/>
  <c r="X18"/>
  <c r="V18"/>
  <c r="Q18"/>
  <c r="J18"/>
  <c r="E18"/>
  <c r="C18"/>
  <c r="A18"/>
  <c r="BB18"/>
  <c r="AT17"/>
  <c r="AU17"/>
  <c r="AQ17"/>
  <c r="AP17"/>
  <c r="AH17"/>
  <c r="X17"/>
  <c r="V17"/>
  <c r="Q17"/>
  <c r="J17"/>
  <c r="E17"/>
  <c r="C17"/>
  <c r="A17"/>
  <c r="AT16"/>
  <c r="AU16"/>
  <c r="AQ16"/>
  <c r="AP16"/>
  <c r="AH16"/>
  <c r="X16"/>
  <c r="V16"/>
  <c r="Q16"/>
  <c r="J16"/>
  <c r="E16"/>
  <c r="C16"/>
  <c r="A16"/>
  <c r="AT15"/>
  <c r="AQ15"/>
  <c r="AP15"/>
  <c r="AH15"/>
  <c r="X15"/>
  <c r="V15"/>
  <c r="Q15"/>
  <c r="J15"/>
  <c r="E15"/>
  <c r="C15"/>
  <c r="A15"/>
  <c r="AT14"/>
  <c r="AU14"/>
  <c r="AQ14"/>
  <c r="AP14"/>
  <c r="AH14"/>
  <c r="X14"/>
  <c r="V14"/>
  <c r="Q14"/>
  <c r="J14"/>
  <c r="E14"/>
  <c r="C14"/>
  <c r="A14"/>
  <c r="BB14"/>
  <c r="AU15"/>
  <c r="AT13"/>
  <c r="AU13"/>
  <c r="AQ13"/>
  <c r="AP13"/>
  <c r="AH13"/>
  <c r="X13"/>
  <c r="V13"/>
  <c r="Q13"/>
  <c r="J13"/>
  <c r="E13"/>
  <c r="C13"/>
  <c r="A13"/>
  <c r="AT12"/>
  <c r="AU12"/>
  <c r="AQ12"/>
  <c r="AP12"/>
  <c r="AH12"/>
  <c r="X12"/>
  <c r="V12"/>
  <c r="Q12"/>
  <c r="J12"/>
  <c r="E12"/>
  <c r="C12"/>
  <c r="A12"/>
  <c r="AT11"/>
  <c r="AU11"/>
  <c r="AV11"/>
  <c r="AW11" s="1"/>
  <c r="AX11" s="1"/>
  <c r="AQ11"/>
  <c r="AP11"/>
  <c r="AH11"/>
  <c r="X11"/>
  <c r="V11"/>
  <c r="Q11"/>
  <c r="J11"/>
  <c r="E11"/>
  <c r="C11"/>
  <c r="A11"/>
  <c r="AT10"/>
  <c r="AU10"/>
  <c r="AV10"/>
  <c r="AQ10"/>
  <c r="AP10"/>
  <c r="AH10"/>
  <c r="X10"/>
  <c r="V10"/>
  <c r="Q10"/>
  <c r="J10"/>
  <c r="E10"/>
  <c r="C10"/>
  <c r="A10"/>
  <c r="AT9"/>
  <c r="AQ9"/>
  <c r="AP9"/>
  <c r="AH9"/>
  <c r="X9"/>
  <c r="V9"/>
  <c r="Q9"/>
  <c r="J9"/>
  <c r="E9"/>
  <c r="C9"/>
  <c r="A9"/>
  <c r="AT8"/>
  <c r="AU8" s="1"/>
  <c r="AV8" s="1"/>
  <c r="AQ8"/>
  <c r="AP8"/>
  <c r="AH8"/>
  <c r="X8"/>
  <c r="V8"/>
  <c r="Q8"/>
  <c r="J8"/>
  <c r="E8"/>
  <c r="C8"/>
  <c r="A8"/>
  <c r="AT7"/>
  <c r="AQ7"/>
  <c r="AP7"/>
  <c r="AH7"/>
  <c r="X7"/>
  <c r="V7"/>
  <c r="Q7"/>
  <c r="J7"/>
  <c r="E7"/>
  <c r="C7"/>
  <c r="A7"/>
  <c r="F4"/>
  <c r="F3"/>
  <c r="F1"/>
  <c r="Q9" i="10"/>
  <c r="B7" i="18" s="1"/>
  <c r="BH9" i="10"/>
  <c r="BI9" s="1"/>
  <c r="N58"/>
  <c r="O58"/>
  <c r="I56" i="49"/>
  <c r="P58" i="10"/>
  <c r="Q58" s="1"/>
  <c r="Z58"/>
  <c r="AX58"/>
  <c r="AY58"/>
  <c r="AZ58"/>
  <c r="BA58"/>
  <c r="BB58"/>
  <c r="BC58"/>
  <c r="BD58"/>
  <c r="BE58"/>
  <c r="BF58"/>
  <c r="BG58"/>
  <c r="BH58"/>
  <c r="AG73" i="15"/>
  <c r="AG72"/>
  <c r="AG71"/>
  <c r="AG70"/>
  <c r="AB73"/>
  <c r="AB72"/>
  <c r="AB71"/>
  <c r="AB70"/>
  <c r="AB69"/>
  <c r="AG69"/>
  <c r="AG68"/>
  <c r="AG67"/>
  <c r="AG66"/>
  <c r="AC66"/>
  <c r="AD66"/>
  <c r="AE66"/>
  <c r="AF66"/>
  <c r="AC67"/>
  <c r="AD67"/>
  <c r="AE67"/>
  <c r="AF67"/>
  <c r="AC68"/>
  <c r="AD68"/>
  <c r="AE68"/>
  <c r="AF68"/>
  <c r="AC69"/>
  <c r="AD69"/>
  <c r="AE69"/>
  <c r="AF69"/>
  <c r="AB68"/>
  <c r="AB67"/>
  <c r="AB66"/>
  <c r="BC10" i="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BC49"/>
  <c r="BC50"/>
  <c r="BC51"/>
  <c r="BC52"/>
  <c r="BC53"/>
  <c r="BC54"/>
  <c r="BC55"/>
  <c r="BC56"/>
  <c r="BC57"/>
  <c r="BC9"/>
  <c r="BF10"/>
  <c r="BG10"/>
  <c r="BF11"/>
  <c r="BG11"/>
  <c r="BF12"/>
  <c r="BG12"/>
  <c r="BF13"/>
  <c r="BG13"/>
  <c r="BF14"/>
  <c r="BG14"/>
  <c r="BF15"/>
  <c r="BG15"/>
  <c r="BF16"/>
  <c r="BG16"/>
  <c r="BF17"/>
  <c r="BG17"/>
  <c r="BF18"/>
  <c r="BG18"/>
  <c r="BF19"/>
  <c r="BG19"/>
  <c r="BF20"/>
  <c r="BG20"/>
  <c r="BF21"/>
  <c r="BG21"/>
  <c r="BF22"/>
  <c r="BG22"/>
  <c r="BF23"/>
  <c r="BG23"/>
  <c r="BF24"/>
  <c r="BG24"/>
  <c r="BF25"/>
  <c r="BG25"/>
  <c r="BF26"/>
  <c r="BG26"/>
  <c r="BF27"/>
  <c r="BG27"/>
  <c r="BF28"/>
  <c r="BG28"/>
  <c r="BF29"/>
  <c r="BG29"/>
  <c r="BF30"/>
  <c r="BG30"/>
  <c r="BF31"/>
  <c r="BG31"/>
  <c r="BF32"/>
  <c r="BG32"/>
  <c r="BF33"/>
  <c r="BG33"/>
  <c r="BF34"/>
  <c r="BG34"/>
  <c r="BF35"/>
  <c r="BG35"/>
  <c r="BF36"/>
  <c r="BG36"/>
  <c r="BF37"/>
  <c r="BG37"/>
  <c r="BF38"/>
  <c r="BG38"/>
  <c r="BF39"/>
  <c r="BG39"/>
  <c r="BF40"/>
  <c r="BG40"/>
  <c r="BF41"/>
  <c r="BG41"/>
  <c r="BF42"/>
  <c r="BG42"/>
  <c r="BF43"/>
  <c r="BG43"/>
  <c r="BF44"/>
  <c r="BG44"/>
  <c r="BF45"/>
  <c r="BG45"/>
  <c r="BF46"/>
  <c r="BG46"/>
  <c r="BF47"/>
  <c r="BG47"/>
  <c r="BF48"/>
  <c r="BG48"/>
  <c r="BF49"/>
  <c r="BG49"/>
  <c r="BF50"/>
  <c r="BG50"/>
  <c r="BF51"/>
  <c r="BG51"/>
  <c r="BF52"/>
  <c r="BG52"/>
  <c r="BF53"/>
  <c r="BG53"/>
  <c r="BF54"/>
  <c r="BG54"/>
  <c r="BF55"/>
  <c r="BG55"/>
  <c r="BF56"/>
  <c r="BG56"/>
  <c r="BF57"/>
  <c r="BG57"/>
  <c r="BG9"/>
  <c r="BF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9"/>
  <c r="V56" i="15"/>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V15"/>
  <c r="V14"/>
  <c r="V13"/>
  <c r="V12"/>
  <c r="V11"/>
  <c r="V10"/>
  <c r="V9"/>
  <c r="V8"/>
  <c r="V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F4" i="22"/>
  <c r="F3"/>
  <c r="F1"/>
  <c r="AH8" i="15"/>
  <c r="AH9"/>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C8"/>
  <c r="AC9"/>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7"/>
  <c r="C7"/>
  <c r="F4"/>
  <c r="F3"/>
  <c r="F1"/>
  <c r="F4" i="18"/>
  <c r="F3"/>
  <c r="F1"/>
  <c r="G7" i="43"/>
  <c r="C7"/>
  <c r="Q17" i="18"/>
  <c r="Q16"/>
  <c r="Q15"/>
  <c r="Q14"/>
  <c r="Q13"/>
  <c r="Q12"/>
  <c r="Q10"/>
  <c r="Q9"/>
  <c r="Q8"/>
  <c r="Q11"/>
  <c r="BH10" i="10"/>
  <c r="BH11"/>
  <c r="BH12"/>
  <c r="BN12"/>
  <c r="F10" i="49"/>
  <c r="H10"/>
  <c r="BH13" i="10"/>
  <c r="BM13"/>
  <c r="BH14"/>
  <c r="BL14"/>
  <c r="BH15"/>
  <c r="BH16"/>
  <c r="BN16"/>
  <c r="BH17"/>
  <c r="BH18"/>
  <c r="BN18"/>
  <c r="F16" i="49"/>
  <c r="H16"/>
  <c r="BH19" i="10"/>
  <c r="BH20"/>
  <c r="BJ20"/>
  <c r="BH21"/>
  <c r="BN21"/>
  <c r="F19" i="49"/>
  <c r="H19"/>
  <c r="BH22" i="10"/>
  <c r="BJ22"/>
  <c r="BH23"/>
  <c r="BH24"/>
  <c r="BH25"/>
  <c r="BL25"/>
  <c r="BH26"/>
  <c r="BH27"/>
  <c r="BH28"/>
  <c r="BM28"/>
  <c r="BH29"/>
  <c r="BJ29"/>
  <c r="BH30"/>
  <c r="BH31"/>
  <c r="BJ31"/>
  <c r="BH32"/>
  <c r="BH33"/>
  <c r="BH34"/>
  <c r="BN34"/>
  <c r="F32" i="49"/>
  <c r="H32"/>
  <c r="BH35" i="10"/>
  <c r="BH36"/>
  <c r="BH37"/>
  <c r="BN37"/>
  <c r="F35" i="49"/>
  <c r="H35"/>
  <c r="BH38" i="10"/>
  <c r="BH39"/>
  <c r="BN39"/>
  <c r="F37" i="49"/>
  <c r="H37"/>
  <c r="BJ39" i="10"/>
  <c r="BK39"/>
  <c r="BH40"/>
  <c r="BN40"/>
  <c r="F38" i="49"/>
  <c r="H38"/>
  <c r="BH41" i="10"/>
  <c r="BH42"/>
  <c r="BN42"/>
  <c r="F40" i="49"/>
  <c r="H40"/>
  <c r="BH43" i="10"/>
  <c r="BH44"/>
  <c r="BJ44"/>
  <c r="BN44"/>
  <c r="F42" i="49"/>
  <c r="H42"/>
  <c r="BH45" i="10"/>
  <c r="BN45"/>
  <c r="F43" i="49"/>
  <c r="H43"/>
  <c r="BH46" i="10"/>
  <c r="BM46"/>
  <c r="BH47"/>
  <c r="BK47"/>
  <c r="BH48"/>
  <c r="BK48"/>
  <c r="BH49"/>
  <c r="BM49"/>
  <c r="BH50"/>
  <c r="BH51"/>
  <c r="BK51"/>
  <c r="BH52"/>
  <c r="BJ52"/>
  <c r="BH53"/>
  <c r="BH54"/>
  <c r="BN54"/>
  <c r="BH55"/>
  <c r="BH56"/>
  <c r="BJ56"/>
  <c r="BH57"/>
  <c r="BJ57"/>
  <c r="BN57"/>
  <c r="F55" i="49"/>
  <c r="H55"/>
  <c r="BK13" i="10"/>
  <c r="BJ16"/>
  <c r="BJ17"/>
  <c r="BK18"/>
  <c r="BM18"/>
  <c r="BL20"/>
  <c r="BK21"/>
  <c r="BM21"/>
  <c r="BK24"/>
  <c r="BM24"/>
  <c r="BL27"/>
  <c r="BN27"/>
  <c r="F25" i="49"/>
  <c r="H25"/>
  <c r="BL37" i="10"/>
  <c r="BM38"/>
  <c r="BK40"/>
  <c r="BM40"/>
  <c r="BM42"/>
  <c r="BM50"/>
  <c r="BM51"/>
  <c r="BN52"/>
  <c r="F50" i="49"/>
  <c r="H50"/>
  <c r="F50" i="15"/>
  <c r="H50" s="1"/>
  <c r="BK54" i="10"/>
  <c r="BL56"/>
  <c r="BL57"/>
  <c r="E7" i="15"/>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AY18" i="10"/>
  <c r="BA18"/>
  <c r="AZ18"/>
  <c r="AR7" i="18"/>
  <c r="BG7" s="1"/>
  <c r="AU7"/>
  <c r="AI57" s="1"/>
  <c r="O9" i="10"/>
  <c r="I7" i="49" s="1"/>
  <c r="AR8" i="18"/>
  <c r="BG8" s="1"/>
  <c r="AU8"/>
  <c r="O10" i="10"/>
  <c r="I8" i="49" s="1"/>
  <c r="O33" i="10"/>
  <c r="I31" i="49"/>
  <c r="I31" i="18"/>
  <c r="I56"/>
  <c r="BI56"/>
  <c r="AU56"/>
  <c r="O57" i="10"/>
  <c r="AU55" i="18"/>
  <c r="O56" i="10"/>
  <c r="I54" i="49"/>
  <c r="I54" i="18"/>
  <c r="O55" i="10"/>
  <c r="I53" i="49"/>
  <c r="O54" i="10"/>
  <c r="I52" i="49"/>
  <c r="O53" i="10"/>
  <c r="O52"/>
  <c r="O51"/>
  <c r="O50"/>
  <c r="I48" i="49"/>
  <c r="O49" i="10"/>
  <c r="I47" i="49"/>
  <c r="O48" i="10"/>
  <c r="AU46" i="18"/>
  <c r="O47" i="10"/>
  <c r="I45" i="49"/>
  <c r="I45" i="18"/>
  <c r="AU45"/>
  <c r="O46" i="10"/>
  <c r="I44" i="49"/>
  <c r="AU44" i="18"/>
  <c r="O45" i="10"/>
  <c r="AU43" i="18"/>
  <c r="O44" i="10"/>
  <c r="I42" i="49"/>
  <c r="I42" i="15"/>
  <c r="BE42"/>
  <c r="AU42" i="18"/>
  <c r="O43" i="10"/>
  <c r="I41" i="49"/>
  <c r="I41" i="18"/>
  <c r="BI41"/>
  <c r="AU41"/>
  <c r="O42" i="10"/>
  <c r="I40" i="49"/>
  <c r="AU40" i="18"/>
  <c r="O41" i="10"/>
  <c r="I39" i="49"/>
  <c r="AU39" i="18"/>
  <c r="O40" i="10"/>
  <c r="AU38" i="18"/>
  <c r="O39" i="10"/>
  <c r="AU37" i="18"/>
  <c r="O38" i="10"/>
  <c r="I36" i="49"/>
  <c r="I36" i="18"/>
  <c r="BI36"/>
  <c r="AU36"/>
  <c r="O37" i="10"/>
  <c r="I35" i="49"/>
  <c r="O36" i="10"/>
  <c r="I34" i="49"/>
  <c r="I34" i="15"/>
  <c r="BE34" s="1"/>
  <c r="O35" i="10"/>
  <c r="I33" i="49"/>
  <c r="O34" i="10"/>
  <c r="I32" i="49"/>
  <c r="AR30" i="18"/>
  <c r="AU30"/>
  <c r="O32" i="10"/>
  <c r="I30" i="49"/>
  <c r="I30" i="18"/>
  <c r="BI30"/>
  <c r="AR29"/>
  <c r="AU29"/>
  <c r="BG29"/>
  <c r="O31" i="10"/>
  <c r="I29" i="49"/>
  <c r="AR28" i="18"/>
  <c r="AU28"/>
  <c r="O30" i="10"/>
  <c r="I28" i="49"/>
  <c r="I28" i="18"/>
  <c r="AR27"/>
  <c r="AU27"/>
  <c r="BG27"/>
  <c r="O29" i="10"/>
  <c r="I27" i="49"/>
  <c r="AR26" i="18"/>
  <c r="AU26"/>
  <c r="O28" i="10"/>
  <c r="I26" i="49"/>
  <c r="AR25" i="18"/>
  <c r="AU25"/>
  <c r="BG25"/>
  <c r="O27" i="10"/>
  <c r="I25" i="49"/>
  <c r="AR24" i="18"/>
  <c r="AU24"/>
  <c r="O26" i="10"/>
  <c r="I24" i="49"/>
  <c r="AR23" i="18"/>
  <c r="AU23"/>
  <c r="BG23"/>
  <c r="O25" i="10"/>
  <c r="I23" i="49"/>
  <c r="AR22" i="18"/>
  <c r="AU22"/>
  <c r="O24" i="10"/>
  <c r="I22" i="49"/>
  <c r="I22" i="18"/>
  <c r="BI22"/>
  <c r="AR21"/>
  <c r="AU21"/>
  <c r="BG21"/>
  <c r="O23" i="10"/>
  <c r="I21" i="49"/>
  <c r="AR20" i="18"/>
  <c r="AU20"/>
  <c r="O22" i="10"/>
  <c r="I20" i="49"/>
  <c r="AR19" i="18"/>
  <c r="AU19"/>
  <c r="BG19"/>
  <c r="O21" i="10"/>
  <c r="I19" i="49"/>
  <c r="AR18" i="18"/>
  <c r="AU18"/>
  <c r="O20" i="10"/>
  <c r="I18" i="49"/>
  <c r="I18" i="18"/>
  <c r="AR17"/>
  <c r="AU17"/>
  <c r="BG17"/>
  <c r="O19" i="10"/>
  <c r="I17" i="49"/>
  <c r="AR16" i="18"/>
  <c r="AU16"/>
  <c r="O18" i="10"/>
  <c r="I16" i="49"/>
  <c r="I16" i="18"/>
  <c r="AR15"/>
  <c r="AU15"/>
  <c r="BG15"/>
  <c r="O17" i="10"/>
  <c r="I15" i="49"/>
  <c r="AR14" i="18"/>
  <c r="AU14"/>
  <c r="O16" i="10"/>
  <c r="I14" i="49"/>
  <c r="AR13" i="18"/>
  <c r="AU13"/>
  <c r="BG13"/>
  <c r="O15" i="10"/>
  <c r="I13" i="49"/>
  <c r="AR12" i="18"/>
  <c r="AU12"/>
  <c r="O14" i="10"/>
  <c r="I12" i="49"/>
  <c r="I12" i="15"/>
  <c r="BE12"/>
  <c r="AR11" i="18"/>
  <c r="AU11"/>
  <c r="BG11"/>
  <c r="O13" i="10"/>
  <c r="I11" i="49"/>
  <c r="AR10" i="18"/>
  <c r="AU10"/>
  <c r="O12" i="10"/>
  <c r="I10" i="49"/>
  <c r="AR9" i="18"/>
  <c r="AU9"/>
  <c r="BG9"/>
  <c r="O11" i="10"/>
  <c r="I9" i="49"/>
  <c r="I9" i="18"/>
  <c r="BH9"/>
  <c r="AR31"/>
  <c r="AU31"/>
  <c r="BG31"/>
  <c r="AR56"/>
  <c r="BG56"/>
  <c r="AR55"/>
  <c r="BG55"/>
  <c r="AR54"/>
  <c r="AS54"/>
  <c r="AT54"/>
  <c r="AU54"/>
  <c r="BG54"/>
  <c r="AR53"/>
  <c r="AU53"/>
  <c r="BG53"/>
  <c r="AR52"/>
  <c r="AU52"/>
  <c r="BG52"/>
  <c r="AR51"/>
  <c r="AU51"/>
  <c r="BG51"/>
  <c r="AR50"/>
  <c r="AS50"/>
  <c r="AT50"/>
  <c r="AU50"/>
  <c r="BG50"/>
  <c r="AR49"/>
  <c r="AU49"/>
  <c r="BG49"/>
  <c r="AR48"/>
  <c r="AU48"/>
  <c r="BG48"/>
  <c r="AR47"/>
  <c r="AU47"/>
  <c r="BG47"/>
  <c r="AR46"/>
  <c r="BG46"/>
  <c r="AS46"/>
  <c r="AT46"/>
  <c r="AR45"/>
  <c r="BG45"/>
  <c r="AR44"/>
  <c r="BG44"/>
  <c r="AR43"/>
  <c r="BG43"/>
  <c r="AR42"/>
  <c r="BG42"/>
  <c r="AS42"/>
  <c r="AR41"/>
  <c r="BG41"/>
  <c r="AR40"/>
  <c r="BG40"/>
  <c r="AR39"/>
  <c r="BG39"/>
  <c r="AR38"/>
  <c r="BG38"/>
  <c r="AS38"/>
  <c r="AR37"/>
  <c r="BG37"/>
  <c r="AR36"/>
  <c r="BG36"/>
  <c r="AR35"/>
  <c r="AU35"/>
  <c r="BG35"/>
  <c r="AR34"/>
  <c r="AU34"/>
  <c r="AR33"/>
  <c r="AU33"/>
  <c r="AR32"/>
  <c r="AU32"/>
  <c r="BG32"/>
  <c r="AC7" i="15"/>
  <c r="P56"/>
  <c r="P55"/>
  <c r="P54"/>
  <c r="P53"/>
  <c r="P52"/>
  <c r="P51"/>
  <c r="P50"/>
  <c r="P49"/>
  <c r="P48"/>
  <c r="P47"/>
  <c r="P45"/>
  <c r="P44"/>
  <c r="P43"/>
  <c r="P42"/>
  <c r="P41"/>
  <c r="P40"/>
  <c r="P39"/>
  <c r="P38"/>
  <c r="P37"/>
  <c r="P36"/>
  <c r="P35"/>
  <c r="P34"/>
  <c r="P33"/>
  <c r="P32"/>
  <c r="P31"/>
  <c r="P30"/>
  <c r="P29"/>
  <c r="P28"/>
  <c r="P27"/>
  <c r="P26"/>
  <c r="P25"/>
  <c r="P24"/>
  <c r="P23"/>
  <c r="P22"/>
  <c r="P20"/>
  <c r="P19"/>
  <c r="P18"/>
  <c r="P17"/>
  <c r="P16"/>
  <c r="P15"/>
  <c r="P14"/>
  <c r="P13"/>
  <c r="P12"/>
  <c r="P9"/>
  <c r="U56"/>
  <c r="U55"/>
  <c r="U54"/>
  <c r="U53"/>
  <c r="U52"/>
  <c r="U51"/>
  <c r="U50"/>
  <c r="U49"/>
  <c r="U48"/>
  <c r="U47"/>
  <c r="BC47" s="1"/>
  <c r="U46"/>
  <c r="U45"/>
  <c r="U44"/>
  <c r="U43"/>
  <c r="U42"/>
  <c r="U41"/>
  <c r="U40"/>
  <c r="U39"/>
  <c r="U38"/>
  <c r="U37"/>
  <c r="U36"/>
  <c r="U35"/>
  <c r="U34"/>
  <c r="U33"/>
  <c r="U32"/>
  <c r="U31"/>
  <c r="U30"/>
  <c r="U29"/>
  <c r="U28"/>
  <c r="U27"/>
  <c r="U26"/>
  <c r="U25"/>
  <c r="U24"/>
  <c r="U23"/>
  <c r="U22"/>
  <c r="U21"/>
  <c r="U20"/>
  <c r="U19"/>
  <c r="U18"/>
  <c r="U17"/>
  <c r="U16"/>
  <c r="U15"/>
  <c r="U14"/>
  <c r="U13"/>
  <c r="U12"/>
  <c r="U11"/>
  <c r="U9"/>
  <c r="I31"/>
  <c r="BE31" s="1"/>
  <c r="I14"/>
  <c r="I16"/>
  <c r="BE16" s="1"/>
  <c r="I18"/>
  <c r="BD18" s="1"/>
  <c r="P21"/>
  <c r="I19"/>
  <c r="P8"/>
  <c r="I56"/>
  <c r="BD56" s="1"/>
  <c r="I50"/>
  <c r="BE50" s="1"/>
  <c r="P46"/>
  <c r="I45"/>
  <c r="BE45" s="1"/>
  <c r="I43"/>
  <c r="BE43" s="1"/>
  <c r="I41"/>
  <c r="I37"/>
  <c r="BD37" s="1"/>
  <c r="I36"/>
  <c r="BE36" s="1"/>
  <c r="I32"/>
  <c r="BE32" s="1"/>
  <c r="I30"/>
  <c r="I28"/>
  <c r="BD28" s="1"/>
  <c r="I26"/>
  <c r="BD26" s="1"/>
  <c r="I24"/>
  <c r="BD24" s="1"/>
  <c r="I22"/>
  <c r="BE22" s="1"/>
  <c r="I9"/>
  <c r="F14" i="18"/>
  <c r="H14"/>
  <c r="F19"/>
  <c r="F40"/>
  <c r="H40"/>
  <c r="F55"/>
  <c r="AX10" i="10"/>
  <c r="AY10"/>
  <c r="BA10"/>
  <c r="AZ10"/>
  <c r="BB10"/>
  <c r="BD10"/>
  <c r="BE10"/>
  <c r="AX11"/>
  <c r="AY11"/>
  <c r="BA11"/>
  <c r="AZ11"/>
  <c r="BB11"/>
  <c r="BD11"/>
  <c r="BE11"/>
  <c r="AX12"/>
  <c r="AY12"/>
  <c r="BA12"/>
  <c r="AZ12"/>
  <c r="BB12"/>
  <c r="BD12"/>
  <c r="BE12"/>
  <c r="AX13"/>
  <c r="AY13"/>
  <c r="BA13"/>
  <c r="AZ13"/>
  <c r="BB13"/>
  <c r="BD13"/>
  <c r="BE13"/>
  <c r="AX14"/>
  <c r="AY14"/>
  <c r="BA14"/>
  <c r="AZ14"/>
  <c r="BB14"/>
  <c r="BD14"/>
  <c r="BE14"/>
  <c r="AX15"/>
  <c r="AY15"/>
  <c r="BA15"/>
  <c r="AZ15"/>
  <c r="BB15"/>
  <c r="BD15"/>
  <c r="BE15"/>
  <c r="AX16"/>
  <c r="AY16"/>
  <c r="BA16"/>
  <c r="AZ16"/>
  <c r="BB16"/>
  <c r="BD16"/>
  <c r="BE16"/>
  <c r="AX17"/>
  <c r="AY17"/>
  <c r="BA17"/>
  <c r="AZ17"/>
  <c r="BB17"/>
  <c r="BD17"/>
  <c r="BE17"/>
  <c r="AX18"/>
  <c r="BB18"/>
  <c r="BD18"/>
  <c r="BE18"/>
  <c r="AX19"/>
  <c r="AY19"/>
  <c r="BA19"/>
  <c r="AZ19"/>
  <c r="BB19"/>
  <c r="BD19"/>
  <c r="BE19"/>
  <c r="AX20"/>
  <c r="AY20"/>
  <c r="BA20"/>
  <c r="AZ20"/>
  <c r="BB20"/>
  <c r="BD20"/>
  <c r="BE20"/>
  <c r="AX21"/>
  <c r="AY21"/>
  <c r="BA21"/>
  <c r="AZ21"/>
  <c r="BB21"/>
  <c r="BD21"/>
  <c r="BE21"/>
  <c r="AX22"/>
  <c r="AY22"/>
  <c r="BA22"/>
  <c r="AZ22"/>
  <c r="BB22"/>
  <c r="BD22"/>
  <c r="BE22"/>
  <c r="AX23"/>
  <c r="AY23"/>
  <c r="BA23"/>
  <c r="AZ23"/>
  <c r="BB23"/>
  <c r="BD23"/>
  <c r="BE23"/>
  <c r="AX24"/>
  <c r="AY24"/>
  <c r="BA24"/>
  <c r="AZ24"/>
  <c r="BB24"/>
  <c r="BD24"/>
  <c r="BE24"/>
  <c r="AX25"/>
  <c r="AY25"/>
  <c r="BA25"/>
  <c r="AZ25"/>
  <c r="BB25"/>
  <c r="BD25"/>
  <c r="BE25"/>
  <c r="AX26"/>
  <c r="AY26"/>
  <c r="BA26"/>
  <c r="AZ26"/>
  <c r="BB26"/>
  <c r="BD26"/>
  <c r="BE26"/>
  <c r="AX27"/>
  <c r="AY27"/>
  <c r="BA27"/>
  <c r="AZ27"/>
  <c r="BB27"/>
  <c r="BD27"/>
  <c r="BE27"/>
  <c r="AX28"/>
  <c r="AY28"/>
  <c r="BA28"/>
  <c r="AZ28"/>
  <c r="BB28"/>
  <c r="BD28"/>
  <c r="BE28"/>
  <c r="AX29"/>
  <c r="AY29"/>
  <c r="BA29"/>
  <c r="AZ29"/>
  <c r="BB29"/>
  <c r="BD29"/>
  <c r="BE29"/>
  <c r="AX30"/>
  <c r="AY30"/>
  <c r="BA30"/>
  <c r="AZ30"/>
  <c r="BB30"/>
  <c r="BD30"/>
  <c r="BE30"/>
  <c r="AX31"/>
  <c r="AY31"/>
  <c r="BA31"/>
  <c r="AZ31"/>
  <c r="BB31"/>
  <c r="BD31"/>
  <c r="BE31"/>
  <c r="AX32"/>
  <c r="AY32"/>
  <c r="BA32"/>
  <c r="AZ32"/>
  <c r="BB32"/>
  <c r="BD32"/>
  <c r="BE32"/>
  <c r="AX33"/>
  <c r="AY33"/>
  <c r="BA33"/>
  <c r="AZ33"/>
  <c r="BB33"/>
  <c r="BD33"/>
  <c r="BE33"/>
  <c r="AX34"/>
  <c r="AY34"/>
  <c r="BA34"/>
  <c r="AZ34"/>
  <c r="BB34"/>
  <c r="BD34"/>
  <c r="BE34"/>
  <c r="AX35"/>
  <c r="AY35"/>
  <c r="BA35"/>
  <c r="AZ35"/>
  <c r="BB35"/>
  <c r="BD35"/>
  <c r="BE35"/>
  <c r="AX36"/>
  <c r="AY36"/>
  <c r="BA36"/>
  <c r="AZ36"/>
  <c r="BB36"/>
  <c r="BD36"/>
  <c r="BE36"/>
  <c r="AX37"/>
  <c r="AY37"/>
  <c r="BA37"/>
  <c r="AZ37"/>
  <c r="BB37"/>
  <c r="BD37"/>
  <c r="BE37"/>
  <c r="AX38"/>
  <c r="AY38"/>
  <c r="BA38"/>
  <c r="AZ38"/>
  <c r="BB38"/>
  <c r="BD38"/>
  <c r="BE38"/>
  <c r="AX39"/>
  <c r="AY39"/>
  <c r="BA39"/>
  <c r="AZ39"/>
  <c r="BB39"/>
  <c r="BD39"/>
  <c r="BE39"/>
  <c r="AX40"/>
  <c r="AY40"/>
  <c r="BA40"/>
  <c r="AZ40"/>
  <c r="BB40"/>
  <c r="BD40"/>
  <c r="BE40"/>
  <c r="AX41"/>
  <c r="AY41"/>
  <c r="BA41"/>
  <c r="AZ41"/>
  <c r="BB41"/>
  <c r="BD41"/>
  <c r="BE41"/>
  <c r="AX42"/>
  <c r="AY42"/>
  <c r="BA42"/>
  <c r="AZ42"/>
  <c r="BB42"/>
  <c r="BD42"/>
  <c r="BE42"/>
  <c r="AX43"/>
  <c r="AY43"/>
  <c r="BA43"/>
  <c r="AZ43"/>
  <c r="BB43"/>
  <c r="BD43"/>
  <c r="BE43"/>
  <c r="AX44"/>
  <c r="AY44"/>
  <c r="BA44"/>
  <c r="AZ44"/>
  <c r="BB44"/>
  <c r="BD44"/>
  <c r="BE44"/>
  <c r="AX45"/>
  <c r="AY45"/>
  <c r="BA45"/>
  <c r="AZ45"/>
  <c r="BB45"/>
  <c r="BD45"/>
  <c r="BE45"/>
  <c r="AX46"/>
  <c r="AY46"/>
  <c r="BA46"/>
  <c r="AZ46"/>
  <c r="BB46"/>
  <c r="BD46"/>
  <c r="BE46"/>
  <c r="AX47"/>
  <c r="AY47"/>
  <c r="BA47"/>
  <c r="AZ47"/>
  <c r="BB47"/>
  <c r="BD47"/>
  <c r="BE47"/>
  <c r="AX48"/>
  <c r="AY48"/>
  <c r="BA48"/>
  <c r="AZ48"/>
  <c r="BB48"/>
  <c r="BD48"/>
  <c r="BE48"/>
  <c r="AX49"/>
  <c r="AY49"/>
  <c r="BA49"/>
  <c r="AZ49"/>
  <c r="BB49"/>
  <c r="BD49"/>
  <c r="BE49"/>
  <c r="AX50"/>
  <c r="AY50"/>
  <c r="BA50"/>
  <c r="AZ50"/>
  <c r="BB50"/>
  <c r="BD50"/>
  <c r="BE50"/>
  <c r="AX51"/>
  <c r="AY51"/>
  <c r="BA51"/>
  <c r="AZ51"/>
  <c r="BB51"/>
  <c r="BD51"/>
  <c r="BE51"/>
  <c r="AX52"/>
  <c r="AY52"/>
  <c r="BA52"/>
  <c r="AZ52"/>
  <c r="BB52"/>
  <c r="BD52"/>
  <c r="BE52"/>
  <c r="AX53"/>
  <c r="AY53"/>
  <c r="BA53"/>
  <c r="AZ53"/>
  <c r="BB53"/>
  <c r="BD53"/>
  <c r="BE53"/>
  <c r="AX54"/>
  <c r="AY54"/>
  <c r="BA54"/>
  <c r="AZ54"/>
  <c r="BB54"/>
  <c r="BD54"/>
  <c r="BE54"/>
  <c r="AX55"/>
  <c r="AY55"/>
  <c r="BA55"/>
  <c r="AZ55"/>
  <c r="BB55"/>
  <c r="BD55"/>
  <c r="BE55"/>
  <c r="AX56"/>
  <c r="AY56"/>
  <c r="BA56"/>
  <c r="AZ56"/>
  <c r="BB56"/>
  <c r="BD56"/>
  <c r="BE56"/>
  <c r="AX57"/>
  <c r="AY57"/>
  <c r="BA57"/>
  <c r="AZ57"/>
  <c r="BB57"/>
  <c r="BD57"/>
  <c r="BE57"/>
  <c r="AZ9"/>
  <c r="BA9"/>
  <c r="AY9"/>
  <c r="AX9"/>
  <c r="BE9"/>
  <c r="BD9"/>
  <c r="BB9"/>
  <c r="Q56" i="18"/>
  <c r="Q55"/>
  <c r="Q54"/>
  <c r="Q53"/>
  <c r="Q52"/>
  <c r="Q51"/>
  <c r="Q50"/>
  <c r="Q49"/>
  <c r="Q48"/>
  <c r="Q47"/>
  <c r="Q46"/>
  <c r="Q45"/>
  <c r="Q44"/>
  <c r="Q43"/>
  <c r="Q42"/>
  <c r="Q41"/>
  <c r="Q40"/>
  <c r="Q39"/>
  <c r="Q38"/>
  <c r="Q37"/>
  <c r="Q36"/>
  <c r="Q35"/>
  <c r="Q34"/>
  <c r="Q33"/>
  <c r="Q32"/>
  <c r="Q31"/>
  <c r="Q30"/>
  <c r="Q29"/>
  <c r="Q28"/>
  <c r="Q27"/>
  <c r="Q26"/>
  <c r="Q25"/>
  <c r="Q24"/>
  <c r="Q23"/>
  <c r="Q22"/>
  <c r="Q21"/>
  <c r="Q20"/>
  <c r="Q19"/>
  <c r="Q18"/>
  <c r="Q7"/>
  <c r="J7"/>
  <c r="Z9" i="10"/>
  <c r="G7" i="49" s="1"/>
  <c r="Z10" i="10"/>
  <c r="G8" i="49" s="1"/>
  <c r="G8" i="18"/>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AP19" i="15"/>
  <c r="AP8"/>
  <c r="AP7"/>
  <c r="AP9"/>
  <c r="AP10"/>
  <c r="AP11"/>
  <c r="AP12"/>
  <c r="AP13"/>
  <c r="AP14"/>
  <c r="AP15"/>
  <c r="AP16"/>
  <c r="AP17"/>
  <c r="AP18"/>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Q7"/>
  <c r="AQ8"/>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Q49"/>
  <c r="AQ50"/>
  <c r="AQ51"/>
  <c r="AQ52"/>
  <c r="AQ53"/>
  <c r="AQ54"/>
  <c r="AQ55"/>
  <c r="AQ56"/>
  <c r="AS13" i="18"/>
  <c r="AT13"/>
  <c r="AS11"/>
  <c r="AT11"/>
  <c r="AS8"/>
  <c r="AT8" s="1"/>
  <c r="AS9"/>
  <c r="AS10"/>
  <c r="AS15"/>
  <c r="AT15"/>
  <c r="AS17"/>
  <c r="AT17"/>
  <c r="AS19"/>
  <c r="AT19"/>
  <c r="AS20"/>
  <c r="AT20"/>
  <c r="AS21"/>
  <c r="AS23"/>
  <c r="AT23"/>
  <c r="AS24"/>
  <c r="AS25"/>
  <c r="AT25"/>
  <c r="AS27"/>
  <c r="AT27"/>
  <c r="AS28"/>
  <c r="AS29"/>
  <c r="AT29"/>
  <c r="AS31"/>
  <c r="AT31"/>
  <c r="AS32"/>
  <c r="AS35"/>
  <c r="AS36"/>
  <c r="AT36"/>
  <c r="AS37"/>
  <c r="AT37"/>
  <c r="AS39"/>
  <c r="AS40"/>
  <c r="AT40"/>
  <c r="AS41"/>
  <c r="AT41"/>
  <c r="AS43"/>
  <c r="AS44"/>
  <c r="AS45"/>
  <c r="AT45"/>
  <c r="AS47"/>
  <c r="AS48"/>
  <c r="AS49"/>
  <c r="AS51"/>
  <c r="AS52"/>
  <c r="AT52"/>
  <c r="AS53"/>
  <c r="AT53"/>
  <c r="AS55"/>
  <c r="AS56"/>
  <c r="AT56"/>
  <c r="AT9"/>
  <c r="AT21"/>
  <c r="AT28"/>
  <c r="AT32"/>
  <c r="AT38"/>
  <c r="AT42"/>
  <c r="AT44"/>
  <c r="AT48"/>
  <c r="AT49"/>
  <c r="AT10" i="15"/>
  <c r="AU10" s="1"/>
  <c r="AT7"/>
  <c r="AT8"/>
  <c r="AU8" s="1"/>
  <c r="AT9"/>
  <c r="AU9" s="1"/>
  <c r="AT14"/>
  <c r="AT15"/>
  <c r="AU15" s="1"/>
  <c r="AT19"/>
  <c r="AU19" s="1"/>
  <c r="AT11"/>
  <c r="AT12"/>
  <c r="AU12" s="1"/>
  <c r="AT13"/>
  <c r="AU13" s="1"/>
  <c r="AT16"/>
  <c r="AU16" s="1"/>
  <c r="AT17"/>
  <c r="AU17" s="1"/>
  <c r="AT18"/>
  <c r="AU18" s="1"/>
  <c r="AT20"/>
  <c r="AU20" s="1"/>
  <c r="AT21"/>
  <c r="AT22"/>
  <c r="AU22" s="1"/>
  <c r="AT23"/>
  <c r="AU23" s="1"/>
  <c r="AT24"/>
  <c r="AT25"/>
  <c r="AU25" s="1"/>
  <c r="AV25" s="1"/>
  <c r="AW25" s="1"/>
  <c r="AT26"/>
  <c r="AU26" s="1"/>
  <c r="AT27"/>
  <c r="AT28"/>
  <c r="AU28" s="1"/>
  <c r="AT29"/>
  <c r="AU29" s="1"/>
  <c r="AT30"/>
  <c r="AT31"/>
  <c r="AU31" s="1"/>
  <c r="AT32"/>
  <c r="AU32" s="1"/>
  <c r="AT33"/>
  <c r="AU33" s="1"/>
  <c r="AV33" s="1"/>
  <c r="AW33" s="1"/>
  <c r="AT34"/>
  <c r="AU34" s="1"/>
  <c r="AT35"/>
  <c r="AU35" s="1"/>
  <c r="AT36"/>
  <c r="AU36" s="1"/>
  <c r="AT37"/>
  <c r="AT38"/>
  <c r="AU38" s="1"/>
  <c r="AT39"/>
  <c r="AU39" s="1"/>
  <c r="AT40"/>
  <c r="AT41"/>
  <c r="AU41" s="1"/>
  <c r="AT42"/>
  <c r="AU42"/>
  <c r="AT43"/>
  <c r="AT44"/>
  <c r="AU44" s="1"/>
  <c r="AV44" s="1"/>
  <c r="AW44" s="1"/>
  <c r="AT45"/>
  <c r="AU45" s="1"/>
  <c r="AT46"/>
  <c r="AT47"/>
  <c r="AU47" s="1"/>
  <c r="AV47" s="1"/>
  <c r="AW47" s="1"/>
  <c r="AT48"/>
  <c r="AU48" s="1"/>
  <c r="AT49"/>
  <c r="AU49" s="1"/>
  <c r="AT50"/>
  <c r="AU50" s="1"/>
  <c r="AT51"/>
  <c r="AU51" s="1"/>
  <c r="AT52"/>
  <c r="AU52" s="1"/>
  <c r="AT53"/>
  <c r="AT54"/>
  <c r="AU54" s="1"/>
  <c r="AT55"/>
  <c r="AU55" s="1"/>
  <c r="AT56"/>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G8"/>
  <c r="Z11" i="10"/>
  <c r="G9" i="49"/>
  <c r="Z12" i="10"/>
  <c r="G10" i="49"/>
  <c r="Z13" i="10"/>
  <c r="G11" i="49"/>
  <c r="G11" i="15"/>
  <c r="Z14" i="10"/>
  <c r="G12" i="49"/>
  <c r="Z15" i="10"/>
  <c r="G13" i="49"/>
  <c r="Z16" i="10"/>
  <c r="G14" i="49"/>
  <c r="Z17" i="10"/>
  <c r="G15" i="49"/>
  <c r="G15" i="15"/>
  <c r="Z18" i="10"/>
  <c r="G16" i="49"/>
  <c r="Z19" i="10"/>
  <c r="G17" i="49"/>
  <c r="G17" i="15"/>
  <c r="Z20" i="10"/>
  <c r="G18" i="49"/>
  <c r="Z21" i="10"/>
  <c r="Z22"/>
  <c r="G20" i="49"/>
  <c r="Z23" i="10"/>
  <c r="G21" i="49"/>
  <c r="G21" i="18"/>
  <c r="Z24" i="10"/>
  <c r="G22" i="49"/>
  <c r="Z25" i="10"/>
  <c r="Z26"/>
  <c r="Z27"/>
  <c r="Z28"/>
  <c r="G26" i="49"/>
  <c r="Z29" i="10"/>
  <c r="G27" i="49"/>
  <c r="G27" i="15"/>
  <c r="Z30" i="10"/>
  <c r="G28" i="49"/>
  <c r="Z31" i="10"/>
  <c r="Z32"/>
  <c r="G30" i="49"/>
  <c r="Z33" i="10"/>
  <c r="G31" i="49"/>
  <c r="G31" i="15"/>
  <c r="Z34" i="10"/>
  <c r="G32" i="49"/>
  <c r="Z35" i="10"/>
  <c r="G33" i="49"/>
  <c r="G33" i="15"/>
  <c r="Z36" i="10"/>
  <c r="G34" i="49"/>
  <c r="Z37" i="10"/>
  <c r="Z38"/>
  <c r="G36" i="49"/>
  <c r="Z39" i="10"/>
  <c r="G37" i="49"/>
  <c r="Z40" i="10"/>
  <c r="G38" i="49"/>
  <c r="Z41" i="10"/>
  <c r="Z42"/>
  <c r="G40" i="49"/>
  <c r="Z43" i="10"/>
  <c r="G41" i="49"/>
  <c r="G41" i="15"/>
  <c r="Z44" i="10"/>
  <c r="G42" i="49"/>
  <c r="G42" i="18"/>
  <c r="Z45" i="10"/>
  <c r="G43" i="49"/>
  <c r="G43" i="15"/>
  <c r="Z46" i="10"/>
  <c r="G44" i="49"/>
  <c r="Z47" i="10"/>
  <c r="Z48"/>
  <c r="G46" i="49"/>
  <c r="Z49" i="10"/>
  <c r="G47" i="49"/>
  <c r="G47" i="15"/>
  <c r="Z50" i="10"/>
  <c r="G48" i="49"/>
  <c r="Z51" i="10"/>
  <c r="Z52"/>
  <c r="G50" i="49"/>
  <c r="Z53" i="10"/>
  <c r="G51" i="49"/>
  <c r="G51" i="15"/>
  <c r="Z54" i="10"/>
  <c r="G52" i="49"/>
  <c r="Z55" i="10"/>
  <c r="Z56"/>
  <c r="Z57"/>
  <c r="G55" i="49"/>
  <c r="G55" i="15"/>
  <c r="G10" i="18"/>
  <c r="G11"/>
  <c r="G15"/>
  <c r="G17"/>
  <c r="G19"/>
  <c r="G22"/>
  <c r="G23"/>
  <c r="G31"/>
  <c r="G33"/>
  <c r="G38"/>
  <c r="G41"/>
  <c r="G43"/>
  <c r="G47"/>
  <c r="G51"/>
  <c r="G55"/>
  <c r="G56"/>
  <c r="P11" i="10"/>
  <c r="Q11" s="1"/>
  <c r="B9" i="49" s="1"/>
  <c r="P12" i="10"/>
  <c r="Q12" s="1"/>
  <c r="B10" i="18" s="1"/>
  <c r="P13" i="10"/>
  <c r="Q13" s="1"/>
  <c r="B11" i="18" s="1"/>
  <c r="P14" i="10"/>
  <c r="Q14" s="1"/>
  <c r="P15"/>
  <c r="Q15" s="1"/>
  <c r="B13" i="18" s="1"/>
  <c r="P16" i="10"/>
  <c r="Q16" s="1"/>
  <c r="B14" i="49" s="1"/>
  <c r="P17" i="10"/>
  <c r="Q17" s="1"/>
  <c r="B15" i="49" s="1"/>
  <c r="P18" i="10"/>
  <c r="Q18" s="1"/>
  <c r="P19"/>
  <c r="Q19" s="1"/>
  <c r="B17" i="49" s="1"/>
  <c r="P20" i="10"/>
  <c r="Q20" s="1"/>
  <c r="P21"/>
  <c r="Q21" s="1"/>
  <c r="P22"/>
  <c r="Q22" s="1"/>
  <c r="B20" i="15" s="1"/>
  <c r="P23" i="10"/>
  <c r="Q23" s="1"/>
  <c r="P24"/>
  <c r="Q24" s="1"/>
  <c r="B22" i="49" s="1"/>
  <c r="P25" i="10"/>
  <c r="Q25" s="1"/>
  <c r="P26"/>
  <c r="Q26" s="1"/>
  <c r="B24" i="49" s="1"/>
  <c r="P27" i="10"/>
  <c r="Q27" s="1"/>
  <c r="B25" i="49" s="1"/>
  <c r="P28" i="10"/>
  <c r="Q28" s="1"/>
  <c r="B26" i="15" s="1"/>
  <c r="P29" i="10"/>
  <c r="Q29" s="1"/>
  <c r="B27" i="18" s="1"/>
  <c r="P30" i="10"/>
  <c r="Q30" s="1"/>
  <c r="B28" i="18" s="1"/>
  <c r="P31" i="10"/>
  <c r="Q31" s="1"/>
  <c r="P32"/>
  <c r="Q32" s="1"/>
  <c r="B30" i="49" s="1"/>
  <c r="P33" i="10"/>
  <c r="Q33" s="1"/>
  <c r="P34"/>
  <c r="Q34" s="1"/>
  <c r="B32" i="18" s="1"/>
  <c r="P35" i="10"/>
  <c r="Q35" s="1"/>
  <c r="B33" i="49" s="1"/>
  <c r="P36" i="10"/>
  <c r="Q36" s="1"/>
  <c r="B34" i="18" s="1"/>
  <c r="P37" i="10"/>
  <c r="Q37" s="1"/>
  <c r="P38"/>
  <c r="Q38" s="1"/>
  <c r="B36" i="15" s="1"/>
  <c r="P39" i="10"/>
  <c r="Q39" s="1"/>
  <c r="P40"/>
  <c r="Q40" s="1"/>
  <c r="B38" i="15" s="1"/>
  <c r="P41" i="10"/>
  <c r="Q41" s="1"/>
  <c r="B39" i="15" s="1"/>
  <c r="P42" i="10"/>
  <c r="Q42" s="1"/>
  <c r="P43"/>
  <c r="Q43" s="1"/>
  <c r="B41" i="49" s="1"/>
  <c r="P44" i="10"/>
  <c r="Q44" s="1"/>
  <c r="B42" i="18" s="1"/>
  <c r="P45" i="10"/>
  <c r="Q45" s="1"/>
  <c r="P46"/>
  <c r="Q46" s="1"/>
  <c r="B44" i="18" s="1"/>
  <c r="P47" i="10"/>
  <c r="Q47" s="1"/>
  <c r="B45" i="49" s="1"/>
  <c r="P48" i="10"/>
  <c r="Q48" s="1"/>
  <c r="P49"/>
  <c r="Q49" s="1"/>
  <c r="B47" i="49" s="1"/>
  <c r="P50" i="10"/>
  <c r="Q50" s="1"/>
  <c r="P51"/>
  <c r="Q51" s="1"/>
  <c r="B49" i="49" s="1"/>
  <c r="P52" i="10"/>
  <c r="Q52" s="1"/>
  <c r="B50" i="15" s="1"/>
  <c r="P53" i="10"/>
  <c r="Q53" s="1"/>
  <c r="P54"/>
  <c r="Q54" s="1"/>
  <c r="P55"/>
  <c r="Q55" s="1"/>
  <c r="P56"/>
  <c r="Q56" s="1"/>
  <c r="B54" i="15" s="1"/>
  <c r="P57" i="10"/>
  <c r="Q57" s="1"/>
  <c r="P10"/>
  <c r="Q10" s="1"/>
  <c r="AE8" i="18"/>
  <c r="AE9"/>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7"/>
  <c r="E9"/>
  <c r="J9"/>
  <c r="Z9"/>
  <c r="E10"/>
  <c r="J10"/>
  <c r="Z10"/>
  <c r="E11"/>
  <c r="J11"/>
  <c r="Z11"/>
  <c r="E12"/>
  <c r="J12"/>
  <c r="Z12"/>
  <c r="E13"/>
  <c r="J13"/>
  <c r="Z13"/>
  <c r="E14"/>
  <c r="J14"/>
  <c r="Z14"/>
  <c r="E15"/>
  <c r="J15"/>
  <c r="Z15"/>
  <c r="E16"/>
  <c r="J16"/>
  <c r="Z16"/>
  <c r="E17"/>
  <c r="J17"/>
  <c r="Z17"/>
  <c r="E18"/>
  <c r="J18"/>
  <c r="Z18"/>
  <c r="E19"/>
  <c r="H19"/>
  <c r="J19"/>
  <c r="Z19"/>
  <c r="E20"/>
  <c r="J20"/>
  <c r="Z20"/>
  <c r="E21"/>
  <c r="J21"/>
  <c r="Z21"/>
  <c r="E22"/>
  <c r="J22"/>
  <c r="Z22"/>
  <c r="E23"/>
  <c r="J23"/>
  <c r="Z23"/>
  <c r="E24"/>
  <c r="J24"/>
  <c r="Z24"/>
  <c r="E25"/>
  <c r="J25"/>
  <c r="Z25"/>
  <c r="E26"/>
  <c r="J26"/>
  <c r="Z26"/>
  <c r="E27"/>
  <c r="J27"/>
  <c r="Z27"/>
  <c r="E28"/>
  <c r="J28"/>
  <c r="Z28"/>
  <c r="E29"/>
  <c r="J29"/>
  <c r="Z29"/>
  <c r="E30"/>
  <c r="J30"/>
  <c r="Z30"/>
  <c r="E31"/>
  <c r="J31"/>
  <c r="Z31"/>
  <c r="E32"/>
  <c r="J32"/>
  <c r="Z32"/>
  <c r="E33"/>
  <c r="J33"/>
  <c r="Z33"/>
  <c r="E34"/>
  <c r="J34"/>
  <c r="Z34"/>
  <c r="E35"/>
  <c r="J35"/>
  <c r="Z35"/>
  <c r="E36"/>
  <c r="J36"/>
  <c r="Z36"/>
  <c r="E37"/>
  <c r="J37"/>
  <c r="Z37"/>
  <c r="E38"/>
  <c r="J38"/>
  <c r="Z38"/>
  <c r="E39"/>
  <c r="J39"/>
  <c r="Z39"/>
  <c r="E40"/>
  <c r="J40"/>
  <c r="Z40"/>
  <c r="E41"/>
  <c r="J41"/>
  <c r="Z41"/>
  <c r="E42"/>
  <c r="J42"/>
  <c r="Z42"/>
  <c r="E43"/>
  <c r="J43"/>
  <c r="Z43"/>
  <c r="E44"/>
  <c r="J44"/>
  <c r="Z44"/>
  <c r="E45"/>
  <c r="J45"/>
  <c r="Z45"/>
  <c r="E46"/>
  <c r="J46"/>
  <c r="Z46"/>
  <c r="E47"/>
  <c r="J47"/>
  <c r="Z47"/>
  <c r="E48"/>
  <c r="J48"/>
  <c r="Z48"/>
  <c r="E49"/>
  <c r="J49"/>
  <c r="Z49"/>
  <c r="E50"/>
  <c r="J50"/>
  <c r="Z50"/>
  <c r="E51"/>
  <c r="J51"/>
  <c r="Z51"/>
  <c r="E52"/>
  <c r="J52"/>
  <c r="Z52"/>
  <c r="E53"/>
  <c r="J53"/>
  <c r="Z53"/>
  <c r="E54"/>
  <c r="J54"/>
  <c r="Z54"/>
  <c r="E55"/>
  <c r="H55"/>
  <c r="J55"/>
  <c r="Z55"/>
  <c r="E56"/>
  <c r="J56"/>
  <c r="Z56"/>
  <c r="AJ56"/>
  <c r="AJ55"/>
  <c r="AJ54"/>
  <c r="AJ53"/>
  <c r="AJ52"/>
  <c r="AJ51"/>
  <c r="AJ50"/>
  <c r="AJ49"/>
  <c r="AJ48"/>
  <c r="AJ47"/>
  <c r="AJ46"/>
  <c r="AJ45"/>
  <c r="AJ44"/>
  <c r="AJ43"/>
  <c r="AJ42"/>
  <c r="AJ41"/>
  <c r="AJ40"/>
  <c r="AJ39"/>
  <c r="AJ38"/>
  <c r="AJ37"/>
  <c r="AJ36"/>
  <c r="AJ35"/>
  <c r="AJ34"/>
  <c r="AJ33"/>
  <c r="AJ32"/>
  <c r="AJ31"/>
  <c r="AJ30"/>
  <c r="AJ29"/>
  <c r="AJ28"/>
  <c r="AJ27"/>
  <c r="AJ26"/>
  <c r="AJ25"/>
  <c r="AJ24"/>
  <c r="AJ23"/>
  <c r="AJ22"/>
  <c r="AJ21"/>
  <c r="AJ20"/>
  <c r="AJ19"/>
  <c r="AJ18"/>
  <c r="AJ17"/>
  <c r="AJ16"/>
  <c r="AJ15"/>
  <c r="AJ14"/>
  <c r="AJ13"/>
  <c r="AJ12"/>
  <c r="AJ11"/>
  <c r="AJ10"/>
  <c r="AJ9"/>
  <c r="AJ8"/>
  <c r="AJ7"/>
  <c r="J7" i="15"/>
  <c r="X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E7" i="18"/>
  <c r="Z7"/>
  <c r="E8"/>
  <c r="J8"/>
  <c r="Z8"/>
  <c r="U8" i="15"/>
  <c r="AH10"/>
  <c r="AC10"/>
  <c r="BD9"/>
  <c r="BE9"/>
  <c r="BD22"/>
  <c r="BE24"/>
  <c r="BD32"/>
  <c r="BD41"/>
  <c r="BE41"/>
  <c r="BD42"/>
  <c r="BD50"/>
  <c r="BD19"/>
  <c r="BE19"/>
  <c r="BD14"/>
  <c r="BE14"/>
  <c r="BD31"/>
  <c r="AH7"/>
  <c r="U10"/>
  <c r="P10"/>
  <c r="P11"/>
  <c r="BI18" i="18"/>
  <c r="BH18"/>
  <c r="BI54"/>
  <c r="BH54"/>
  <c r="F43"/>
  <c r="H43"/>
  <c r="F43" i="15"/>
  <c r="H43"/>
  <c r="F37"/>
  <c r="H37" s="1"/>
  <c r="F37" i="18"/>
  <c r="H37"/>
  <c r="BI45"/>
  <c r="BH45"/>
  <c r="BD34" i="15"/>
  <c r="BI16" i="18"/>
  <c r="BH16"/>
  <c r="BI31"/>
  <c r="BH31"/>
  <c r="BD12" i="15"/>
  <c r="G53" i="18"/>
  <c r="G56" i="15"/>
  <c r="G45"/>
  <c r="G29"/>
  <c r="G13"/>
  <c r="I49"/>
  <c r="I24" i="18"/>
  <c r="I34"/>
  <c r="I39"/>
  <c r="I42"/>
  <c r="I53"/>
  <c r="BK49" i="10"/>
  <c r="BJ48"/>
  <c r="BN28"/>
  <c r="F26" i="49"/>
  <c r="H26"/>
  <c r="F26" i="18"/>
  <c r="H26"/>
  <c r="BN25" i="10"/>
  <c r="F23" i="49"/>
  <c r="H23"/>
  <c r="BN14" i="10"/>
  <c r="F12" i="49"/>
  <c r="H12"/>
  <c r="F12" i="18"/>
  <c r="H12"/>
  <c r="F25"/>
  <c r="H25"/>
  <c r="G37"/>
  <c r="I39" i="15"/>
  <c r="BD39" s="1"/>
  <c r="I53"/>
  <c r="BE53" s="1"/>
  <c r="BI9" i="18"/>
  <c r="BH36"/>
  <c r="I55"/>
  <c r="BL52" i="10"/>
  <c r="BM45"/>
  <c r="BJ37"/>
  <c r="BN48"/>
  <c r="F46" i="49"/>
  <c r="H46"/>
  <c r="F46" i="15"/>
  <c r="H46" s="1"/>
  <c r="BN47" i="10"/>
  <c r="F45" i="49"/>
  <c r="H45"/>
  <c r="BK44" i="10"/>
  <c r="BD16" i="15"/>
  <c r="G37"/>
  <c r="G21"/>
  <c r="BH56" i="18"/>
  <c r="I10"/>
  <c r="I12"/>
  <c r="BH12"/>
  <c r="BK28" i="10"/>
  <c r="BJ14"/>
  <c r="BN49"/>
  <c r="F47" i="49"/>
  <c r="H47"/>
  <c r="BJ47" i="10"/>
  <c r="F35" i="18"/>
  <c r="H35"/>
  <c r="G35"/>
  <c r="G27"/>
  <c r="I27" i="15"/>
  <c r="I46"/>
  <c r="BD46" s="1"/>
  <c r="I54"/>
  <c r="BE54" s="1"/>
  <c r="BH41" i="18"/>
  <c r="I20"/>
  <c r="BI20"/>
  <c r="I43"/>
  <c r="BI43"/>
  <c r="BK45" i="10"/>
  <c r="BJ25"/>
  <c r="BM12"/>
  <c r="G50" i="15"/>
  <c r="G50" i="18"/>
  <c r="G42" i="15"/>
  <c r="G34"/>
  <c r="G34" i="18"/>
  <c r="G26" i="15"/>
  <c r="G10"/>
  <c r="BE30"/>
  <c r="BD30"/>
  <c r="I13" i="18"/>
  <c r="I13" i="15"/>
  <c r="BE13" s="1"/>
  <c r="BG14" i="18"/>
  <c r="I23"/>
  <c r="I23" i="15"/>
  <c r="BG24" i="18"/>
  <c r="AT24"/>
  <c r="I35"/>
  <c r="I35" i="15"/>
  <c r="F32"/>
  <c r="H32" s="1"/>
  <c r="F32" i="18"/>
  <c r="H32"/>
  <c r="BL23" i="10"/>
  <c r="BI23"/>
  <c r="BJ23"/>
  <c r="BM23"/>
  <c r="BN23"/>
  <c r="F21" i="49"/>
  <c r="H21"/>
  <c r="BI15" i="10"/>
  <c r="BK15"/>
  <c r="BM15"/>
  <c r="BN15"/>
  <c r="F13" i="49"/>
  <c r="H13"/>
  <c r="BL15" i="10"/>
  <c r="BJ15"/>
  <c r="F10" i="15"/>
  <c r="H10" s="1"/>
  <c r="F10" i="18"/>
  <c r="H10"/>
  <c r="G48"/>
  <c r="G48" i="15"/>
  <c r="G40" i="18"/>
  <c r="G40" i="15"/>
  <c r="G16" i="18"/>
  <c r="G16" i="15"/>
  <c r="BD43"/>
  <c r="BG33" i="18"/>
  <c r="AS33"/>
  <c r="AT33"/>
  <c r="BG34"/>
  <c r="AS34"/>
  <c r="AT34"/>
  <c r="BH20"/>
  <c r="I21" i="15"/>
  <c r="BD21" s="1"/>
  <c r="I21" i="18"/>
  <c r="BG22"/>
  <c r="AS22"/>
  <c r="I47" i="15"/>
  <c r="BD47" s="1"/>
  <c r="I47" i="18"/>
  <c r="I8"/>
  <c r="F55" i="15"/>
  <c r="H55"/>
  <c r="BJ32" i="10"/>
  <c r="BN32"/>
  <c r="F30" i="49"/>
  <c r="H30"/>
  <c r="BI32" i="10"/>
  <c r="BL32"/>
  <c r="G54" i="15"/>
  <c r="G46" i="18"/>
  <c r="G46" i="15"/>
  <c r="G38"/>
  <c r="G30" i="18"/>
  <c r="G30" i="15"/>
  <c r="G22"/>
  <c r="G14" i="18"/>
  <c r="G14" i="15"/>
  <c r="BH28" i="18"/>
  <c r="BI28"/>
  <c r="I29"/>
  <c r="I29" i="15"/>
  <c r="BG30" i="18"/>
  <c r="AS30"/>
  <c r="AT30"/>
  <c r="BL30" i="10"/>
  <c r="BI30"/>
  <c r="BM30"/>
  <c r="BN30"/>
  <c r="F28" i="49"/>
  <c r="H28"/>
  <c r="BK30" i="10"/>
  <c r="BJ30"/>
  <c r="AT10" i="18"/>
  <c r="BH22"/>
  <c r="I51"/>
  <c r="F50"/>
  <c r="H50"/>
  <c r="G26"/>
  <c r="AT22"/>
  <c r="AS14"/>
  <c r="AT14"/>
  <c r="BH43"/>
  <c r="BH30"/>
  <c r="BK32" i="10"/>
  <c r="BK23"/>
  <c r="G18" i="15"/>
  <c r="G18" i="18"/>
  <c r="BI12"/>
  <c r="I44"/>
  <c r="I44" i="15"/>
  <c r="BE44" s="1"/>
  <c r="I48" i="18"/>
  <c r="I48" i="15"/>
  <c r="BE48" s="1"/>
  <c r="G32" i="18"/>
  <c r="G32" i="15"/>
  <c r="G24" i="18"/>
  <c r="G24" i="15"/>
  <c r="G52" i="18"/>
  <c r="G52" i="15"/>
  <c r="G44" i="18"/>
  <c r="G44" i="15"/>
  <c r="G36" i="18"/>
  <c r="G36" i="15"/>
  <c r="G28" i="18"/>
  <c r="G28" i="15"/>
  <c r="G20" i="18"/>
  <c r="G20" i="15"/>
  <c r="G12" i="18"/>
  <c r="G12" i="15"/>
  <c r="I15"/>
  <c r="BE15" s="1"/>
  <c r="I15" i="18"/>
  <c r="BG16"/>
  <c r="AS16"/>
  <c r="AT16"/>
  <c r="I33" i="15"/>
  <c r="BD33" s="1"/>
  <c r="I33" i="18"/>
  <c r="I40"/>
  <c r="I40" i="15"/>
  <c r="BE40" s="1"/>
  <c r="I8"/>
  <c r="BD8" s="1"/>
  <c r="BM32" i="10"/>
  <c r="BJ55"/>
  <c r="BN55"/>
  <c r="F53" i="49"/>
  <c r="H53"/>
  <c r="BI55" i="10"/>
  <c r="BL55"/>
  <c r="BM55"/>
  <c r="BK55"/>
  <c r="BJ53"/>
  <c r="BI53"/>
  <c r="BL53"/>
  <c r="BM53"/>
  <c r="BK53"/>
  <c r="BL50"/>
  <c r="BI50"/>
  <c r="BJ50"/>
  <c r="BK50"/>
  <c r="BL46"/>
  <c r="BI46"/>
  <c r="BJ46"/>
  <c r="BK46"/>
  <c r="BL43"/>
  <c r="BI43"/>
  <c r="BJ43"/>
  <c r="BK43"/>
  <c r="BL41"/>
  <c r="BI41"/>
  <c r="BJ41"/>
  <c r="BK41"/>
  <c r="BL38"/>
  <c r="BI38"/>
  <c r="BJ38"/>
  <c r="BK38"/>
  <c r="BI35"/>
  <c r="BM35"/>
  <c r="BL35"/>
  <c r="BK35"/>
  <c r="BJ35"/>
  <c r="BI33"/>
  <c r="BM33"/>
  <c r="BL33"/>
  <c r="BK33"/>
  <c r="BJ33"/>
  <c r="BI26"/>
  <c r="BM26"/>
  <c r="BL26"/>
  <c r="BK26"/>
  <c r="BJ26"/>
  <c r="BK58"/>
  <c r="BJ58"/>
  <c r="BN58"/>
  <c r="F56" i="49"/>
  <c r="H56"/>
  <c r="BI58" i="10"/>
  <c r="BM58"/>
  <c r="BL58"/>
  <c r="I11" i="15"/>
  <c r="BD11" s="1"/>
  <c r="I11" i="18"/>
  <c r="BG12"/>
  <c r="AS12"/>
  <c r="AT12"/>
  <c r="I19"/>
  <c r="BI56" i="10"/>
  <c r="BM56"/>
  <c r="BK56"/>
  <c r="BN56"/>
  <c r="F54" i="49"/>
  <c r="H54"/>
  <c r="F46" i="18"/>
  <c r="H46"/>
  <c r="F42" i="15"/>
  <c r="H42" s="1"/>
  <c r="F42" i="18"/>
  <c r="H42"/>
  <c r="BL31" i="10"/>
  <c r="BI31"/>
  <c r="BM31"/>
  <c r="BN31"/>
  <c r="F29" i="49"/>
  <c r="H29"/>
  <c r="BK31" i="10"/>
  <c r="BL29"/>
  <c r="BI29"/>
  <c r="BM29"/>
  <c r="BN29"/>
  <c r="F27" i="49"/>
  <c r="H27"/>
  <c r="BK29" i="10"/>
  <c r="BL22"/>
  <c r="BI22"/>
  <c r="BM22"/>
  <c r="BN22"/>
  <c r="F20" i="49"/>
  <c r="H20"/>
  <c r="BK22" i="10"/>
  <c r="BJ19"/>
  <c r="BN19"/>
  <c r="F17" i="49"/>
  <c r="H17"/>
  <c r="BI19" i="10"/>
  <c r="BL19"/>
  <c r="BM19"/>
  <c r="BK19"/>
  <c r="AT35" i="18"/>
  <c r="AT39"/>
  <c r="AT43"/>
  <c r="AT47"/>
  <c r="AT51"/>
  <c r="AT55"/>
  <c r="BG20"/>
  <c r="BG28"/>
  <c r="BM43" i="10"/>
  <c r="BN53"/>
  <c r="F51" i="49"/>
  <c r="H51"/>
  <c r="BN50" i="10"/>
  <c r="F48" i="49"/>
  <c r="H48"/>
  <c r="BN46" i="10"/>
  <c r="F44" i="49"/>
  <c r="H44"/>
  <c r="BN43" i="10"/>
  <c r="F41" i="49"/>
  <c r="H41"/>
  <c r="BN41" i="10"/>
  <c r="F39" i="49"/>
  <c r="H39"/>
  <c r="BN38" i="10"/>
  <c r="F36" i="49"/>
  <c r="H36"/>
  <c r="BN35" i="10"/>
  <c r="F33" i="49"/>
  <c r="H33"/>
  <c r="BN33" i="10"/>
  <c r="F31" i="49"/>
  <c r="H31"/>
  <c r="BN26" i="10"/>
  <c r="F24" i="49"/>
  <c r="H24"/>
  <c r="I17" i="18"/>
  <c r="I17" i="15"/>
  <c r="BD17" s="1"/>
  <c r="BG18" i="18"/>
  <c r="AS18"/>
  <c r="AT18"/>
  <c r="I25"/>
  <c r="I25" i="15"/>
  <c r="BG26" i="18"/>
  <c r="AS26"/>
  <c r="AT26"/>
  <c r="I52"/>
  <c r="I52" i="15"/>
  <c r="BE52" s="1"/>
  <c r="BI36" i="10"/>
  <c r="BM36"/>
  <c r="BK36"/>
  <c r="BL36"/>
  <c r="BN36"/>
  <c r="F34" i="49"/>
  <c r="H34"/>
  <c r="BJ36" i="10"/>
  <c r="BI34"/>
  <c r="BM34"/>
  <c r="BL34"/>
  <c r="BK34"/>
  <c r="BJ34"/>
  <c r="BI27"/>
  <c r="BK27"/>
  <c r="BM27"/>
  <c r="BJ27"/>
  <c r="BI20"/>
  <c r="BM20"/>
  <c r="BK20"/>
  <c r="BN20"/>
  <c r="F18" i="49"/>
  <c r="H18"/>
  <c r="BI17" i="10"/>
  <c r="BK17"/>
  <c r="BN17"/>
  <c r="F15" i="49"/>
  <c r="H15"/>
  <c r="BM17" i="10"/>
  <c r="BL17"/>
  <c r="BL12"/>
  <c r="BI12"/>
  <c r="BJ12"/>
  <c r="BK12"/>
  <c r="BG10" i="18"/>
  <c r="BM41" i="10"/>
  <c r="BJ54"/>
  <c r="BI54"/>
  <c r="BL54"/>
  <c r="BL51"/>
  <c r="BI51"/>
  <c r="BJ51"/>
  <c r="BN51"/>
  <c r="F49" i="49"/>
  <c r="H49"/>
  <c r="BL49" i="10"/>
  <c r="BI49"/>
  <c r="BJ49"/>
  <c r="BL48"/>
  <c r="BI48"/>
  <c r="BM48"/>
  <c r="BL47"/>
  <c r="BI47"/>
  <c r="BM47"/>
  <c r="BL45"/>
  <c r="BI45"/>
  <c r="BJ45"/>
  <c r="BL44"/>
  <c r="BI44"/>
  <c r="BM44"/>
  <c r="BL42"/>
  <c r="BI42"/>
  <c r="BJ42"/>
  <c r="BL40"/>
  <c r="BI40"/>
  <c r="BJ40"/>
  <c r="BL39"/>
  <c r="BI39"/>
  <c r="BM39"/>
  <c r="BJ28"/>
  <c r="BI28"/>
  <c r="BL28"/>
  <c r="BL24"/>
  <c r="BI24"/>
  <c r="BJ24"/>
  <c r="BN24"/>
  <c r="F22" i="49"/>
  <c r="H22"/>
  <c r="BL21" i="10"/>
  <c r="BI21"/>
  <c r="BJ21"/>
  <c r="BJ18"/>
  <c r="BI18"/>
  <c r="BL18"/>
  <c r="BL13"/>
  <c r="BI13"/>
  <c r="BJ13"/>
  <c r="BN13"/>
  <c r="F11" i="49"/>
  <c r="H11"/>
  <c r="BI11" i="10"/>
  <c r="BK11"/>
  <c r="BJ11"/>
  <c r="BL11"/>
  <c r="BI57"/>
  <c r="BM57"/>
  <c r="BK57"/>
  <c r="F52" i="15"/>
  <c r="H52" s="1"/>
  <c r="BI52" i="10"/>
  <c r="BK52"/>
  <c r="BM52"/>
  <c r="F40" i="15"/>
  <c r="H40"/>
  <c r="F38"/>
  <c r="H38" s="1"/>
  <c r="BI37" i="10"/>
  <c r="BM37"/>
  <c r="BK37"/>
  <c r="F26" i="15"/>
  <c r="H26" s="1"/>
  <c r="BI25" i="10"/>
  <c r="BK25"/>
  <c r="BM25"/>
  <c r="F16" i="15"/>
  <c r="H16" s="1"/>
  <c r="BI16" i="10"/>
  <c r="BK16"/>
  <c r="BM16"/>
  <c r="BI14"/>
  <c r="BK14"/>
  <c r="BM14"/>
  <c r="F47" i="18"/>
  <c r="H47"/>
  <c r="F47" i="15"/>
  <c r="H47" s="1"/>
  <c r="BI53" i="18"/>
  <c r="BH53"/>
  <c r="BD49" i="15"/>
  <c r="BE49"/>
  <c r="F45" i="18"/>
  <c r="H45"/>
  <c r="F45" i="15"/>
  <c r="H45" s="1"/>
  <c r="BI39" i="18"/>
  <c r="BH39"/>
  <c r="F12" i="15"/>
  <c r="H12" s="1"/>
  <c r="F23" i="18"/>
  <c r="H23"/>
  <c r="BE46" i="15"/>
  <c r="BI34" i="18"/>
  <c r="BH34"/>
  <c r="BE27" i="15"/>
  <c r="BD27"/>
  <c r="BI10" i="18"/>
  <c r="BH10"/>
  <c r="BI55"/>
  <c r="BH55"/>
  <c r="BI42"/>
  <c r="BH42"/>
  <c r="BH24"/>
  <c r="BI24"/>
  <c r="BH25"/>
  <c r="BI25"/>
  <c r="BH17"/>
  <c r="BI17"/>
  <c r="F48" i="15"/>
  <c r="H48" s="1"/>
  <c r="F48" i="18"/>
  <c r="H48"/>
  <c r="BH19"/>
  <c r="BI19"/>
  <c r="BI44"/>
  <c r="BH44"/>
  <c r="BE17" i="15"/>
  <c r="F44"/>
  <c r="H44" s="1"/>
  <c r="F44" i="18"/>
  <c r="H44"/>
  <c r="BH11"/>
  <c r="BI11"/>
  <c r="BH47"/>
  <c r="BI47"/>
  <c r="BE35" i="15"/>
  <c r="BD35"/>
  <c r="BH13" i="18"/>
  <c r="BI13"/>
  <c r="F31" i="15"/>
  <c r="H31" s="1"/>
  <c r="F31" i="18"/>
  <c r="H31"/>
  <c r="F22"/>
  <c r="H22"/>
  <c r="F22" i="15"/>
  <c r="H22" s="1"/>
  <c r="F34"/>
  <c r="H34" s="1"/>
  <c r="F34" i="18"/>
  <c r="H34"/>
  <c r="F24" i="15"/>
  <c r="H24" s="1"/>
  <c r="F24" i="18"/>
  <c r="H24"/>
  <c r="F39"/>
  <c r="H39"/>
  <c r="F39" i="15"/>
  <c r="H39" s="1"/>
  <c r="F51"/>
  <c r="H51" s="1"/>
  <c r="F51" i="18"/>
  <c r="H51"/>
  <c r="F20" i="15"/>
  <c r="H20" s="1"/>
  <c r="F20" i="18"/>
  <c r="H20"/>
  <c r="F54" i="15"/>
  <c r="H54" s="1"/>
  <c r="F54" i="18"/>
  <c r="H54"/>
  <c r="BI40"/>
  <c r="BH40"/>
  <c r="BE47" i="15"/>
  <c r="BH21" i="18"/>
  <c r="BI21"/>
  <c r="F13" i="15"/>
  <c r="H13" s="1"/>
  <c r="F13" i="18"/>
  <c r="H13"/>
  <c r="F21" i="15"/>
  <c r="H21" s="1"/>
  <c r="F21" i="18"/>
  <c r="H21"/>
  <c r="BE23" i="15"/>
  <c r="BD23"/>
  <c r="F49" i="18"/>
  <c r="H49"/>
  <c r="F49" i="15"/>
  <c r="H49" s="1"/>
  <c r="F15"/>
  <c r="H15" s="1"/>
  <c r="F15" i="18"/>
  <c r="H15"/>
  <c r="BH52"/>
  <c r="BI52"/>
  <c r="F36" i="15"/>
  <c r="H36" s="1"/>
  <c r="F36" i="18"/>
  <c r="H36"/>
  <c r="BE11" i="15"/>
  <c r="F56"/>
  <c r="H56" s="1"/>
  <c r="F56" i="18"/>
  <c r="H56"/>
  <c r="BI35"/>
  <c r="BH35"/>
  <c r="F11" i="15"/>
  <c r="H11" s="1"/>
  <c r="F11" i="18"/>
  <c r="H11"/>
  <c r="F18" i="15"/>
  <c r="H18" s="1"/>
  <c r="F18" i="18"/>
  <c r="H18"/>
  <c r="BD25" i="15"/>
  <c r="BE25"/>
  <c r="F33"/>
  <c r="H33" s="1"/>
  <c r="F33" i="18"/>
  <c r="H33"/>
  <c r="F29"/>
  <c r="H29"/>
  <c r="F29" i="15"/>
  <c r="H29" s="1"/>
  <c r="F53" i="18"/>
  <c r="H53"/>
  <c r="F53" i="15"/>
  <c r="H53" s="1"/>
  <c r="BD44"/>
  <c r="F28"/>
  <c r="H28" s="1"/>
  <c r="F28" i="18"/>
  <c r="H28"/>
  <c r="BH29"/>
  <c r="BI29"/>
  <c r="F41" i="15"/>
  <c r="H41" s="1"/>
  <c r="F41" i="18"/>
  <c r="H41"/>
  <c r="F17"/>
  <c r="H17"/>
  <c r="F17" i="15"/>
  <c r="H17"/>
  <c r="F27"/>
  <c r="H27" s="1"/>
  <c r="F27" i="18"/>
  <c r="H27"/>
  <c r="BH33"/>
  <c r="BI33"/>
  <c r="BH15"/>
  <c r="BI15"/>
  <c r="BH48"/>
  <c r="BI48"/>
  <c r="BH51"/>
  <c r="BI51"/>
  <c r="BD29" i="15"/>
  <c r="BE29"/>
  <c r="F30" i="18"/>
  <c r="H30"/>
  <c r="F30" i="15"/>
  <c r="H30" s="1"/>
  <c r="BH23" i="18"/>
  <c r="BI23"/>
  <c r="BD13" i="15"/>
  <c r="P7" i="49"/>
  <c r="BZ32"/>
  <c r="BX32"/>
  <c r="BZ24"/>
  <c r="BX24"/>
  <c r="CA32"/>
  <c r="BY32"/>
  <c r="CA24"/>
  <c r="BY24"/>
  <c r="CA16"/>
  <c r="AU7"/>
  <c r="AV7" s="1"/>
  <c r="AW7" s="1"/>
  <c r="BN11" i="10"/>
  <c r="AV15" i="49"/>
  <c r="AW15" s="1"/>
  <c r="AX15" s="1"/>
  <c r="AV23"/>
  <c r="AW23" s="1"/>
  <c r="G53"/>
  <c r="G53" i="15"/>
  <c r="G45" i="49"/>
  <c r="G45" i="18"/>
  <c r="G35" i="49"/>
  <c r="G35" i="15"/>
  <c r="G25" i="49"/>
  <c r="G25" i="15"/>
  <c r="G25" i="18"/>
  <c r="G23" i="49"/>
  <c r="G23" i="15"/>
  <c r="F23"/>
  <c r="H23" s="1"/>
  <c r="G54" i="49"/>
  <c r="G54" i="18"/>
  <c r="G49" i="49"/>
  <c r="G49" i="15"/>
  <c r="G49" i="18"/>
  <c r="G39" i="49"/>
  <c r="G39" i="15"/>
  <c r="G39" i="18"/>
  <c r="G29" i="49"/>
  <c r="G29" i="18"/>
  <c r="G24" i="49"/>
  <c r="G19"/>
  <c r="G19" i="15"/>
  <c r="BE10" i="49"/>
  <c r="BD10"/>
  <c r="BE13"/>
  <c r="BD13"/>
  <c r="BE14"/>
  <c r="BD14"/>
  <c r="BD15"/>
  <c r="BE15"/>
  <c r="BE17"/>
  <c r="BD17"/>
  <c r="BE19"/>
  <c r="BD19"/>
  <c r="BE20"/>
  <c r="BD20"/>
  <c r="BD23"/>
  <c r="BE23"/>
  <c r="BE25"/>
  <c r="BD25"/>
  <c r="BE26"/>
  <c r="BD26"/>
  <c r="BE27"/>
  <c r="BD27"/>
  <c r="BE32"/>
  <c r="BD32"/>
  <c r="BE35"/>
  <c r="BD35"/>
  <c r="I43"/>
  <c r="BE44"/>
  <c r="BD44"/>
  <c r="I49"/>
  <c r="I49" i="18"/>
  <c r="I51" i="49"/>
  <c r="I51" i="15"/>
  <c r="BD51" s="1"/>
  <c r="F52" i="49"/>
  <c r="H52"/>
  <c r="F52" i="18"/>
  <c r="H52"/>
  <c r="G9"/>
  <c r="G13"/>
  <c r="G9" i="15"/>
  <c r="BE9" i="49"/>
  <c r="BD9"/>
  <c r="I10" i="15"/>
  <c r="BE11" i="49"/>
  <c r="BD11"/>
  <c r="BE12"/>
  <c r="BD12"/>
  <c r="I14" i="18"/>
  <c r="BE16" i="49"/>
  <c r="BD16"/>
  <c r="BE18"/>
  <c r="BD18"/>
  <c r="I20" i="15"/>
  <c r="BD20" s="1"/>
  <c r="BE21" i="49"/>
  <c r="BD21"/>
  <c r="BE22"/>
  <c r="BD22"/>
  <c r="BE24"/>
  <c r="BD24"/>
  <c r="I26" i="18"/>
  <c r="I27"/>
  <c r="BE28" i="49"/>
  <c r="BD28"/>
  <c r="BE29"/>
  <c r="BD29"/>
  <c r="BE30"/>
  <c r="BD30"/>
  <c r="I32" i="18"/>
  <c r="BE33" i="49"/>
  <c r="BD33"/>
  <c r="BE34"/>
  <c r="BD34"/>
  <c r="I37"/>
  <c r="I37" i="18"/>
  <c r="I38" i="49"/>
  <c r="I38" i="15"/>
  <c r="BE38" s="1"/>
  <c r="I38" i="18"/>
  <c r="I46" i="49"/>
  <c r="I46" i="18"/>
  <c r="BE48" i="49"/>
  <c r="BD48"/>
  <c r="I50"/>
  <c r="I50" i="18"/>
  <c r="I55" i="49"/>
  <c r="I55" i="15"/>
  <c r="BE55" s="1"/>
  <c r="F14" i="49"/>
  <c r="H14"/>
  <c r="F14" i="15"/>
  <c r="H14"/>
  <c r="F9" i="49"/>
  <c r="H9"/>
  <c r="BE36"/>
  <c r="BD36"/>
  <c r="BE39"/>
  <c r="BD39"/>
  <c r="BE40"/>
  <c r="BD40"/>
  <c r="BE41"/>
  <c r="BD41"/>
  <c r="BE42"/>
  <c r="BD42"/>
  <c r="BE45"/>
  <c r="BD45"/>
  <c r="BE47"/>
  <c r="BD47"/>
  <c r="BE52"/>
  <c r="BD52"/>
  <c r="BE53"/>
  <c r="BD53"/>
  <c r="BE54"/>
  <c r="BD54"/>
  <c r="BD31"/>
  <c r="BE31"/>
  <c r="F19" i="15"/>
  <c r="H19" s="1"/>
  <c r="BM54" i="10"/>
  <c r="BK42"/>
  <c r="F25" i="15"/>
  <c r="H25" s="1"/>
  <c r="BL16" i="10"/>
  <c r="BM11"/>
  <c r="F38" i="18"/>
  <c r="H38"/>
  <c r="F35" i="15"/>
  <c r="H35"/>
  <c r="F16" i="18"/>
  <c r="H16"/>
  <c r="BE56" i="49"/>
  <c r="BD56"/>
  <c r="AU9"/>
  <c r="AV12"/>
  <c r="AW12" s="1"/>
  <c r="AV16"/>
  <c r="AW16" s="1"/>
  <c r="AV19"/>
  <c r="AV20"/>
  <c r="AW20" s="1"/>
  <c r="AX20" s="1"/>
  <c r="G56"/>
  <c r="AV13"/>
  <c r="AW13" s="1"/>
  <c r="AX13" s="1"/>
  <c r="AV14"/>
  <c r="AV17"/>
  <c r="AV18"/>
  <c r="AW18" s="1"/>
  <c r="AX18" s="1"/>
  <c r="AV21"/>
  <c r="AW21" s="1"/>
  <c r="AX21" s="1"/>
  <c r="AV22"/>
  <c r="AW22" s="1"/>
  <c r="AV24"/>
  <c r="AW24" s="1"/>
  <c r="AX24" s="1"/>
  <c r="AV25"/>
  <c r="AW10"/>
  <c r="AX10" s="1"/>
  <c r="AW27"/>
  <c r="AX27" s="1"/>
  <c r="AV28"/>
  <c r="AV30"/>
  <c r="AV34"/>
  <c r="AV36"/>
  <c r="AV54"/>
  <c r="AW54" s="1"/>
  <c r="AX54" s="1"/>
  <c r="AV52"/>
  <c r="AW52" s="1"/>
  <c r="AV50"/>
  <c r="AV48"/>
  <c r="AV46"/>
  <c r="AW46" s="1"/>
  <c r="AX46" s="1"/>
  <c r="AV44"/>
  <c r="AW44" s="1"/>
  <c r="AV42"/>
  <c r="AV40"/>
  <c r="AV38"/>
  <c r="AW38" s="1"/>
  <c r="AX38" s="1"/>
  <c r="AV29"/>
  <c r="AW29" s="1"/>
  <c r="AX29" s="1"/>
  <c r="AV32"/>
  <c r="AV33"/>
  <c r="AV35"/>
  <c r="AW35" s="1"/>
  <c r="AX35" s="1"/>
  <c r="AV37"/>
  <c r="AW37" s="1"/>
  <c r="AX37" s="1"/>
  <c r="AV56"/>
  <c r="AU39"/>
  <c r="AV39"/>
  <c r="AW39" s="1"/>
  <c r="AU41"/>
  <c r="AV41"/>
  <c r="AW41" s="1"/>
  <c r="AU43"/>
  <c r="AU45"/>
  <c r="AV45"/>
  <c r="AW45" s="1"/>
  <c r="AU47"/>
  <c r="AU49"/>
  <c r="AU51"/>
  <c r="F9" i="18"/>
  <c r="H9"/>
  <c r="F9" i="15"/>
  <c r="H9" s="1"/>
  <c r="AV51" i="49"/>
  <c r="AW51" s="1"/>
  <c r="AV47"/>
  <c r="AW47" s="1"/>
  <c r="AX47" s="1"/>
  <c r="AV9"/>
  <c r="AW9" s="1"/>
  <c r="AX9" s="1"/>
  <c r="BH50" i="18"/>
  <c r="BI50"/>
  <c r="BH46"/>
  <c r="BI46"/>
  <c r="BI38"/>
  <c r="BH38"/>
  <c r="BE38" i="49"/>
  <c r="BD38"/>
  <c r="BE37"/>
  <c r="BD37"/>
  <c r="BH27" i="18"/>
  <c r="BI27"/>
  <c r="BE20" i="15"/>
  <c r="BI14" i="18"/>
  <c r="BH14"/>
  <c r="BE51" i="49"/>
  <c r="BD51"/>
  <c r="BE49"/>
  <c r="BD49"/>
  <c r="BE43"/>
  <c r="BD43"/>
  <c r="AV49"/>
  <c r="AV43"/>
  <c r="AW43" s="1"/>
  <c r="AX43" s="1"/>
  <c r="BE55"/>
  <c r="BD55"/>
  <c r="BE50"/>
  <c r="BD50"/>
  <c r="BE46"/>
  <c r="BD46"/>
  <c r="BD38" i="15"/>
  <c r="BH37" i="18"/>
  <c r="BI37"/>
  <c r="BH32"/>
  <c r="BI32"/>
  <c r="BI26"/>
  <c r="BH26"/>
  <c r="BE10" i="15"/>
  <c r="BD10"/>
  <c r="BH49" i="18"/>
  <c r="BI49"/>
  <c r="BS36" i="15"/>
  <c r="BU35"/>
  <c r="BQ33"/>
  <c r="BQ29"/>
  <c r="BV25"/>
  <c r="BQ24"/>
  <c r="BT35"/>
  <c r="BV37"/>
  <c r="BT24"/>
  <c r="BS25"/>
  <c r="BU28"/>
  <c r="BS37"/>
  <c r="BP26"/>
  <c r="BW36"/>
  <c r="BU29"/>
  <c r="BU37"/>
  <c r="BW37"/>
  <c r="BP29"/>
  <c r="BW26"/>
  <c r="BS35"/>
  <c r="BS29"/>
  <c r="BU34"/>
  <c r="BR28"/>
  <c r="BR33"/>
  <c r="BU32"/>
  <c r="BT34"/>
  <c r="BP33"/>
  <c r="BQ27"/>
  <c r="BQ34"/>
  <c r="BT33"/>
  <c r="BQ32"/>
  <c r="BW35"/>
  <c r="BP27"/>
  <c r="BS26"/>
  <c r="BP37"/>
  <c r="BU26"/>
  <c r="BQ28"/>
  <c r="BV33"/>
  <c r="BT28"/>
  <c r="BR26"/>
  <c r="BS33"/>
  <c r="BT25"/>
  <c r="BV35"/>
  <c r="BW25"/>
  <c r="BS34"/>
  <c r="BR25"/>
  <c r="BP28"/>
  <c r="BU27"/>
  <c r="BT32"/>
  <c r="BQ26"/>
  <c r="BV24"/>
  <c r="BU25"/>
  <c r="BP35"/>
  <c r="BP24"/>
  <c r="BQ36"/>
  <c r="BV27"/>
  <c r="BP36"/>
  <c r="BV26"/>
  <c r="BR34"/>
  <c r="BP32"/>
  <c r="BV32"/>
  <c r="BR32"/>
  <c r="BW34"/>
  <c r="BR27"/>
  <c r="BV36"/>
  <c r="BS28"/>
  <c r="BV29"/>
  <c r="BU36"/>
  <c r="BS24"/>
  <c r="BW33"/>
  <c r="BP34"/>
  <c r="BQ37"/>
  <c r="BQ35"/>
  <c r="BR29"/>
  <c r="BV34"/>
  <c r="BW32"/>
  <c r="BW24"/>
  <c r="BW29"/>
  <c r="BS27"/>
  <c r="BS32"/>
  <c r="BW27"/>
  <c r="BU24"/>
  <c r="BW28"/>
  <c r="BR37"/>
  <c r="BQ25"/>
  <c r="BT27"/>
  <c r="BR24"/>
  <c r="BT26"/>
  <c r="BT36"/>
  <c r="BU33"/>
  <c r="BR35"/>
  <c r="BR36"/>
  <c r="BV28"/>
  <c r="BT29"/>
  <c r="BP25"/>
  <c r="BT37"/>
  <c r="BE51" l="1"/>
  <c r="BD55"/>
  <c r="BD40"/>
  <c r="BD15"/>
  <c r="BD54"/>
  <c r="BE26"/>
  <c r="BD53"/>
  <c r="BE37"/>
  <c r="BB55"/>
  <c r="BE56"/>
  <c r="BD52"/>
  <c r="BE39"/>
  <c r="BD36"/>
  <c r="BC13"/>
  <c r="BC21"/>
  <c r="BC24"/>
  <c r="BB28"/>
  <c r="BC32"/>
  <c r="BB36"/>
  <c r="BB40"/>
  <c r="BB44"/>
  <c r="BC30"/>
  <c r="BB16"/>
  <c r="BC29"/>
  <c r="BB33"/>
  <c r="BC41"/>
  <c r="G7"/>
  <c r="G7" i="18"/>
  <c r="B33" i="15"/>
  <c r="B38" i="49"/>
  <c r="I7" i="15"/>
  <c r="P7" s="1"/>
  <c r="I7" i="18"/>
  <c r="BH7" s="1"/>
  <c r="BJ9" i="10"/>
  <c r="BL9" s="1"/>
  <c r="BB20" i="49"/>
  <c r="BB39"/>
  <c r="BC30"/>
  <c r="AX16"/>
  <c r="AX12"/>
  <c r="AX44"/>
  <c r="AX52"/>
  <c r="AX41"/>
  <c r="AW40"/>
  <c r="AX40" s="1"/>
  <c r="AW36"/>
  <c r="AX36" s="1"/>
  <c r="AW28"/>
  <c r="AX28" s="1"/>
  <c r="AX53"/>
  <c r="AX45"/>
  <c r="AW25"/>
  <c r="AX25" s="1"/>
  <c r="AW33"/>
  <c r="AX33" s="1"/>
  <c r="AW48"/>
  <c r="AX48" s="1"/>
  <c r="AW14"/>
  <c r="AX14" s="1"/>
  <c r="AX39"/>
  <c r="AW34"/>
  <c r="AX34" s="1"/>
  <c r="AX51"/>
  <c r="AW49"/>
  <c r="AX49" s="1"/>
  <c r="AW56"/>
  <c r="AX56" s="1"/>
  <c r="AW32"/>
  <c r="AX32" s="1"/>
  <c r="AW42"/>
  <c r="AX42" s="1"/>
  <c r="AW50"/>
  <c r="AX50" s="1"/>
  <c r="AW30"/>
  <c r="AX30" s="1"/>
  <c r="AX22"/>
  <c r="AX23"/>
  <c r="AW19"/>
  <c r="AX19" s="1"/>
  <c r="AW17"/>
  <c r="AX17" s="1"/>
  <c r="BC50"/>
  <c r="BC46"/>
  <c r="BC42"/>
  <c r="BC34"/>
  <c r="BC26"/>
  <c r="BC22"/>
  <c r="BC18"/>
  <c r="BC14"/>
  <c r="BC10"/>
  <c r="BC29"/>
  <c r="BB32"/>
  <c r="BB29"/>
  <c r="BC38"/>
  <c r="BC55"/>
  <c r="BC56"/>
  <c r="BC37"/>
  <c r="BC54"/>
  <c r="BB56"/>
  <c r="BC52"/>
  <c r="BC48"/>
  <c r="BC44"/>
  <c r="BC40"/>
  <c r="BC36"/>
  <c r="BC32"/>
  <c r="BC28"/>
  <c r="BC24"/>
  <c r="BC20"/>
  <c r="BC16"/>
  <c r="BC12"/>
  <c r="BC53"/>
  <c r="BC49"/>
  <c r="BC45"/>
  <c r="BC41"/>
  <c r="BC25"/>
  <c r="BC21"/>
  <c r="BC17"/>
  <c r="BC13"/>
  <c r="BB55"/>
  <c r="BC51"/>
  <c r="BC47"/>
  <c r="BC43"/>
  <c r="BC39"/>
  <c r="BB35"/>
  <c r="BB31"/>
  <c r="BC27"/>
  <c r="BB23"/>
  <c r="BC19"/>
  <c r="BB15"/>
  <c r="BB11"/>
  <c r="BB7"/>
  <c r="BB16"/>
  <c r="BC33"/>
  <c r="BB12"/>
  <c r="BB52"/>
  <c r="BC15"/>
  <c r="BB47"/>
  <c r="BB44"/>
  <c r="BB24"/>
  <c r="BC23"/>
  <c r="BB27"/>
  <c r="BB36"/>
  <c r="BC35"/>
  <c r="BC31"/>
  <c r="BC9"/>
  <c r="BC11"/>
  <c r="BB19"/>
  <c r="BB28"/>
  <c r="BB51"/>
  <c r="BB48"/>
  <c r="BB43"/>
  <c r="BB40"/>
  <c r="AW8"/>
  <c r="AX8" s="1"/>
  <c r="AX7"/>
  <c r="BC56" i="15"/>
  <c r="BC8"/>
  <c r="BE8" s="1"/>
  <c r="AV42"/>
  <c r="AV26"/>
  <c r="AW26" s="1"/>
  <c r="AX26" s="1"/>
  <c r="AV17"/>
  <c r="AW17" s="1"/>
  <c r="AX17" s="1"/>
  <c r="AV9"/>
  <c r="AW9" s="1"/>
  <c r="AX9" s="1"/>
  <c r="BB14"/>
  <c r="BB46"/>
  <c r="AV49"/>
  <c r="AW49" s="1"/>
  <c r="AV55"/>
  <c r="AW55" s="1"/>
  <c r="AV52"/>
  <c r="AW52" s="1"/>
  <c r="AV39"/>
  <c r="AW39" s="1"/>
  <c r="AV36"/>
  <c r="AW36" s="1"/>
  <c r="AX36" s="1"/>
  <c r="AV31"/>
  <c r="AW31" s="1"/>
  <c r="AV23"/>
  <c r="AW23" s="1"/>
  <c r="AV20"/>
  <c r="AW20" s="1"/>
  <c r="AX20" s="1"/>
  <c r="AV12"/>
  <c r="AW12" s="1"/>
  <c r="AV10"/>
  <c r="AW10" s="1"/>
  <c r="BC53"/>
  <c r="BC54"/>
  <c r="BB50"/>
  <c r="BC50"/>
  <c r="BC14"/>
  <c r="BB24"/>
  <c r="BC16"/>
  <c r="BB54"/>
  <c r="BC11"/>
  <c r="BC46"/>
  <c r="BB25"/>
  <c r="BB29"/>
  <c r="BB45"/>
  <c r="BB48"/>
  <c r="BB41"/>
  <c r="BB19"/>
  <c r="BB12"/>
  <c r="BB20"/>
  <c r="BC9"/>
  <c r="BB53"/>
  <c r="BC33"/>
  <c r="BC25"/>
  <c r="BC40"/>
  <c r="BB10"/>
  <c r="BB9"/>
  <c r="BB15"/>
  <c r="BC19"/>
  <c r="BB32"/>
  <c r="BC45"/>
  <c r="BB11"/>
  <c r="BB13"/>
  <c r="BB22"/>
  <c r="BC26"/>
  <c r="BB30"/>
  <c r="BC34"/>
  <c r="BB38"/>
  <c r="BC42"/>
  <c r="BB47"/>
  <c r="AV48"/>
  <c r="AW48" s="1"/>
  <c r="AV32"/>
  <c r="AW32" s="1"/>
  <c r="AX32" s="1"/>
  <c r="AV29"/>
  <c r="AV13"/>
  <c r="AW13" s="1"/>
  <c r="AX13" s="1"/>
  <c r="AV19"/>
  <c r="AW19" s="1"/>
  <c r="AX19" s="1"/>
  <c r="AX55"/>
  <c r="AX52"/>
  <c r="AX39"/>
  <c r="AX10"/>
  <c r="AW42"/>
  <c r="AV54"/>
  <c r="AV51"/>
  <c r="AW51" s="1"/>
  <c r="AX51" s="1"/>
  <c r="AV38"/>
  <c r="AW38" s="1"/>
  <c r="AV35"/>
  <c r="AW35" s="1"/>
  <c r="AV22"/>
  <c r="AW22" s="1"/>
  <c r="AV18"/>
  <c r="AW18" s="1"/>
  <c r="AX18" s="1"/>
  <c r="AX42"/>
  <c r="BB17"/>
  <c r="BB51"/>
  <c r="BC55"/>
  <c r="BC12"/>
  <c r="AV8"/>
  <c r="AW8" s="1"/>
  <c r="AV16"/>
  <c r="AW16" s="1"/>
  <c r="AX25"/>
  <c r="AX44"/>
  <c r="AV45"/>
  <c r="AW45" s="1"/>
  <c r="AX45" s="1"/>
  <c r="BC36"/>
  <c r="AX47"/>
  <c r="BE28"/>
  <c r="AU56"/>
  <c r="AV56" s="1"/>
  <c r="AU53"/>
  <c r="AV53" s="1"/>
  <c r="AW53" s="1"/>
  <c r="AV50"/>
  <c r="AW50" s="1"/>
  <c r="AU46"/>
  <c r="AV46" s="1"/>
  <c r="AW46" s="1"/>
  <c r="AU43"/>
  <c r="AV43" s="1"/>
  <c r="AU40"/>
  <c r="AU37"/>
  <c r="AV34"/>
  <c r="AU30"/>
  <c r="AV30" s="1"/>
  <c r="AW30" s="1"/>
  <c r="AV28"/>
  <c r="AU27"/>
  <c r="AV27" s="1"/>
  <c r="AU24"/>
  <c r="AV24" s="1"/>
  <c r="AW24" s="1"/>
  <c r="AX24" s="1"/>
  <c r="AU21"/>
  <c r="AV21" s="1"/>
  <c r="AU11"/>
  <c r="AV15"/>
  <c r="AU14"/>
  <c r="AV14" s="1"/>
  <c r="AW14" s="1"/>
  <c r="AU7"/>
  <c r="AV7" s="1"/>
  <c r="BD45"/>
  <c r="AV41"/>
  <c r="AW41" s="1"/>
  <c r="BE21"/>
  <c r="BD48"/>
  <c r="BE33"/>
  <c r="BB26"/>
  <c r="BB34"/>
  <c r="BB42"/>
  <c r="AX33"/>
  <c r="BC44"/>
  <c r="BC28"/>
  <c r="BE18"/>
  <c r="BB21"/>
  <c r="BC37"/>
  <c r="BB49"/>
  <c r="BC18"/>
  <c r="BB23"/>
  <c r="BC27"/>
  <c r="BB31"/>
  <c r="BC35"/>
  <c r="BB39"/>
  <c r="BC43"/>
  <c r="BC48"/>
  <c r="BB52"/>
  <c r="BB56"/>
  <c r="BI8" i="18"/>
  <c r="AS7"/>
  <c r="AG57" s="1"/>
  <c r="BB43" i="15"/>
  <c r="BB27"/>
  <c r="BC15"/>
  <c r="BC31"/>
  <c r="BB37"/>
  <c r="BB18"/>
  <c r="BC20"/>
  <c r="BC51"/>
  <c r="BC17"/>
  <c r="BC10"/>
  <c r="BC49"/>
  <c r="BB35"/>
  <c r="BC23"/>
  <c r="BC39"/>
  <c r="BC38"/>
  <c r="BC22"/>
  <c r="BC52"/>
  <c r="BB8"/>
  <c r="AW24" i="18"/>
  <c r="AF57"/>
  <c r="BI10" i="10"/>
  <c r="BK10" s="1"/>
  <c r="BM10" s="1"/>
  <c r="BJ10"/>
  <c r="BL10"/>
  <c r="AW42" i="18"/>
  <c r="P8" i="49"/>
  <c r="BC8" s="1"/>
  <c r="BE8" s="1"/>
  <c r="BD8"/>
  <c r="BH8" i="18"/>
  <c r="B13" i="15"/>
  <c r="B41" i="18"/>
  <c r="B17" i="15"/>
  <c r="B14" i="18"/>
  <c r="B24"/>
  <c r="B54"/>
  <c r="B20"/>
  <c r="B28" i="15"/>
  <c r="B38" i="18"/>
  <c r="B22" i="15"/>
  <c r="B22" i="18"/>
  <c r="B30"/>
  <c r="B54" i="49"/>
  <c r="B14" i="15"/>
  <c r="B30"/>
  <c r="B24"/>
  <c r="B47"/>
  <c r="F2" i="49"/>
  <c r="B47" i="18"/>
  <c r="AW36"/>
  <c r="AW45"/>
  <c r="AW37"/>
  <c r="AW27"/>
  <c r="B13" i="49"/>
  <c r="F2" i="22"/>
  <c r="B25" i="15"/>
  <c r="B9" i="18"/>
  <c r="B49" i="15"/>
  <c r="M7" i="18"/>
  <c r="F2"/>
  <c r="B7" i="49"/>
  <c r="B25" i="18"/>
  <c r="B9" i="15"/>
  <c r="B49" i="18"/>
  <c r="F2" i="15"/>
  <c r="I5" i="43"/>
  <c r="B33" i="18"/>
  <c r="B17"/>
  <c r="B41" i="15"/>
  <c r="B7"/>
  <c r="BC7" i="49"/>
  <c r="BD7" s="1"/>
  <c r="AW49" i="18"/>
  <c r="AW52"/>
  <c r="AW41"/>
  <c r="AW23"/>
  <c r="AW21"/>
  <c r="AW9"/>
  <c r="AW22"/>
  <c r="BE7" i="49"/>
  <c r="AW26" i="18"/>
  <c r="AW28"/>
  <c r="AW30"/>
  <c r="AW25"/>
  <c r="AW40"/>
  <c r="AW10"/>
  <c r="AW46"/>
  <c r="AW14"/>
  <c r="AW11"/>
  <c r="AW38"/>
  <c r="AW13"/>
  <c r="AW29"/>
  <c r="AW12"/>
  <c r="AW44"/>
  <c r="AW15"/>
  <c r="AW20"/>
  <c r="AW31"/>
  <c r="AW54"/>
  <c r="AW50"/>
  <c r="AW8"/>
  <c r="AW32"/>
  <c r="AW35"/>
  <c r="AW51"/>
  <c r="AW18"/>
  <c r="AW43"/>
  <c r="AW19"/>
  <c r="AW39"/>
  <c r="AW16"/>
  <c r="AW48"/>
  <c r="AW17"/>
  <c r="AW47"/>
  <c r="AW53"/>
  <c r="BN9" i="10"/>
  <c r="F7" i="15" s="1"/>
  <c r="H7" s="1"/>
  <c r="B55" i="49"/>
  <c r="B55" i="18"/>
  <c r="B55" i="15"/>
  <c r="B53" i="49"/>
  <c r="B53" i="18"/>
  <c r="B53" i="15"/>
  <c r="B52" i="49"/>
  <c r="B52" i="18"/>
  <c r="B52" i="15"/>
  <c r="B51" i="49"/>
  <c r="B51" i="15"/>
  <c r="B51" i="18"/>
  <c r="B50" i="49"/>
  <c r="B50" i="18"/>
  <c r="B48" i="49"/>
  <c r="B48" i="18"/>
  <c r="B48" i="15"/>
  <c r="B46" i="49"/>
  <c r="B46" i="18"/>
  <c r="B46" i="15"/>
  <c r="B45" i="18"/>
  <c r="B45" i="15"/>
  <c r="B44" i="49"/>
  <c r="B44" i="15"/>
  <c r="B43" i="18"/>
  <c r="B43" i="49"/>
  <c r="B43" i="15"/>
  <c r="B42"/>
  <c r="B42" i="49"/>
  <c r="B40"/>
  <c r="B40" i="15"/>
  <c r="B40" i="18"/>
  <c r="B39" i="49"/>
  <c r="B39" i="18"/>
  <c r="B37" i="49"/>
  <c r="B37" i="15"/>
  <c r="B37" i="18"/>
  <c r="B36" i="49"/>
  <c r="B36" i="18"/>
  <c r="B35" i="49"/>
  <c r="B35" i="18"/>
  <c r="B35" i="15"/>
  <c r="B34" i="49"/>
  <c r="B34" i="15"/>
  <c r="B32" i="49"/>
  <c r="B32" i="15"/>
  <c r="B31" i="49"/>
  <c r="B31" i="18"/>
  <c r="B31" i="15"/>
  <c r="B29" i="49"/>
  <c r="B29" i="15"/>
  <c r="B29" i="18"/>
  <c r="B28" i="49"/>
  <c r="B27"/>
  <c r="B27" i="15"/>
  <c r="B26" i="18"/>
  <c r="B26" i="49"/>
  <c r="B23"/>
  <c r="B23" i="18"/>
  <c r="B23" i="15"/>
  <c r="B21" i="49"/>
  <c r="B21" i="18"/>
  <c r="B21" i="15"/>
  <c r="B20" i="49"/>
  <c r="B19"/>
  <c r="B19" i="15"/>
  <c r="B19" i="18"/>
  <c r="B18" i="49"/>
  <c r="B18" i="18"/>
  <c r="B18" i="15"/>
  <c r="B16" i="49"/>
  <c r="B16" i="18"/>
  <c r="B16" i="15"/>
  <c r="B15"/>
  <c r="B15" i="18"/>
  <c r="B12" i="49"/>
  <c r="B12" i="15"/>
  <c r="B12" i="18"/>
  <c r="B11" i="49"/>
  <c r="B11" i="15"/>
  <c r="B10" i="49"/>
  <c r="B10" i="15"/>
  <c r="B56" i="49"/>
  <c r="B56" i="18"/>
  <c r="B56" i="15"/>
  <c r="R58" i="10"/>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U7" i="15"/>
  <c r="B8" i="49"/>
  <c r="B8" i="15"/>
  <c r="B8" i="18"/>
  <c r="R10" i="10"/>
  <c r="M8" i="15" s="1"/>
  <c r="BG47" l="1"/>
  <c r="BI7" i="18"/>
  <c r="I3" s="1"/>
  <c r="BN10" i="10"/>
  <c r="F8" i="18" s="1"/>
  <c r="H8" s="1"/>
  <c r="BB7" i="15"/>
  <c r="BB57" s="1"/>
  <c r="O2" s="1"/>
  <c r="BK9" i="10"/>
  <c r="BM9" s="1"/>
  <c r="BD57" i="49"/>
  <c r="BG8"/>
  <c r="AX31" i="15"/>
  <c r="AX49"/>
  <c r="AX12"/>
  <c r="AX8"/>
  <c r="AX14"/>
  <c r="AX38"/>
  <c r="AX22"/>
  <c r="AW21"/>
  <c r="AX21" s="1"/>
  <c r="AW34"/>
  <c r="AX34" s="1"/>
  <c r="AX23"/>
  <c r="AW43"/>
  <c r="AX43" s="1"/>
  <c r="AV40"/>
  <c r="AW40" s="1"/>
  <c r="AX40" s="1"/>
  <c r="AW29"/>
  <c r="AX29" s="1"/>
  <c r="AV37"/>
  <c r="AX50"/>
  <c r="AW15"/>
  <c r="AX15" s="1"/>
  <c r="AX48"/>
  <c r="AW54"/>
  <c r="AX54" s="1"/>
  <c r="AV11"/>
  <c r="AW11" s="1"/>
  <c r="AX11" s="1"/>
  <c r="AW27"/>
  <c r="AX27" s="1"/>
  <c r="AX46"/>
  <c r="AW28"/>
  <c r="AX28" s="1"/>
  <c r="AX53"/>
  <c r="AX35"/>
  <c r="AX41"/>
  <c r="AW7"/>
  <c r="AX7" s="1"/>
  <c r="AX30"/>
  <c r="AX16"/>
  <c r="AW56"/>
  <c r="AX56" s="1"/>
  <c r="I2" i="18"/>
  <c r="AT7"/>
  <c r="AH57" s="1"/>
  <c r="AF58" s="1"/>
  <c r="AI58"/>
  <c r="BB8" i="49"/>
  <c r="BB57" s="1"/>
  <c r="O2" s="1"/>
  <c r="BG9"/>
  <c r="BG12"/>
  <c r="BG13"/>
  <c r="BE57"/>
  <c r="BC57"/>
  <c r="AW33" i="18"/>
  <c r="AW55"/>
  <c r="V3" i="49"/>
  <c r="V2"/>
  <c r="F7"/>
  <c r="H7" s="1"/>
  <c r="F7" i="18"/>
  <c r="H7" s="1"/>
  <c r="M9" i="15"/>
  <c r="M9" i="18"/>
  <c r="M10" i="15"/>
  <c r="M10" i="18"/>
  <c r="M11" i="15"/>
  <c r="M11" i="18"/>
  <c r="M12" i="15"/>
  <c r="M12" i="18"/>
  <c r="M13" i="15"/>
  <c r="M13" i="18"/>
  <c r="M14" i="15"/>
  <c r="M14" i="18"/>
  <c r="M15" i="15"/>
  <c r="M15" i="18"/>
  <c r="M16" i="15"/>
  <c r="M16" i="18"/>
  <c r="M17" i="15"/>
  <c r="M17" i="18"/>
  <c r="M18" i="15"/>
  <c r="M18" i="18"/>
  <c r="M19" i="15"/>
  <c r="M19" i="18"/>
  <c r="M20" i="15"/>
  <c r="M20" i="18"/>
  <c r="M21" i="15"/>
  <c r="M21" i="18"/>
  <c r="M22" i="15"/>
  <c r="M22" i="18"/>
  <c r="M23" i="15"/>
  <c r="M23" i="18"/>
  <c r="M24" i="15"/>
  <c r="M24" i="18"/>
  <c r="M25" i="15"/>
  <c r="M25" i="18"/>
  <c r="M26" i="15"/>
  <c r="M26" i="18"/>
  <c r="M27" i="15"/>
  <c r="M27" i="18"/>
  <c r="M28" i="15"/>
  <c r="M28" i="18"/>
  <c r="M29" i="15"/>
  <c r="M29" i="18"/>
  <c r="M30" i="15"/>
  <c r="M30" i="18"/>
  <c r="M31" i="15"/>
  <c r="M31" i="18"/>
  <c r="M32" i="15"/>
  <c r="M32" i="18"/>
  <c r="M33" i="15"/>
  <c r="M33" i="18"/>
  <c r="M34" i="15"/>
  <c r="M34" i="18"/>
  <c r="M35" i="15"/>
  <c r="M35" i="18"/>
  <c r="M36" i="15"/>
  <c r="M36" i="18"/>
  <c r="M37" i="15"/>
  <c r="M37" i="18"/>
  <c r="M38" i="15"/>
  <c r="M38" i="18"/>
  <c r="M39" i="15"/>
  <c r="M39" i="18"/>
  <c r="M40" i="15"/>
  <c r="M40" i="18"/>
  <c r="M41" i="15"/>
  <c r="M41" i="18"/>
  <c r="M42" i="15"/>
  <c r="M42" i="18"/>
  <c r="M43" i="15"/>
  <c r="M43" i="18"/>
  <c r="M44" i="15"/>
  <c r="M44" i="18"/>
  <c r="M45" i="15"/>
  <c r="M45" i="18"/>
  <c r="M46" i="15"/>
  <c r="M46" i="18"/>
  <c r="M47" i="15"/>
  <c r="M47" i="18"/>
  <c r="M48" i="15"/>
  <c r="M48" i="18"/>
  <c r="M49" i="15"/>
  <c r="M49" i="18"/>
  <c r="M50" i="15"/>
  <c r="M50" i="18"/>
  <c r="M51" i="15"/>
  <c r="M51" i="18"/>
  <c r="M52" i="15"/>
  <c r="M52" i="18"/>
  <c r="M53" i="15"/>
  <c r="M53" i="18"/>
  <c r="M54" i="15"/>
  <c r="M54" i="18"/>
  <c r="M55" i="15"/>
  <c r="M55" i="18"/>
  <c r="M56" i="15"/>
  <c r="M56" i="18"/>
  <c r="BG19" i="15"/>
  <c r="BG10"/>
  <c r="BG18"/>
  <c r="BG26"/>
  <c r="BG39"/>
  <c r="BG48"/>
  <c r="BG31"/>
  <c r="BG22"/>
  <c r="BG32"/>
  <c r="BG52"/>
  <c r="BG56"/>
  <c r="BG15"/>
  <c r="BG23"/>
  <c r="BG35"/>
  <c r="BG44"/>
  <c r="BG53"/>
  <c r="BG14"/>
  <c r="BG43"/>
  <c r="BG54"/>
  <c r="BG50"/>
  <c r="BG41"/>
  <c r="BG37"/>
  <c r="BG24"/>
  <c r="BG20"/>
  <c r="BG16"/>
  <c r="BG12"/>
  <c r="BG8"/>
  <c r="BG55"/>
  <c r="BG51"/>
  <c r="BG46"/>
  <c r="BG42"/>
  <c r="BG38"/>
  <c r="BG29"/>
  <c r="BG25"/>
  <c r="BG21"/>
  <c r="BG17"/>
  <c r="BG13"/>
  <c r="BG9"/>
  <c r="BG27"/>
  <c r="BG11"/>
  <c r="BG49"/>
  <c r="BC7"/>
  <c r="BE7" s="1"/>
  <c r="BE57" s="1"/>
  <c r="BG40"/>
  <c r="M8" i="18"/>
  <c r="BP32" i="49"/>
  <c r="BR20"/>
  <c r="BT27"/>
  <c r="BQ18" i="15"/>
  <c r="BW9"/>
  <c r="BS18" i="49"/>
  <c r="BR28"/>
  <c r="BQ10"/>
  <c r="BQ20"/>
  <c r="BT12"/>
  <c r="BW17"/>
  <c r="BP35"/>
  <c r="BT19"/>
  <c r="BU12"/>
  <c r="BT18" i="15"/>
  <c r="BR16" i="49"/>
  <c r="BQ12"/>
  <c r="BS13" i="15"/>
  <c r="BP9"/>
  <c r="BU32" i="49"/>
  <c r="BQ8"/>
  <c r="BR19" i="15"/>
  <c r="BV33" i="49"/>
  <c r="BP10" i="15"/>
  <c r="BU17"/>
  <c r="BQ33" i="49"/>
  <c r="BQ9" i="15"/>
  <c r="BT16"/>
  <c r="BQ21" i="49"/>
  <c r="BV8" i="15"/>
  <c r="BV36" i="49"/>
  <c r="BS17" i="15"/>
  <c r="BR9" i="49"/>
  <c r="BT19" i="15"/>
  <c r="BV20" i="49"/>
  <c r="BU9" i="15"/>
  <c r="BS20" i="49"/>
  <c r="BW17" i="15"/>
  <c r="BT25" i="49"/>
  <c r="BR18"/>
  <c r="BQ27"/>
  <c r="BU21"/>
  <c r="BQ16" i="15"/>
  <c r="BS33" i="49"/>
  <c r="BW11" i="15"/>
  <c r="BT37" i="49"/>
  <c r="BU35"/>
  <c r="BR33"/>
  <c r="BU10" i="15"/>
  <c r="BV12" i="49"/>
  <c r="BR34"/>
  <c r="BQ25"/>
  <c r="BU20" i="15"/>
  <c r="BS34" i="49"/>
  <c r="BS10"/>
  <c r="BU8"/>
  <c r="BT20" i="15"/>
  <c r="BP13"/>
  <c r="BQ11" i="49"/>
  <c r="BW36"/>
  <c r="BT10"/>
  <c r="BV21"/>
  <c r="BS35"/>
  <c r="BR8" i="15"/>
  <c r="BW29" i="49"/>
  <c r="BV10" i="15"/>
  <c r="BR20"/>
  <c r="BQ8"/>
  <c r="BU8"/>
  <c r="BQ9" i="49"/>
  <c r="BP8"/>
  <c r="BU19"/>
  <c r="BQ10" i="15"/>
  <c r="BT35" i="49"/>
  <c r="BQ13" i="15"/>
  <c r="BV9" i="49"/>
  <c r="BR29"/>
  <c r="BW12"/>
  <c r="BU27"/>
  <c r="BS24"/>
  <c r="BW19" i="15"/>
  <c r="BU26" i="49"/>
  <c r="BS13"/>
  <c r="BS16"/>
  <c r="BT11"/>
  <c r="BS8"/>
  <c r="BU33"/>
  <c r="BQ37"/>
  <c r="BP9"/>
  <c r="BV34"/>
  <c r="BW18" i="15"/>
  <c r="BR27" i="49"/>
  <c r="BP36"/>
  <c r="BR25"/>
  <c r="BS25"/>
  <c r="BR11" i="15"/>
  <c r="BV19" i="49"/>
  <c r="BP29"/>
  <c r="BV17" i="15"/>
  <c r="BR12"/>
  <c r="BP20"/>
  <c r="BQ29" i="49"/>
  <c r="BW32"/>
  <c r="BW33"/>
  <c r="BT9"/>
  <c r="BS11"/>
  <c r="BT13" i="15"/>
  <c r="BQ21"/>
  <c r="BR24" i="49"/>
  <c r="BU16" i="15"/>
  <c r="BV21"/>
  <c r="BT20" i="49"/>
  <c r="BS20" i="15"/>
  <c r="BT12"/>
  <c r="BU10" i="49"/>
  <c r="BP19"/>
  <c r="BQ28"/>
  <c r="BQ32"/>
  <c r="BS21" i="15"/>
  <c r="BW28" i="49"/>
  <c r="BP25"/>
  <c r="BQ19"/>
  <c r="BV11" i="15"/>
  <c r="BT17"/>
  <c r="BW16" i="49"/>
  <c r="BQ13"/>
  <c r="BU19" i="15"/>
  <c r="BT11"/>
  <c r="BS21" i="49"/>
  <c r="BR10"/>
  <c r="BT33"/>
  <c r="BW26"/>
  <c r="BQ26"/>
  <c r="BV16"/>
  <c r="BW24"/>
  <c r="BV13" i="15"/>
  <c r="BR21"/>
  <c r="BP28" i="49"/>
  <c r="BW8" i="15"/>
  <c r="BS27" i="49"/>
  <c r="BP24"/>
  <c r="BU34"/>
  <c r="BV18"/>
  <c r="BT17"/>
  <c r="BU11" i="15"/>
  <c r="BP33" i="49"/>
  <c r="BS19" i="15"/>
  <c r="BU12"/>
  <c r="BR36" i="49"/>
  <c r="BP19" i="15"/>
  <c r="BV13" i="49"/>
  <c r="BP10"/>
  <c r="BU25"/>
  <c r="BS17"/>
  <c r="BU29"/>
  <c r="BV37"/>
  <c r="BW12" i="15"/>
  <c r="BR19" i="49"/>
  <c r="BV18" i="15"/>
  <c r="BU9" i="49"/>
  <c r="BS37"/>
  <c r="BP17"/>
  <c r="BP34"/>
  <c r="BW10"/>
  <c r="BU16"/>
  <c r="BV17"/>
  <c r="BV16" i="15"/>
  <c r="BP13" i="49"/>
  <c r="BW35"/>
  <c r="BT8" i="15"/>
  <c r="BW9" i="49"/>
  <c r="BV9" i="15"/>
  <c r="BT16" i="49"/>
  <c r="BU20"/>
  <c r="BW27"/>
  <c r="BR17" i="15"/>
  <c r="BW16"/>
  <c r="BP18"/>
  <c r="BQ19"/>
  <c r="BV8" i="49"/>
  <c r="BW37"/>
  <c r="BR18" i="15"/>
  <c r="BW18" i="49"/>
  <c r="BR17"/>
  <c r="BT9" i="15"/>
  <c r="BT36" i="49"/>
  <c r="BS18" i="15"/>
  <c r="BP17"/>
  <c r="BW21"/>
  <c r="BT13" i="49"/>
  <c r="BV26"/>
  <c r="BR9" i="15"/>
  <c r="BU24" i="49"/>
  <c r="BW13" i="15"/>
  <c r="BV10" i="49"/>
  <c r="BW34"/>
  <c r="BT29"/>
  <c r="BW19"/>
  <c r="BW10" i="15"/>
  <c r="BS26" i="49"/>
  <c r="BV29"/>
  <c r="BT21" i="15"/>
  <c r="BR37" i="49"/>
  <c r="BT28"/>
  <c r="BV35"/>
  <c r="BP21"/>
  <c r="BU37"/>
  <c r="BU36"/>
  <c r="BQ11" i="15"/>
  <c r="BQ12"/>
  <c r="BQ17" i="49"/>
  <c r="BQ17" i="15"/>
  <c r="BP16" i="49"/>
  <c r="BR35"/>
  <c r="BV32"/>
  <c r="BT18"/>
  <c r="BQ16"/>
  <c r="BR12"/>
  <c r="BQ34"/>
  <c r="BR32"/>
  <c r="BS9" i="15"/>
  <c r="BQ20"/>
  <c r="BS36" i="49"/>
  <c r="BQ24"/>
  <c r="BU21" i="15"/>
  <c r="BV12"/>
  <c r="BR13" i="49"/>
  <c r="BV19" i="15"/>
  <c r="BU28" i="49"/>
  <c r="BR11"/>
  <c r="BS32"/>
  <c r="BP12"/>
  <c r="BU11"/>
  <c r="BP18"/>
  <c r="BU17"/>
  <c r="BU18" i="15"/>
  <c r="BP26" i="49"/>
  <c r="BV24"/>
  <c r="BT24"/>
  <c r="BP8" i="15"/>
  <c r="BT26" i="49"/>
  <c r="BS12" i="15"/>
  <c r="BW13" i="49"/>
  <c r="BS10" i="15"/>
  <c r="BT21" i="49"/>
  <c r="BR10" i="15"/>
  <c r="BS11"/>
  <c r="BW11" i="49"/>
  <c r="BR26"/>
  <c r="BV11"/>
  <c r="BP20"/>
  <c r="BP11" i="15"/>
  <c r="BV27" i="49"/>
  <c r="BS28"/>
  <c r="BW21"/>
  <c r="BW8"/>
  <c r="BW20" i="15"/>
  <c r="BT34" i="49"/>
  <c r="BT10" i="15"/>
  <c r="BP12"/>
  <c r="BR8" i="49"/>
  <c r="BU13" i="15"/>
  <c r="BV25" i="49"/>
  <c r="BW25"/>
  <c r="BS12"/>
  <c r="BQ36"/>
  <c r="BQ18"/>
  <c r="BS29"/>
  <c r="BW20"/>
  <c r="BR21"/>
  <c r="BP16" i="15"/>
  <c r="BR13"/>
  <c r="BQ35" i="49"/>
  <c r="BS8" i="15"/>
  <c r="BV20"/>
  <c r="BP11" i="49"/>
  <c r="BS19"/>
  <c r="BU13"/>
  <c r="BU18"/>
  <c r="BV28"/>
  <c r="BR16" i="15"/>
  <c r="BP21"/>
  <c r="BS16"/>
  <c r="BS9" i="49"/>
  <c r="BT8"/>
  <c r="BT32"/>
  <c r="BP37"/>
  <c r="BP27"/>
  <c r="F8" l="1"/>
  <c r="H8" s="1"/>
  <c r="F8" i="15"/>
  <c r="H8" s="1"/>
  <c r="V3"/>
  <c r="BG14" i="49"/>
  <c r="BG10"/>
  <c r="BX16"/>
  <c r="BZ16"/>
  <c r="BY16"/>
  <c r="AW37" i="15"/>
  <c r="AX37" s="1"/>
  <c r="I4" i="18"/>
  <c r="O4"/>
  <c r="AW56"/>
  <c r="I5" s="1"/>
  <c r="V4" i="49"/>
  <c r="BC57" i="15"/>
  <c r="BD7"/>
  <c r="BO37"/>
  <c r="BK37"/>
  <c r="BO36"/>
  <c r="BK36"/>
  <c r="BO35"/>
  <c r="BK35"/>
  <c r="BO34"/>
  <c r="BK34"/>
  <c r="BO33"/>
  <c r="BK33"/>
  <c r="BO32"/>
  <c r="BK32"/>
  <c r="BO29"/>
  <c r="BK29"/>
  <c r="BO28"/>
  <c r="BK28"/>
  <c r="BO27"/>
  <c r="BK27"/>
  <c r="BO26"/>
  <c r="BK26"/>
  <c r="BO25"/>
  <c r="BK25"/>
  <c r="BO24"/>
  <c r="BK24"/>
  <c r="BN37"/>
  <c r="BJ37"/>
  <c r="BN36"/>
  <c r="BJ36"/>
  <c r="BN35"/>
  <c r="BJ35"/>
  <c r="BN34"/>
  <c r="BJ34"/>
  <c r="BN33"/>
  <c r="BJ33"/>
  <c r="BN32"/>
  <c r="CA32" s="1"/>
  <c r="BJ32"/>
  <c r="BY32" s="1"/>
  <c r="BN29"/>
  <c r="BJ29"/>
  <c r="BN28"/>
  <c r="BJ28"/>
  <c r="BN27"/>
  <c r="BJ27"/>
  <c r="BN26"/>
  <c r="BJ26"/>
  <c r="BN25"/>
  <c r="BJ25"/>
  <c r="BN24"/>
  <c r="CA24" s="1"/>
  <c r="BJ24"/>
  <c r="BY24" s="1"/>
  <c r="BI24"/>
  <c r="BI26"/>
  <c r="BI28"/>
  <c r="BI32"/>
  <c r="BI34"/>
  <c r="BI36"/>
  <c r="BI25"/>
  <c r="BI27"/>
  <c r="BI29"/>
  <c r="BI33"/>
  <c r="BI35"/>
  <c r="BI37"/>
  <c r="BM24"/>
  <c r="BM25"/>
  <c r="BM26"/>
  <c r="BM27"/>
  <c r="BM28"/>
  <c r="BM29"/>
  <c r="BM32"/>
  <c r="BM33"/>
  <c r="BM34"/>
  <c r="BM35"/>
  <c r="BM36"/>
  <c r="BM37"/>
  <c r="BH24"/>
  <c r="BX24" s="1"/>
  <c r="BL24"/>
  <c r="BZ24" s="1"/>
  <c r="BH25"/>
  <c r="BL25"/>
  <c r="BH26"/>
  <c r="BL26"/>
  <c r="BH27"/>
  <c r="BL27"/>
  <c r="BH28"/>
  <c r="BL28"/>
  <c r="BH29"/>
  <c r="BL29"/>
  <c r="BH32"/>
  <c r="BX32" s="1"/>
  <c r="BL32"/>
  <c r="BZ32" s="1"/>
  <c r="BH33"/>
  <c r="BL33"/>
  <c r="BH34"/>
  <c r="BL34"/>
  <c r="BH35"/>
  <c r="BL35"/>
  <c r="BH36"/>
  <c r="BL36"/>
  <c r="BH37"/>
  <c r="BL37"/>
  <c r="BH8"/>
  <c r="BX8" s="1"/>
  <c r="BI8"/>
  <c r="BJ8"/>
  <c r="BY8" s="1"/>
  <c r="BK8"/>
  <c r="BL8"/>
  <c r="BZ8" s="1"/>
  <c r="BM8"/>
  <c r="BN8"/>
  <c r="CA8" s="1"/>
  <c r="BO8"/>
  <c r="BH9"/>
  <c r="BI9"/>
  <c r="BJ9"/>
  <c r="BK9"/>
  <c r="BL9"/>
  <c r="BM9"/>
  <c r="BN9"/>
  <c r="BO9"/>
  <c r="BH10"/>
  <c r="BI10"/>
  <c r="BJ10"/>
  <c r="BK10"/>
  <c r="BL10"/>
  <c r="BM10"/>
  <c r="BN10"/>
  <c r="BO10"/>
  <c r="BH11"/>
  <c r="BI11"/>
  <c r="BJ11"/>
  <c r="BK11"/>
  <c r="BL11"/>
  <c r="BM11"/>
  <c r="BN11"/>
  <c r="BO11"/>
  <c r="BH12"/>
  <c r="BI12"/>
  <c r="BJ12"/>
  <c r="BK12"/>
  <c r="BL12"/>
  <c r="BM12"/>
  <c r="BN12"/>
  <c r="BO12"/>
  <c r="BH13"/>
  <c r="BI13"/>
  <c r="BJ13"/>
  <c r="BK13"/>
  <c r="BL13"/>
  <c r="BM13"/>
  <c r="BN13"/>
  <c r="BO13"/>
  <c r="BH16"/>
  <c r="BX16" s="1"/>
  <c r="BI16"/>
  <c r="BJ16"/>
  <c r="BY16" s="1"/>
  <c r="BK16"/>
  <c r="BL16"/>
  <c r="BZ16" s="1"/>
  <c r="BM16"/>
  <c r="BN16"/>
  <c r="CA16" s="1"/>
  <c r="BO16"/>
  <c r="BH17"/>
  <c r="BI17"/>
  <c r="BJ17"/>
  <c r="BK17"/>
  <c r="BL17"/>
  <c r="BM17"/>
  <c r="BN17"/>
  <c r="BO17"/>
  <c r="BH18"/>
  <c r="BI18"/>
  <c r="BJ18"/>
  <c r="BK18"/>
  <c r="BL18"/>
  <c r="BM18"/>
  <c r="BN18"/>
  <c r="BO18"/>
  <c r="BH19"/>
  <c r="BI19"/>
  <c r="BJ19"/>
  <c r="BK19"/>
  <c r="BL19"/>
  <c r="BM19"/>
  <c r="BN19"/>
  <c r="BO19"/>
  <c r="BH20"/>
  <c r="BI20"/>
  <c r="BJ20"/>
  <c r="BK20"/>
  <c r="BL20"/>
  <c r="BM20"/>
  <c r="BN20"/>
  <c r="BO20"/>
  <c r="BH21"/>
  <c r="BI21"/>
  <c r="BJ21"/>
  <c r="BK21"/>
  <c r="BL21"/>
  <c r="BM21"/>
  <c r="BN21"/>
  <c r="BO21"/>
  <c r="BH8" i="49"/>
  <c r="BX8" s="1"/>
  <c r="BI8"/>
  <c r="BJ8"/>
  <c r="BY8" s="1"/>
  <c r="BK8"/>
  <c r="BL8"/>
  <c r="BZ8" s="1"/>
  <c r="BM8"/>
  <c r="BN8"/>
  <c r="CA8" s="1"/>
  <c r="CA38" s="1"/>
  <c r="BO8"/>
  <c r="BH9"/>
  <c r="BI9"/>
  <c r="BJ9"/>
  <c r="BK9"/>
  <c r="BL9"/>
  <c r="BM9"/>
  <c r="BN9"/>
  <c r="BO9"/>
  <c r="BH10"/>
  <c r="BI10"/>
  <c r="BJ10"/>
  <c r="BK10"/>
  <c r="BL10"/>
  <c r="BM10"/>
  <c r="BN10"/>
  <c r="BO10"/>
  <c r="BH11"/>
  <c r="BI11"/>
  <c r="BJ11"/>
  <c r="BK11"/>
  <c r="BL11"/>
  <c r="BM11"/>
  <c r="BN11"/>
  <c r="BO11"/>
  <c r="BH12"/>
  <c r="BI12"/>
  <c r="BJ12"/>
  <c r="BK12"/>
  <c r="BL12"/>
  <c r="BM12"/>
  <c r="BN12"/>
  <c r="BO12"/>
  <c r="BH13"/>
  <c r="BI13"/>
  <c r="BJ13"/>
  <c r="BK13"/>
  <c r="BL13"/>
  <c r="BM13"/>
  <c r="BN13"/>
  <c r="BO13"/>
  <c r="BG33" i="15"/>
  <c r="BG57"/>
  <c r="BY38" i="49" l="1"/>
  <c r="BX38"/>
  <c r="BZ38"/>
  <c r="V2" i="15"/>
  <c r="V4" s="1"/>
  <c r="BD57"/>
  <c r="CA38"/>
  <c r="BZ38"/>
  <c r="BY38"/>
  <c r="BX38"/>
  <c r="CB38" i="49" l="1"/>
  <c r="O3" s="1"/>
  <c r="O4" s="1"/>
  <c r="CB38" i="15"/>
  <c r="O3" s="1"/>
  <c r="O4" s="1"/>
</calcChain>
</file>

<file path=xl/sharedStrings.xml><?xml version="1.0" encoding="utf-8"?>
<sst xmlns="http://schemas.openxmlformats.org/spreadsheetml/2006/main" count="1389" uniqueCount="679">
  <si>
    <t>①参加料は</t>
    <rPh sb="1" eb="3">
      <t>サンカ</t>
    </rPh>
    <rPh sb="3" eb="4">
      <t>リョウ</t>
    </rPh>
    <phoneticPr fontId="5"/>
  </si>
  <si>
    <t>③振込人の名称は所属名で記載のこと。(個人は個人名とする。）</t>
    <rPh sb="1" eb="3">
      <t>フリコ</t>
    </rPh>
    <rPh sb="3" eb="4">
      <t>ニン</t>
    </rPh>
    <rPh sb="5" eb="7">
      <t>メイショウ</t>
    </rPh>
    <rPh sb="8" eb="10">
      <t>ショゾク</t>
    </rPh>
    <rPh sb="10" eb="11">
      <t>メイ</t>
    </rPh>
    <rPh sb="12" eb="14">
      <t>キサイ</t>
    </rPh>
    <rPh sb="19" eb="21">
      <t>コジン</t>
    </rPh>
    <rPh sb="22" eb="25">
      <t>コジンメイ</t>
    </rPh>
    <phoneticPr fontId="5"/>
  </si>
  <si>
    <t>⑤認知書が必要な大会は入力印刷の上、捺印の上、当日受付で係員に渡すこと。</t>
    <rPh sb="1" eb="3">
      <t>ニンチ</t>
    </rPh>
    <rPh sb="3" eb="4">
      <t>カ</t>
    </rPh>
    <rPh sb="5" eb="7">
      <t>ヒツヨウ</t>
    </rPh>
    <rPh sb="8" eb="10">
      <t>タイカイ</t>
    </rPh>
    <rPh sb="11" eb="13">
      <t>ニュウリョク</t>
    </rPh>
    <rPh sb="13" eb="15">
      <t>インサツ</t>
    </rPh>
    <rPh sb="16" eb="17">
      <t>ウエ</t>
    </rPh>
    <rPh sb="18" eb="20">
      <t>ナツイン</t>
    </rPh>
    <rPh sb="21" eb="22">
      <t>ウエ</t>
    </rPh>
    <rPh sb="23" eb="25">
      <t>トウジツ</t>
    </rPh>
    <rPh sb="25" eb="27">
      <t>ウケツケ</t>
    </rPh>
    <rPh sb="28" eb="30">
      <t>カカリイン</t>
    </rPh>
    <rPh sb="31" eb="32">
      <t>ワタ</t>
    </rPh>
    <phoneticPr fontId="5"/>
  </si>
  <si>
    <t>ハンマー投</t>
    <phoneticPr fontId="4"/>
  </si>
  <si>
    <t>公認記録記載欄(随時記録が更新された場合は、変更入力して下さい。全ての申し込みに反映されます。</t>
    <rPh sb="0" eb="2">
      <t>コウニン</t>
    </rPh>
    <rPh sb="2" eb="4">
      <t>キロク</t>
    </rPh>
    <rPh sb="4" eb="6">
      <t>キサイ</t>
    </rPh>
    <rPh sb="6" eb="7">
      <t>ラン</t>
    </rPh>
    <rPh sb="8" eb="10">
      <t>ズイジ</t>
    </rPh>
    <rPh sb="10" eb="12">
      <t>キロク</t>
    </rPh>
    <rPh sb="13" eb="15">
      <t>コウシン</t>
    </rPh>
    <rPh sb="18" eb="20">
      <t>バアイ</t>
    </rPh>
    <rPh sb="22" eb="24">
      <t>ヘンコウ</t>
    </rPh>
    <rPh sb="24" eb="26">
      <t>ニュウリョク</t>
    </rPh>
    <rPh sb="28" eb="29">
      <t>クダ</t>
    </rPh>
    <rPh sb="32" eb="33">
      <t>スベ</t>
    </rPh>
    <rPh sb="35" eb="36">
      <t>モウ</t>
    </rPh>
    <rPh sb="37" eb="38">
      <t>コ</t>
    </rPh>
    <rPh sb="40" eb="42">
      <t>ハンエイ</t>
    </rPh>
    <phoneticPr fontId="4"/>
  </si>
  <si>
    <t>①選手入力画面で選手の公認記録を入力しておくと、自動で反映されます。</t>
    <rPh sb="1" eb="3">
      <t>センシュ</t>
    </rPh>
    <rPh sb="3" eb="5">
      <t>ニュウリョク</t>
    </rPh>
    <rPh sb="5" eb="7">
      <t>ガメン</t>
    </rPh>
    <rPh sb="8" eb="10">
      <t>センシュ</t>
    </rPh>
    <rPh sb="11" eb="13">
      <t>コウニン</t>
    </rPh>
    <rPh sb="13" eb="15">
      <t>キロク</t>
    </rPh>
    <rPh sb="16" eb="18">
      <t>ニュウリョク</t>
    </rPh>
    <rPh sb="24" eb="26">
      <t>ジドウ</t>
    </rPh>
    <rPh sb="27" eb="29">
      <t>ハンエイ</t>
    </rPh>
    <phoneticPr fontId="5"/>
  </si>
  <si>
    <t>問い合わせ</t>
    <rPh sb="0" eb="1">
      <t>ト</t>
    </rPh>
    <rPh sb="2" eb="3">
      <t>ア</t>
    </rPh>
    <phoneticPr fontId="5"/>
  </si>
  <si>
    <t>所属コード</t>
  </si>
  <si>
    <t>地区</t>
    <rPh sb="0" eb="2">
      <t>チク</t>
    </rPh>
    <phoneticPr fontId="4"/>
  </si>
  <si>
    <t>地区コード</t>
    <rPh sb="0" eb="2">
      <t>チク</t>
    </rPh>
    <phoneticPr fontId="4"/>
  </si>
  <si>
    <t>陸連コード</t>
  </si>
  <si>
    <t>カナ名</t>
  </si>
  <si>
    <t>性別</t>
  </si>
  <si>
    <t>個人所属地コード</t>
  </si>
  <si>
    <t>競技者コード</t>
  </si>
  <si>
    <t>掲示板名</t>
  </si>
  <si>
    <t>鈴鹿市</t>
  </si>
  <si>
    <t>津市</t>
  </si>
  <si>
    <t>亀山市</t>
  </si>
  <si>
    <t>松阪市</t>
  </si>
  <si>
    <t>名張市</t>
  </si>
  <si>
    <t>尾鷲市</t>
  </si>
  <si>
    <t>熊野市</t>
  </si>
  <si>
    <t>伊勢市</t>
  </si>
  <si>
    <t>度会郡</t>
  </si>
  <si>
    <t>鳥羽市</t>
  </si>
  <si>
    <t>伊賀郡</t>
  </si>
  <si>
    <t>桑名市</t>
  </si>
  <si>
    <t>桑名郡</t>
  </si>
  <si>
    <t>員弁郡</t>
  </si>
  <si>
    <t>鈴鹿郡</t>
  </si>
  <si>
    <t>多気郡</t>
  </si>
  <si>
    <t>名賀郡</t>
  </si>
  <si>
    <t>阿山郡</t>
  </si>
  <si>
    <t>南牟婁</t>
  </si>
  <si>
    <t>走高跳</t>
    <rPh sb="0" eb="1">
      <t>ハシ</t>
    </rPh>
    <rPh sb="1" eb="3">
      <t>タカトビ</t>
    </rPh>
    <phoneticPr fontId="5"/>
  </si>
  <si>
    <t>北海道</t>
  </si>
  <si>
    <t>ﾎｯｶｲﾄﾞｳ</t>
  </si>
  <si>
    <t>青森</t>
  </si>
  <si>
    <t>ｱｵﾓﾘ</t>
  </si>
  <si>
    <t>岩手</t>
  </si>
  <si>
    <t>ｲﾜﾃ</t>
  </si>
  <si>
    <t>宮城</t>
  </si>
  <si>
    <t>ﾐﾔｷﾞ</t>
  </si>
  <si>
    <t>秋田</t>
  </si>
  <si>
    <t>ｱｷﾀ</t>
  </si>
  <si>
    <t>山形</t>
  </si>
  <si>
    <t>ﾔﾏｶﾞﾀ</t>
  </si>
  <si>
    <t>福島</t>
  </si>
  <si>
    <t>ﾌｸｼﾏ</t>
  </si>
  <si>
    <t>茨城</t>
  </si>
  <si>
    <t>ｲﾊﾞﾗｷﾞ</t>
  </si>
  <si>
    <t>栃木</t>
  </si>
  <si>
    <t>ﾄﾁｷﾞ</t>
  </si>
  <si>
    <t>群馬</t>
  </si>
  <si>
    <t>ｸﾞﾝﾏ</t>
  </si>
  <si>
    <t>埼玉</t>
  </si>
  <si>
    <t>ｻｲﾀﾏ</t>
  </si>
  <si>
    <t>千葉</t>
  </si>
  <si>
    <t>ﾁﾊﾞ</t>
  </si>
  <si>
    <t>東京</t>
  </si>
  <si>
    <t>ﾄｳｷｮｳ</t>
  </si>
  <si>
    <t>神奈川</t>
  </si>
  <si>
    <t>ｶﾅｶﾞﾜ</t>
  </si>
  <si>
    <t>山梨</t>
  </si>
  <si>
    <t>ﾔﾏﾅｼ</t>
  </si>
  <si>
    <t>新潟</t>
  </si>
  <si>
    <t>ﾆｲｶﾞﾀ</t>
  </si>
  <si>
    <t>長野</t>
  </si>
  <si>
    <t>ﾅｶﾞﾉ</t>
  </si>
  <si>
    <t>富山</t>
  </si>
  <si>
    <t>ﾄﾔﾏ</t>
  </si>
  <si>
    <t>石川</t>
  </si>
  <si>
    <t>ｲｼｶﾜ</t>
  </si>
  <si>
    <t>福井</t>
  </si>
  <si>
    <t>ﾌｸｲ</t>
  </si>
  <si>
    <t>静岡</t>
  </si>
  <si>
    <t>ｼｽﾞｵｶ</t>
  </si>
  <si>
    <t>愛知</t>
  </si>
  <si>
    <t>ｱｲﾁ</t>
  </si>
  <si>
    <t>ﾐｴ</t>
  </si>
  <si>
    <t>岐阜</t>
  </si>
  <si>
    <t>ｷﾞﾌ</t>
  </si>
  <si>
    <t>滋賀</t>
  </si>
  <si>
    <t>ｼｶﾞ</t>
  </si>
  <si>
    <t>京都</t>
  </si>
  <si>
    <t>ｷｮｳﾄ</t>
  </si>
  <si>
    <t>大阪</t>
  </si>
  <si>
    <t>ｵｵｻｶ</t>
  </si>
  <si>
    <t>兵庫</t>
  </si>
  <si>
    <t>ﾋｮｳｺﾞ</t>
  </si>
  <si>
    <t>奈良</t>
  </si>
  <si>
    <t>ﾅﾗ</t>
  </si>
  <si>
    <t>和歌山</t>
  </si>
  <si>
    <t>ﾜｶﾔﾏ</t>
  </si>
  <si>
    <t>鳥取</t>
  </si>
  <si>
    <t>ﾄｯﾄﾘ</t>
  </si>
  <si>
    <t>島根</t>
  </si>
  <si>
    <t>ｼﾏﾈ</t>
  </si>
  <si>
    <t>岡山</t>
  </si>
  <si>
    <t>ｵｶﾔﾏ</t>
  </si>
  <si>
    <t>広島</t>
  </si>
  <si>
    <t>ﾋﾛｼﾏ</t>
  </si>
  <si>
    <t>山口</t>
  </si>
  <si>
    <t>ﾔﾏｸﾞﾁ</t>
  </si>
  <si>
    <t>徳島</t>
  </si>
  <si>
    <t>ﾄｸｼﾏ</t>
  </si>
  <si>
    <t>香川</t>
  </si>
  <si>
    <t>ｶｶﾞﾜ</t>
  </si>
  <si>
    <t>愛媛</t>
  </si>
  <si>
    <t>ｴﾋﾒ</t>
  </si>
  <si>
    <t>高知</t>
  </si>
  <si>
    <t>ｺｳﾁ</t>
  </si>
  <si>
    <t>福岡</t>
  </si>
  <si>
    <t>ﾌｸｵｶ</t>
  </si>
  <si>
    <t>佐賀</t>
  </si>
  <si>
    <t>ｻｶﾞ</t>
  </si>
  <si>
    <t>長崎</t>
  </si>
  <si>
    <t>ﾅｶﾞｻｷ</t>
  </si>
  <si>
    <t>熊本</t>
  </si>
  <si>
    <t>ｸﾏﾓﾄ</t>
  </si>
  <si>
    <t>大分</t>
  </si>
  <si>
    <t>ｵｵｲﾀ</t>
  </si>
  <si>
    <t>宮崎</t>
  </si>
  <si>
    <t>ﾐﾔｻﾞｷ</t>
  </si>
  <si>
    <t>鹿児島</t>
  </si>
  <si>
    <t>ｶｺﾞｼﾏ</t>
  </si>
  <si>
    <t>沖縄</t>
  </si>
  <si>
    <t>ｵｷﾅﾜ</t>
  </si>
  <si>
    <t>学連</t>
  </si>
  <si>
    <t>ガクレン</t>
  </si>
  <si>
    <t>三重郡</t>
  </si>
  <si>
    <t>北牟婁</t>
  </si>
  <si>
    <t>学校番号</t>
    <rPh sb="0" eb="2">
      <t>ガッコウ</t>
    </rPh>
    <rPh sb="2" eb="4">
      <t>バンゴウ</t>
    </rPh>
    <phoneticPr fontId="3"/>
  </si>
  <si>
    <t>四日市</t>
  </si>
  <si>
    <t>三重</t>
  </si>
  <si>
    <t>走幅跳</t>
    <rPh sb="0" eb="1">
      <t>ハシ</t>
    </rPh>
    <rPh sb="1" eb="3">
      <t>ハバト</t>
    </rPh>
    <phoneticPr fontId="5"/>
  </si>
  <si>
    <t>棒高跳</t>
    <rPh sb="0" eb="3">
      <t>ボウタカト</t>
    </rPh>
    <phoneticPr fontId="5"/>
  </si>
  <si>
    <t>円盤投</t>
    <rPh sb="0" eb="2">
      <t>エンバン</t>
    </rPh>
    <rPh sb="2" eb="3">
      <t>ナ</t>
    </rPh>
    <phoneticPr fontId="5"/>
  </si>
  <si>
    <t>やり投</t>
    <rPh sb="2" eb="3">
      <t>ナ</t>
    </rPh>
    <phoneticPr fontId="5"/>
  </si>
  <si>
    <t>ハンマー投</t>
    <rPh sb="4" eb="5">
      <t>ナ</t>
    </rPh>
    <phoneticPr fontId="5"/>
  </si>
  <si>
    <t>三段跳</t>
    <rPh sb="0" eb="2">
      <t>サンダン</t>
    </rPh>
    <rPh sb="2" eb="3">
      <t>ト</t>
    </rPh>
    <phoneticPr fontId="5"/>
  </si>
  <si>
    <t>砲丸投</t>
    <rPh sb="0" eb="2">
      <t>ホウガン</t>
    </rPh>
    <rPh sb="2" eb="3">
      <t>ナ</t>
    </rPh>
    <phoneticPr fontId="5"/>
  </si>
  <si>
    <t>8種</t>
    <rPh sb="1" eb="2">
      <t>シュ</t>
    </rPh>
    <phoneticPr fontId="5"/>
  </si>
  <si>
    <t>7種</t>
    <rPh sb="1" eb="2">
      <t>シュ</t>
    </rPh>
    <phoneticPr fontId="5"/>
  </si>
  <si>
    <t>種目3</t>
    <rPh sb="0" eb="2">
      <t>シュモク</t>
    </rPh>
    <phoneticPr fontId="5"/>
  </si>
  <si>
    <t>コード</t>
    <phoneticPr fontId="5"/>
  </si>
  <si>
    <t>記録3</t>
    <phoneticPr fontId="5"/>
  </si>
  <si>
    <t>記録5</t>
    <phoneticPr fontId="5"/>
  </si>
  <si>
    <t>申込み送付時の注意点</t>
    <rPh sb="0" eb="2">
      <t>モウシコ</t>
    </rPh>
    <rPh sb="3" eb="5">
      <t>ソウフ</t>
    </rPh>
    <rPh sb="5" eb="6">
      <t>ジ</t>
    </rPh>
    <rPh sb="7" eb="10">
      <t>チュウイテン</t>
    </rPh>
    <phoneticPr fontId="5"/>
  </si>
  <si>
    <t>名前</t>
    <rPh sb="0" eb="2">
      <t>ナマエ</t>
    </rPh>
    <phoneticPr fontId="5"/>
  </si>
  <si>
    <t>メール宛先</t>
    <rPh sb="3" eb="5">
      <t>アテサキ</t>
    </rPh>
    <phoneticPr fontId="5"/>
  </si>
  <si>
    <t>リレー</t>
    <phoneticPr fontId="5"/>
  </si>
  <si>
    <t>大会参加費</t>
    <rPh sb="0" eb="2">
      <t>タイカイ</t>
    </rPh>
    <rPh sb="2" eb="4">
      <t>サンカ</t>
    </rPh>
    <rPh sb="4" eb="5">
      <t>ヒ</t>
    </rPh>
    <phoneticPr fontId="5"/>
  </si>
  <si>
    <t>国体1次高校県選</t>
    <rPh sb="0" eb="2">
      <t>コクタイ</t>
    </rPh>
    <rPh sb="3" eb="4">
      <t>ジ</t>
    </rPh>
    <rPh sb="4" eb="6">
      <t>コウコウ</t>
    </rPh>
    <rPh sb="6" eb="7">
      <t>ケン</t>
    </rPh>
    <rPh sb="7" eb="8">
      <t>セン</t>
    </rPh>
    <phoneticPr fontId="5"/>
  </si>
  <si>
    <t>400H</t>
    <phoneticPr fontId="5"/>
  </si>
  <si>
    <t>4×100</t>
    <phoneticPr fontId="5"/>
  </si>
  <si>
    <t>ロードレース</t>
    <phoneticPr fontId="5"/>
  </si>
  <si>
    <t>三重長距離記録会</t>
    <rPh sb="0" eb="2">
      <t>ミエ</t>
    </rPh>
    <rPh sb="2" eb="5">
      <t>チョウキョリ</t>
    </rPh>
    <rPh sb="5" eb="7">
      <t>キロク</t>
    </rPh>
    <rPh sb="7" eb="8">
      <t>カイ</t>
    </rPh>
    <phoneticPr fontId="5"/>
  </si>
  <si>
    <t>ナイター記録会</t>
    <rPh sb="4" eb="6">
      <t>キロク</t>
    </rPh>
    <rPh sb="6" eb="7">
      <t>カイ</t>
    </rPh>
    <phoneticPr fontId="5"/>
  </si>
  <si>
    <t>高一般男子5000-1部</t>
    <rPh sb="0" eb="1">
      <t>コウ</t>
    </rPh>
    <rPh sb="1" eb="3">
      <t>イッパン</t>
    </rPh>
    <rPh sb="3" eb="5">
      <t>ダンシ</t>
    </rPh>
    <rPh sb="11" eb="12">
      <t>ブ</t>
    </rPh>
    <phoneticPr fontId="5"/>
  </si>
  <si>
    <t>高一般男子5000-2部</t>
    <rPh sb="0" eb="1">
      <t>コウ</t>
    </rPh>
    <rPh sb="1" eb="3">
      <t>イッパン</t>
    </rPh>
    <rPh sb="3" eb="5">
      <t>ダンシ</t>
    </rPh>
    <rPh sb="11" eb="12">
      <t>ブ</t>
    </rPh>
    <phoneticPr fontId="5"/>
  </si>
  <si>
    <t>高一般男子5000-3部</t>
    <rPh sb="0" eb="1">
      <t>コウ</t>
    </rPh>
    <rPh sb="1" eb="3">
      <t>イッパン</t>
    </rPh>
    <rPh sb="3" eb="5">
      <t>ダンシ</t>
    </rPh>
    <rPh sb="11" eb="12">
      <t>ブ</t>
    </rPh>
    <phoneticPr fontId="5"/>
  </si>
  <si>
    <t>高一般男子5000-4部</t>
    <rPh sb="0" eb="1">
      <t>コウ</t>
    </rPh>
    <rPh sb="1" eb="3">
      <t>イッパン</t>
    </rPh>
    <rPh sb="3" eb="5">
      <t>ダンシ</t>
    </rPh>
    <rPh sb="11" eb="12">
      <t>ブ</t>
    </rPh>
    <phoneticPr fontId="5"/>
  </si>
  <si>
    <t>高一般男子5000-5部</t>
    <rPh sb="0" eb="1">
      <t>コウ</t>
    </rPh>
    <rPh sb="1" eb="3">
      <t>イッパン</t>
    </rPh>
    <rPh sb="3" eb="5">
      <t>ダンシ</t>
    </rPh>
    <rPh sb="11" eb="12">
      <t>ブ</t>
    </rPh>
    <phoneticPr fontId="5"/>
  </si>
  <si>
    <t>100H</t>
    <phoneticPr fontId="5"/>
  </si>
  <si>
    <t>4×400</t>
    <phoneticPr fontId="5"/>
  </si>
  <si>
    <t>ロードレース</t>
    <phoneticPr fontId="5"/>
  </si>
  <si>
    <t>高校一般女子3000</t>
    <rPh sb="0" eb="2">
      <t>コウコウ</t>
    </rPh>
    <rPh sb="2" eb="4">
      <t>イッパン</t>
    </rPh>
    <rPh sb="4" eb="6">
      <t>ジョシ</t>
    </rPh>
    <phoneticPr fontId="5"/>
  </si>
  <si>
    <t>振込先</t>
    <rPh sb="0" eb="2">
      <t>フリコ</t>
    </rPh>
    <rPh sb="2" eb="3">
      <t>サキ</t>
    </rPh>
    <phoneticPr fontId="5"/>
  </si>
  <si>
    <t>競技者名</t>
  </si>
  <si>
    <t>所属地</t>
    <rPh sb="0" eb="2">
      <t>ショゾク</t>
    </rPh>
    <rPh sb="2" eb="3">
      <t>チ</t>
    </rPh>
    <phoneticPr fontId="5"/>
  </si>
  <si>
    <t>大会参加料　振込票貼付用紙</t>
    <rPh sb="0" eb="2">
      <t>タイカイ</t>
    </rPh>
    <rPh sb="2" eb="4">
      <t>サンカ</t>
    </rPh>
    <rPh sb="4" eb="5">
      <t>リョウ</t>
    </rPh>
    <rPh sb="6" eb="8">
      <t>フリコミ</t>
    </rPh>
    <rPh sb="8" eb="9">
      <t>ヒョウ</t>
    </rPh>
    <rPh sb="9" eb="11">
      <t>ハリツケ</t>
    </rPh>
    <rPh sb="11" eb="13">
      <t>ヨウシ</t>
    </rPh>
    <phoneticPr fontId="19"/>
  </si>
  <si>
    <t>所属名</t>
    <rPh sb="0" eb="2">
      <t>ショゾク</t>
    </rPh>
    <rPh sb="2" eb="3">
      <t>メイ</t>
    </rPh>
    <phoneticPr fontId="19"/>
  </si>
  <si>
    <t>所属NO</t>
  </si>
  <si>
    <t>所属名</t>
  </si>
  <si>
    <t>所属名カナ</t>
  </si>
  <si>
    <t>所属名略称</t>
  </si>
  <si>
    <t>所属地NO</t>
  </si>
  <si>
    <t>大会名</t>
    <rPh sb="0" eb="2">
      <t>タイカイ</t>
    </rPh>
    <rPh sb="2" eb="3">
      <t>メイ</t>
    </rPh>
    <phoneticPr fontId="19"/>
  </si>
  <si>
    <t>少年3000</t>
    <rPh sb="0" eb="2">
      <t>ショウネン</t>
    </rPh>
    <phoneticPr fontId="5"/>
  </si>
  <si>
    <t>少年砲丸投</t>
    <rPh sb="0" eb="1">
      <t>ショウ</t>
    </rPh>
    <rPh sb="1" eb="2">
      <t>ネン</t>
    </rPh>
    <rPh sb="2" eb="5">
      <t>ホウガンナ</t>
    </rPh>
    <phoneticPr fontId="5"/>
  </si>
  <si>
    <t>少年円盤投</t>
    <rPh sb="0" eb="2">
      <t>ショウネン</t>
    </rPh>
    <rPh sb="2" eb="4">
      <t>エンバン</t>
    </rPh>
    <rPh sb="4" eb="5">
      <t>ナ</t>
    </rPh>
    <phoneticPr fontId="5"/>
  </si>
  <si>
    <t>少年ハンマー投</t>
    <rPh sb="0" eb="2">
      <t>ショウネン</t>
    </rPh>
    <rPh sb="6" eb="7">
      <t>ナ</t>
    </rPh>
    <phoneticPr fontId="5"/>
  </si>
  <si>
    <t>少年B110JH</t>
    <rPh sb="0" eb="2">
      <t>ショウネン</t>
    </rPh>
    <phoneticPr fontId="5"/>
  </si>
  <si>
    <t>高男子3000</t>
    <rPh sb="0" eb="1">
      <t>コウ</t>
    </rPh>
    <rPh sb="1" eb="3">
      <t>ダンシ</t>
    </rPh>
    <phoneticPr fontId="5"/>
  </si>
  <si>
    <t>100H</t>
    <phoneticPr fontId="5"/>
  </si>
  <si>
    <t>400H</t>
    <phoneticPr fontId="5"/>
  </si>
  <si>
    <t>3000W</t>
    <phoneticPr fontId="5"/>
  </si>
  <si>
    <t>4×100</t>
    <phoneticPr fontId="5"/>
  </si>
  <si>
    <t>少年B100H</t>
    <rPh sb="0" eb="2">
      <t>ショウネン</t>
    </rPh>
    <phoneticPr fontId="5"/>
  </si>
  <si>
    <t>いなべ市</t>
    <rPh sb="3" eb="4">
      <t>シ</t>
    </rPh>
    <phoneticPr fontId="4"/>
  </si>
  <si>
    <t>志摩市</t>
    <rPh sb="2" eb="3">
      <t>シ</t>
    </rPh>
    <phoneticPr fontId="4"/>
  </si>
  <si>
    <t>伊賀市</t>
    <rPh sb="0" eb="2">
      <t>イガ</t>
    </rPh>
    <rPh sb="2" eb="3">
      <t>シ</t>
    </rPh>
    <phoneticPr fontId="4"/>
  </si>
  <si>
    <t>三重</t>
    <rPh sb="0" eb="2">
      <t>ミエ</t>
    </rPh>
    <phoneticPr fontId="4"/>
  </si>
  <si>
    <t>高校新人</t>
    <rPh sb="0" eb="2">
      <t>コウコウ</t>
    </rPh>
    <rPh sb="2" eb="4">
      <t>シンジン</t>
    </rPh>
    <phoneticPr fontId="5"/>
  </si>
  <si>
    <t>110H</t>
    <phoneticPr fontId="5"/>
  </si>
  <si>
    <t>400H</t>
    <phoneticPr fontId="5"/>
  </si>
  <si>
    <t>3000SC</t>
    <phoneticPr fontId="5"/>
  </si>
  <si>
    <t>3000W</t>
    <phoneticPr fontId="5"/>
  </si>
  <si>
    <t>5000W</t>
    <phoneticPr fontId="5"/>
  </si>
  <si>
    <t>4×100</t>
    <phoneticPr fontId="5"/>
  </si>
  <si>
    <t>4×400</t>
    <phoneticPr fontId="5"/>
  </si>
  <si>
    <t>100H</t>
    <phoneticPr fontId="5"/>
  </si>
  <si>
    <t>3000W</t>
    <phoneticPr fontId="5"/>
  </si>
  <si>
    <t>総体・新人</t>
    <rPh sb="0" eb="2">
      <t>ソウタイ</t>
    </rPh>
    <rPh sb="3" eb="5">
      <t>シンジン</t>
    </rPh>
    <phoneticPr fontId="5"/>
  </si>
  <si>
    <t>春季・高校総体</t>
    <rPh sb="0" eb="2">
      <t>シュンキ</t>
    </rPh>
    <rPh sb="3" eb="5">
      <t>コウコウ</t>
    </rPh>
    <rPh sb="5" eb="7">
      <t>ソウタイ</t>
    </rPh>
    <phoneticPr fontId="5"/>
  </si>
  <si>
    <t>国体1次リレー</t>
    <rPh sb="0" eb="2">
      <t>コクタイ</t>
    </rPh>
    <rPh sb="3" eb="4">
      <t>ジ</t>
    </rPh>
    <phoneticPr fontId="5"/>
  </si>
  <si>
    <t>男子</t>
    <rPh sb="0" eb="2">
      <t>ダンシ</t>
    </rPh>
    <phoneticPr fontId="5"/>
  </si>
  <si>
    <t>女子</t>
    <rPh sb="0" eb="2">
      <t>ジョシ</t>
    </rPh>
    <phoneticPr fontId="5"/>
  </si>
  <si>
    <t>男子A</t>
    <rPh sb="0" eb="2">
      <t>ダンシ</t>
    </rPh>
    <phoneticPr fontId="5"/>
  </si>
  <si>
    <t>男子B</t>
    <rPh sb="0" eb="2">
      <t>ダンシ</t>
    </rPh>
    <phoneticPr fontId="5"/>
  </si>
  <si>
    <t>男子C</t>
    <rPh sb="0" eb="2">
      <t>ダンシ</t>
    </rPh>
    <phoneticPr fontId="5"/>
  </si>
  <si>
    <t>女子A</t>
    <rPh sb="0" eb="2">
      <t>ジョシ</t>
    </rPh>
    <phoneticPr fontId="5"/>
  </si>
  <si>
    <t>女子B</t>
    <rPh sb="0" eb="2">
      <t>ジョシ</t>
    </rPh>
    <phoneticPr fontId="5"/>
  </si>
  <si>
    <t>女子C</t>
    <rPh sb="0" eb="2">
      <t>ジョシ</t>
    </rPh>
    <phoneticPr fontId="5"/>
  </si>
  <si>
    <t>種目別参加人数</t>
    <rPh sb="0" eb="2">
      <t>シュモク</t>
    </rPh>
    <rPh sb="2" eb="3">
      <t>ベツ</t>
    </rPh>
    <rPh sb="3" eb="5">
      <t>サンカ</t>
    </rPh>
    <rPh sb="5" eb="7">
      <t>ニンズウ</t>
    </rPh>
    <phoneticPr fontId="5"/>
  </si>
  <si>
    <t>少3000</t>
    <rPh sb="0" eb="1">
      <t>ショウ</t>
    </rPh>
    <phoneticPr fontId="5"/>
  </si>
  <si>
    <t>種目別人数</t>
    <rPh sb="0" eb="2">
      <t>シュモク</t>
    </rPh>
    <rPh sb="2" eb="3">
      <t>ベツ</t>
    </rPh>
    <rPh sb="3" eb="5">
      <t>ニンズウ</t>
    </rPh>
    <phoneticPr fontId="5"/>
  </si>
  <si>
    <t>今年の改良点</t>
    <rPh sb="0" eb="2">
      <t>コトシ</t>
    </rPh>
    <rPh sb="3" eb="6">
      <t>カイリョウテン</t>
    </rPh>
    <phoneticPr fontId="5"/>
  </si>
  <si>
    <t>緊急連絡先(携帯)</t>
    <rPh sb="0" eb="2">
      <t>キンキュウ</t>
    </rPh>
    <rPh sb="2" eb="4">
      <t>レンラク</t>
    </rPh>
    <rPh sb="4" eb="5">
      <t>サキ</t>
    </rPh>
    <phoneticPr fontId="4"/>
  </si>
  <si>
    <t>入力上の注意</t>
    <rPh sb="0" eb="2">
      <t>ニュウリョク</t>
    </rPh>
    <rPh sb="2" eb="3">
      <t>ウエ</t>
    </rPh>
    <rPh sb="4" eb="6">
      <t>チュウイ</t>
    </rPh>
    <phoneticPr fontId="4"/>
  </si>
  <si>
    <t>②選手の一行目は必ず入力して下さい。全てに反映されません。</t>
    <rPh sb="1" eb="3">
      <t>センシュ</t>
    </rPh>
    <rPh sb="4" eb="7">
      <t>イチギョウメ</t>
    </rPh>
    <rPh sb="8" eb="9">
      <t>カナラ</t>
    </rPh>
    <rPh sb="10" eb="12">
      <t>ニュウリョク</t>
    </rPh>
    <rPh sb="14" eb="15">
      <t>クダ</t>
    </rPh>
    <rPh sb="18" eb="19">
      <t>スベ</t>
    </rPh>
    <rPh sb="21" eb="23">
      <t>ハンエイ</t>
    </rPh>
    <phoneticPr fontId="4"/>
  </si>
  <si>
    <t>コード</t>
  </si>
  <si>
    <t/>
  </si>
  <si>
    <t>選　手</t>
    <rPh sb="0" eb="1">
      <t>セン</t>
    </rPh>
    <rPh sb="2" eb="3">
      <t>テ</t>
    </rPh>
    <phoneticPr fontId="5"/>
  </si>
  <si>
    <t>尚、問い合わせ等は下記のアドレスとなります。</t>
    <rPh sb="0" eb="1">
      <t>ナオ</t>
    </rPh>
    <rPh sb="2" eb="3">
      <t>ト</t>
    </rPh>
    <rPh sb="4" eb="5">
      <t>ア</t>
    </rPh>
    <rPh sb="7" eb="8">
      <t>ナド</t>
    </rPh>
    <rPh sb="9" eb="11">
      <t>カキ</t>
    </rPh>
    <phoneticPr fontId="5"/>
  </si>
  <si>
    <t>入力について</t>
    <rPh sb="0" eb="2">
      <t>ニュウリョク</t>
    </rPh>
    <phoneticPr fontId="5"/>
  </si>
  <si>
    <t>②メニューより大会申込へのボタンを押して下さい。</t>
    <rPh sb="7" eb="9">
      <t>タイカイ</t>
    </rPh>
    <rPh sb="9" eb="11">
      <t>モウシコミ</t>
    </rPh>
    <rPh sb="17" eb="18">
      <t>オ</t>
    </rPh>
    <rPh sb="20" eb="21">
      <t>クダ</t>
    </rPh>
    <phoneticPr fontId="5"/>
  </si>
  <si>
    <t>参加する選手の種目と記録を入力して下さい。</t>
    <rPh sb="0" eb="2">
      <t>サンカ</t>
    </rPh>
    <rPh sb="4" eb="6">
      <t>センシュ</t>
    </rPh>
    <rPh sb="7" eb="9">
      <t>シュモク</t>
    </rPh>
    <rPh sb="10" eb="12">
      <t>キロク</t>
    </rPh>
    <rPh sb="13" eb="15">
      <t>ニュウリョク</t>
    </rPh>
    <rPh sb="17" eb="18">
      <t>クダ</t>
    </rPh>
    <phoneticPr fontId="5"/>
  </si>
  <si>
    <t>メニューへ戻り、上書き保存ボタンを押しましょう。</t>
    <rPh sb="5" eb="6">
      <t>モド</t>
    </rPh>
    <rPh sb="8" eb="10">
      <t>ウワガ</t>
    </rPh>
    <rPh sb="11" eb="13">
      <t>ホゾン</t>
    </rPh>
    <rPh sb="17" eb="18">
      <t>オ</t>
    </rPh>
    <phoneticPr fontId="5"/>
  </si>
  <si>
    <t>　　　　　　　①　必ずメールに添付して下さい。(添付を忘れる方が多い）</t>
    <rPh sb="9" eb="10">
      <t>カナラ</t>
    </rPh>
    <rPh sb="15" eb="17">
      <t>テンプ</t>
    </rPh>
    <rPh sb="19" eb="20">
      <t>クダ</t>
    </rPh>
    <rPh sb="24" eb="26">
      <t>テンプ</t>
    </rPh>
    <rPh sb="27" eb="28">
      <t>ワス</t>
    </rPh>
    <rPh sb="30" eb="31">
      <t>カタ</t>
    </rPh>
    <rPh sb="32" eb="33">
      <t>オオ</t>
    </rPh>
    <phoneticPr fontId="5"/>
  </si>
  <si>
    <t>　　　　　　　③　発信ミスが時々あります。必ず正式受理メールを確認して下さい。</t>
    <rPh sb="9" eb="11">
      <t>ハッシン</t>
    </rPh>
    <rPh sb="14" eb="16">
      <t>トキドキ</t>
    </rPh>
    <rPh sb="21" eb="22">
      <t>カナラ</t>
    </rPh>
    <rPh sb="23" eb="25">
      <t>セイシキ</t>
    </rPh>
    <rPh sb="25" eb="27">
      <t>ジュリ</t>
    </rPh>
    <rPh sb="31" eb="33">
      <t>カクニン</t>
    </rPh>
    <rPh sb="35" eb="36">
      <t>クダ</t>
    </rPh>
    <phoneticPr fontId="5"/>
  </si>
  <si>
    <t>　　　　　　　④　１日経っても返信がない場合は、お問合せ下さい。</t>
    <rPh sb="10" eb="11">
      <t>ニチ</t>
    </rPh>
    <rPh sb="11" eb="12">
      <t>タ</t>
    </rPh>
    <rPh sb="15" eb="17">
      <t>ヘンシン</t>
    </rPh>
    <rPh sb="20" eb="22">
      <t>バアイ</t>
    </rPh>
    <rPh sb="25" eb="27">
      <t>トイアワ</t>
    </rPh>
    <rPh sb="28" eb="29">
      <t>クダ</t>
    </rPh>
    <phoneticPr fontId="5"/>
  </si>
  <si>
    <t>　　　　　　　⑤　締切日の午後6時必着となっています。</t>
    <rPh sb="9" eb="11">
      <t>シメキ</t>
    </rPh>
    <rPh sb="11" eb="12">
      <t>ニチ</t>
    </rPh>
    <rPh sb="13" eb="15">
      <t>ゴゴ</t>
    </rPh>
    <rPh sb="16" eb="17">
      <t>ジ</t>
    </rPh>
    <rPh sb="17" eb="19">
      <t>ヒッチャク</t>
    </rPh>
    <phoneticPr fontId="5"/>
  </si>
  <si>
    <t>注意事項①</t>
    <rPh sb="0" eb="2">
      <t>チュウイ</t>
    </rPh>
    <rPh sb="2" eb="4">
      <t>ジコウ</t>
    </rPh>
    <phoneticPr fontId="5"/>
  </si>
  <si>
    <t>種目</t>
    <rPh sb="0" eb="2">
      <t>シュモク</t>
    </rPh>
    <phoneticPr fontId="5"/>
  </si>
  <si>
    <t>1種目</t>
    <rPh sb="1" eb="3">
      <t>シュモク</t>
    </rPh>
    <phoneticPr fontId="5"/>
  </si>
  <si>
    <t>2種目</t>
    <rPh sb="1" eb="3">
      <t>シュモク</t>
    </rPh>
    <phoneticPr fontId="5"/>
  </si>
  <si>
    <t>記録</t>
    <rPh sb="0" eb="2">
      <t>キロク</t>
    </rPh>
    <phoneticPr fontId="5"/>
  </si>
  <si>
    <t xml:space="preserve"> </t>
    <phoneticPr fontId="5"/>
  </si>
  <si>
    <t>計</t>
    <rPh sb="0" eb="1">
      <t>ケイ</t>
    </rPh>
    <phoneticPr fontId="5"/>
  </si>
  <si>
    <t>合計</t>
    <rPh sb="0" eb="2">
      <t>ゴウケイ</t>
    </rPh>
    <phoneticPr fontId="5"/>
  </si>
  <si>
    <t>マクロを有効にしてファイルを開いてください。</t>
    <rPh sb="4" eb="6">
      <t>ユウコウ</t>
    </rPh>
    <rPh sb="14" eb="15">
      <t>ヒラ</t>
    </rPh>
    <phoneticPr fontId="19"/>
  </si>
  <si>
    <t>マクロを有効にするには，</t>
    <rPh sb="4" eb="6">
      <t>ユウコウ</t>
    </rPh>
    <phoneticPr fontId="19"/>
  </si>
  <si>
    <t>１）上部メニューを「ツール(T)→マクロ(M)→セキュリティ(S)」の順に開きます。</t>
    <rPh sb="2" eb="4">
      <t>ジョウブ</t>
    </rPh>
    <rPh sb="35" eb="36">
      <t>ジュン</t>
    </rPh>
    <rPh sb="37" eb="38">
      <t>ヒラ</t>
    </rPh>
    <phoneticPr fontId="19"/>
  </si>
  <si>
    <t>２）「セキュリティレベル」を「中」に設定してください。</t>
    <rPh sb="15" eb="16">
      <t>チュウ</t>
    </rPh>
    <rPh sb="18" eb="20">
      <t>セッテイ</t>
    </rPh>
    <phoneticPr fontId="19"/>
  </si>
  <si>
    <r>
      <t>３）</t>
    </r>
    <r>
      <rPr>
        <sz val="12"/>
        <color indexed="12"/>
        <rFont val="ＭＳ 明朝"/>
        <family val="1"/>
        <charset val="128"/>
      </rPr>
      <t>EXCELをいったん終了</t>
    </r>
    <r>
      <rPr>
        <b/>
        <sz val="12"/>
        <color indexed="10"/>
        <rFont val="ＭＳ 明朝"/>
        <family val="1"/>
        <charset val="128"/>
      </rPr>
      <t>（ファイルを保存しない）</t>
    </r>
    <r>
      <rPr>
        <sz val="12"/>
        <rFont val="ＭＳ 明朝"/>
        <family val="1"/>
        <charset val="128"/>
      </rPr>
      <t>し，再度ファイルを開きます。</t>
    </r>
    <rPh sb="12" eb="14">
      <t>シュウリョウ</t>
    </rPh>
    <rPh sb="20" eb="22">
      <t>ホゾン</t>
    </rPh>
    <rPh sb="28" eb="30">
      <t>サイド</t>
    </rPh>
    <rPh sb="35" eb="36">
      <t>ヒラ</t>
    </rPh>
    <phoneticPr fontId="19"/>
  </si>
  <si>
    <t>４）マクロを有効にするかどうか聞いてきます。ここで「マクロを有効にする」を選択します。</t>
    <rPh sb="6" eb="8">
      <t>ユウコウ</t>
    </rPh>
    <rPh sb="15" eb="16">
      <t>キ</t>
    </rPh>
    <rPh sb="30" eb="32">
      <t>ユウコウ</t>
    </rPh>
    <rPh sb="37" eb="39">
      <t>センタク</t>
    </rPh>
    <phoneticPr fontId="19"/>
  </si>
  <si>
    <t>何らかの原因でマクロが停止した場合は，いったんファイルを保存し，再度開き直してください。</t>
    <rPh sb="0" eb="1">
      <t>ナン</t>
    </rPh>
    <rPh sb="4" eb="6">
      <t>ゲンイン</t>
    </rPh>
    <rPh sb="11" eb="13">
      <t>テイシ</t>
    </rPh>
    <rPh sb="15" eb="17">
      <t>バアイ</t>
    </rPh>
    <rPh sb="28" eb="30">
      <t>ホゾン</t>
    </rPh>
    <rPh sb="32" eb="34">
      <t>サイド</t>
    </rPh>
    <rPh sb="34" eb="35">
      <t>ヒラ</t>
    </rPh>
    <rPh sb="36" eb="37">
      <t>ナオ</t>
    </rPh>
    <phoneticPr fontId="19"/>
  </si>
  <si>
    <t>マクロが無効になっています。</t>
    <rPh sb="4" eb="6">
      <t>ムコウ</t>
    </rPh>
    <phoneticPr fontId="19"/>
  </si>
  <si>
    <t>入力を行うには，マクロを有効にする必要があります。</t>
    <rPh sb="0" eb="2">
      <t>ニュウリョク</t>
    </rPh>
    <rPh sb="3" eb="4">
      <t>オコナ</t>
    </rPh>
    <rPh sb="12" eb="14">
      <t>ユウコウ</t>
    </rPh>
    <rPh sb="17" eb="19">
      <t>ヒツヨウ</t>
    </rPh>
    <phoneticPr fontId="19"/>
  </si>
  <si>
    <t>登録の種類</t>
    <rPh sb="0" eb="2">
      <t>トウロク</t>
    </rPh>
    <rPh sb="3" eb="5">
      <t>シュルイ</t>
    </rPh>
    <phoneticPr fontId="4"/>
  </si>
  <si>
    <t>エクセル2002以前のバージョンでは動作しません。エクセル2002以降のパソコンで作業して下さい</t>
    <rPh sb="8" eb="10">
      <t>イゼン</t>
    </rPh>
    <rPh sb="18" eb="20">
      <t>ドウサ</t>
    </rPh>
    <rPh sb="33" eb="35">
      <t>イコウ</t>
    </rPh>
    <rPh sb="41" eb="43">
      <t>サギョウ</t>
    </rPh>
    <rPh sb="45" eb="46">
      <t>クダ</t>
    </rPh>
    <phoneticPr fontId="19"/>
  </si>
  <si>
    <t>このエクセルファイルが保存されている同じ場所に新しいファイルが作成されます。</t>
    <rPh sb="11" eb="13">
      <t>ホゾン</t>
    </rPh>
    <rPh sb="18" eb="19">
      <t>オナ</t>
    </rPh>
    <rPh sb="20" eb="22">
      <t>バショ</t>
    </rPh>
    <rPh sb="23" eb="24">
      <t>アタラ</t>
    </rPh>
    <rPh sb="31" eb="33">
      <t>サクセイ</t>
    </rPh>
    <phoneticPr fontId="5"/>
  </si>
  <si>
    <t>④新しく保存されたファイルをメールに添付してお送り下さい。</t>
    <rPh sb="1" eb="2">
      <t>アタラ</t>
    </rPh>
    <rPh sb="4" eb="6">
      <t>ホゾン</t>
    </rPh>
    <rPh sb="18" eb="20">
      <t>テンプ</t>
    </rPh>
    <rPh sb="23" eb="24">
      <t>オク</t>
    </rPh>
    <rPh sb="25" eb="26">
      <t>クダ</t>
    </rPh>
    <phoneticPr fontId="5"/>
  </si>
  <si>
    <t>mousikomi★mierk.jp</t>
    <phoneticPr fontId="5"/>
  </si>
  <si>
    <t>info★mierk.jp</t>
    <phoneticPr fontId="5"/>
  </si>
  <si>
    <t>メールアドレスの★を＠に変えて送信して下さい</t>
    <rPh sb="12" eb="13">
      <t>カ</t>
    </rPh>
    <rPh sb="15" eb="17">
      <t>ソウシン</t>
    </rPh>
    <rPh sb="19" eb="20">
      <t>クダ</t>
    </rPh>
    <phoneticPr fontId="5"/>
  </si>
  <si>
    <t>所属名</t>
    <rPh sb="0" eb="2">
      <t>ショゾク</t>
    </rPh>
    <rPh sb="2" eb="3">
      <t>メイ</t>
    </rPh>
    <phoneticPr fontId="5"/>
  </si>
  <si>
    <t>所属コード</t>
    <rPh sb="0" eb="2">
      <t>ショゾク</t>
    </rPh>
    <phoneticPr fontId="5"/>
  </si>
  <si>
    <t>③各ページに右記のボタンがりますので</t>
    <rPh sb="1" eb="2">
      <t>カク</t>
    </rPh>
    <rPh sb="6" eb="8">
      <t>ウキ</t>
    </rPh>
    <phoneticPr fontId="5"/>
  </si>
  <si>
    <t>　　最後に必ず押して下さい</t>
    <rPh sb="2" eb="4">
      <t>サイゴ</t>
    </rPh>
    <rPh sb="5" eb="6">
      <t>カナラ</t>
    </rPh>
    <rPh sb="7" eb="8">
      <t>オ</t>
    </rPh>
    <rPh sb="10" eb="11">
      <t>クダ</t>
    </rPh>
    <phoneticPr fontId="5"/>
  </si>
  <si>
    <t>責任者</t>
    <rPh sb="0" eb="3">
      <t>セキニンシャ</t>
    </rPh>
    <phoneticPr fontId="19"/>
  </si>
  <si>
    <t>連絡先</t>
    <rPh sb="0" eb="3">
      <t>レンラクサキ</t>
    </rPh>
    <phoneticPr fontId="19"/>
  </si>
  <si>
    <t>参加費合計</t>
    <rPh sb="0" eb="3">
      <t>サンカヒ</t>
    </rPh>
    <rPh sb="3" eb="5">
      <t>ゴウケイ</t>
    </rPh>
    <phoneticPr fontId="19"/>
  </si>
  <si>
    <t>個人種目</t>
    <rPh sb="0" eb="2">
      <t>コジン</t>
    </rPh>
    <rPh sb="2" eb="4">
      <t>シュモク</t>
    </rPh>
    <phoneticPr fontId="19"/>
  </si>
  <si>
    <t>参加人数</t>
    <rPh sb="0" eb="2">
      <t>サンカ</t>
    </rPh>
    <rPh sb="2" eb="4">
      <t>ニンズウ</t>
    </rPh>
    <phoneticPr fontId="19"/>
  </si>
  <si>
    <t>少年B100YH</t>
    <rPh sb="0" eb="2">
      <t>ショウネン</t>
    </rPh>
    <phoneticPr fontId="5"/>
  </si>
  <si>
    <t>少年3000</t>
    <rPh sb="0" eb="1">
      <t>ショウ</t>
    </rPh>
    <rPh sb="1" eb="2">
      <t>ネン</t>
    </rPh>
    <phoneticPr fontId="5"/>
  </si>
  <si>
    <t>少年円盤投</t>
    <rPh sb="0" eb="1">
      <t>ショウ</t>
    </rPh>
    <rPh sb="1" eb="2">
      <t>ネン</t>
    </rPh>
    <rPh sb="2" eb="4">
      <t>エンバン</t>
    </rPh>
    <rPh sb="4" eb="5">
      <t>ナ</t>
    </rPh>
    <phoneticPr fontId="5"/>
  </si>
  <si>
    <t>少年ハンマー投</t>
    <rPh sb="0" eb="1">
      <t>ショウ</t>
    </rPh>
    <rPh sb="1" eb="2">
      <t>ネン</t>
    </rPh>
    <rPh sb="6" eb="7">
      <t>ナ</t>
    </rPh>
    <phoneticPr fontId="5"/>
  </si>
  <si>
    <t>少年ハンマー</t>
    <rPh sb="0" eb="1">
      <t>ショウ</t>
    </rPh>
    <rPh sb="1" eb="2">
      <t>ネン</t>
    </rPh>
    <phoneticPr fontId="5"/>
  </si>
  <si>
    <t>男</t>
    <rPh sb="0" eb="1">
      <t>オトコ</t>
    </rPh>
    <phoneticPr fontId="4"/>
  </si>
  <si>
    <t>フリガナ(全角)</t>
    <rPh sb="5" eb="7">
      <t>ゼンカク</t>
    </rPh>
    <phoneticPr fontId="4"/>
  </si>
  <si>
    <t>女</t>
    <rPh sb="0" eb="1">
      <t>オンナ</t>
    </rPh>
    <phoneticPr fontId="4"/>
  </si>
  <si>
    <t>記録</t>
    <phoneticPr fontId="5"/>
  </si>
  <si>
    <t>生年月日</t>
    <phoneticPr fontId="5"/>
  </si>
  <si>
    <t>4×400R</t>
    <phoneticPr fontId="5"/>
  </si>
  <si>
    <t>100H</t>
    <phoneticPr fontId="5"/>
  </si>
  <si>
    <t>110H</t>
    <phoneticPr fontId="5"/>
  </si>
  <si>
    <t>400H</t>
    <phoneticPr fontId="5"/>
  </si>
  <si>
    <t>3000SC</t>
    <phoneticPr fontId="5"/>
  </si>
  <si>
    <t>5000W</t>
    <phoneticPr fontId="5"/>
  </si>
  <si>
    <t>400H</t>
    <phoneticPr fontId="5"/>
  </si>
  <si>
    <t>5000W</t>
    <phoneticPr fontId="5"/>
  </si>
  <si>
    <t>3000SC</t>
    <phoneticPr fontId="5"/>
  </si>
  <si>
    <t>4×100R</t>
    <phoneticPr fontId="5"/>
  </si>
  <si>
    <t>100H</t>
    <phoneticPr fontId="5"/>
  </si>
  <si>
    <t>110H</t>
    <phoneticPr fontId="5"/>
  </si>
  <si>
    <t>400H</t>
    <phoneticPr fontId="5"/>
  </si>
  <si>
    <t>3000SC</t>
    <phoneticPr fontId="5"/>
  </si>
  <si>
    <t>5000W</t>
    <phoneticPr fontId="5"/>
  </si>
  <si>
    <t>リレー</t>
    <phoneticPr fontId="19"/>
  </si>
  <si>
    <t>所属地</t>
    <rPh sb="0" eb="2">
      <t>ショゾク</t>
    </rPh>
    <rPh sb="2" eb="3">
      <t>チ</t>
    </rPh>
    <phoneticPr fontId="4"/>
  </si>
  <si>
    <t>名　前</t>
    <rPh sb="0" eb="1">
      <t>ナ</t>
    </rPh>
    <rPh sb="2" eb="3">
      <t>マエ</t>
    </rPh>
    <phoneticPr fontId="4"/>
  </si>
  <si>
    <t>　様式⑨の振込票貼付用紙に貼付の上、三重陸協事務局まで送付のこと。</t>
    <rPh sb="1" eb="3">
      <t>ヨウシキ</t>
    </rPh>
    <rPh sb="5" eb="7">
      <t>フリコミ</t>
    </rPh>
    <rPh sb="7" eb="8">
      <t>ヒョウ</t>
    </rPh>
    <rPh sb="8" eb="10">
      <t>ハリツケ</t>
    </rPh>
    <rPh sb="10" eb="12">
      <t>ヨウシ</t>
    </rPh>
    <rPh sb="13" eb="15">
      <t>ハリツケ</t>
    </rPh>
    <rPh sb="16" eb="17">
      <t>ウエ</t>
    </rPh>
    <rPh sb="18" eb="20">
      <t>ミエ</t>
    </rPh>
    <rPh sb="20" eb="21">
      <t>リク</t>
    </rPh>
    <rPh sb="21" eb="22">
      <t>キョウ</t>
    </rPh>
    <rPh sb="22" eb="25">
      <t>ジムキョク</t>
    </rPh>
    <rPh sb="27" eb="29">
      <t>ソウフ</t>
    </rPh>
    <phoneticPr fontId="5"/>
  </si>
  <si>
    <t>②送信後の選手変更・種目変更は受付けないので、よく確認の上申し込むこと。</t>
    <rPh sb="1" eb="3">
      <t>ソウシン</t>
    </rPh>
    <rPh sb="3" eb="4">
      <t>ゴ</t>
    </rPh>
    <rPh sb="5" eb="7">
      <t>センシュ</t>
    </rPh>
    <rPh sb="7" eb="9">
      <t>ヘンコウ</t>
    </rPh>
    <rPh sb="10" eb="12">
      <t>シュモク</t>
    </rPh>
    <rPh sb="12" eb="14">
      <t>ヘンコウ</t>
    </rPh>
    <rPh sb="15" eb="17">
      <t>ウケツ</t>
    </rPh>
    <rPh sb="25" eb="27">
      <t>カクニン</t>
    </rPh>
    <rPh sb="28" eb="29">
      <t>ウエ</t>
    </rPh>
    <rPh sb="29" eb="30">
      <t>モウ</t>
    </rPh>
    <rPh sb="31" eb="32">
      <t>コ</t>
    </rPh>
    <phoneticPr fontId="5"/>
  </si>
  <si>
    <t>競技時間等は大会1週間前にホームページに掲載するので通知はしない。</t>
    <rPh sb="0" eb="2">
      <t>キョウギ</t>
    </rPh>
    <rPh sb="2" eb="4">
      <t>ジカン</t>
    </rPh>
    <rPh sb="4" eb="5">
      <t>ナド</t>
    </rPh>
    <rPh sb="6" eb="8">
      <t>タイカイ</t>
    </rPh>
    <rPh sb="9" eb="11">
      <t>シュウカン</t>
    </rPh>
    <rPh sb="11" eb="12">
      <t>マエ</t>
    </rPh>
    <rPh sb="20" eb="22">
      <t>ケイサイ</t>
    </rPh>
    <rPh sb="26" eb="28">
      <t>ツウチ</t>
    </rPh>
    <phoneticPr fontId="5"/>
  </si>
  <si>
    <t>大会参加費は一覧表に記載されるので確認の上、振り込むこと。</t>
    <rPh sb="0" eb="2">
      <t>タイカイ</t>
    </rPh>
    <rPh sb="2" eb="5">
      <t>サンカヒ</t>
    </rPh>
    <rPh sb="6" eb="8">
      <t>イチラン</t>
    </rPh>
    <rPh sb="8" eb="9">
      <t>ヒョウ</t>
    </rPh>
    <rPh sb="10" eb="12">
      <t>キサイ</t>
    </rPh>
    <rPh sb="17" eb="19">
      <t>カクニン</t>
    </rPh>
    <rPh sb="20" eb="21">
      <t>ウエ</t>
    </rPh>
    <rPh sb="22" eb="23">
      <t>フ</t>
    </rPh>
    <rPh sb="24" eb="25">
      <t>コ</t>
    </rPh>
    <phoneticPr fontId="5"/>
  </si>
  <si>
    <r>
      <t>　　　　　　　</t>
    </r>
    <r>
      <rPr>
        <u/>
        <sz val="11"/>
        <rFont val="ＭＳ Ｐゴシック"/>
        <family val="3"/>
        <charset val="128"/>
      </rPr>
      <t>②　資格審査の上、正式受理確認メールを返信いたします。</t>
    </r>
    <rPh sb="9" eb="11">
      <t>シカク</t>
    </rPh>
    <rPh sb="11" eb="13">
      <t>シンサ</t>
    </rPh>
    <rPh sb="14" eb="15">
      <t>ウエ</t>
    </rPh>
    <rPh sb="16" eb="18">
      <t>セイシキ</t>
    </rPh>
    <rPh sb="18" eb="20">
      <t>ジュリ</t>
    </rPh>
    <rPh sb="20" eb="22">
      <t>カクニン</t>
    </rPh>
    <rPh sb="26" eb="28">
      <t>ヘンシン</t>
    </rPh>
    <phoneticPr fontId="5"/>
  </si>
  <si>
    <t>連絡事項</t>
    <rPh sb="0" eb="2">
      <t>レンラク</t>
    </rPh>
    <rPh sb="2" eb="4">
      <t>ジコウ</t>
    </rPh>
    <phoneticPr fontId="5"/>
  </si>
  <si>
    <t>mousikomi★mierk.jp　</t>
    <phoneticPr fontId="5"/>
  </si>
  <si>
    <t>全ての大会申込及び登録は下記のアドレスとなっています。</t>
    <rPh sb="0" eb="1">
      <t>スベ</t>
    </rPh>
    <rPh sb="3" eb="5">
      <t>タイカイ</t>
    </rPh>
    <rPh sb="5" eb="7">
      <t>モウシコミ</t>
    </rPh>
    <rPh sb="7" eb="8">
      <t>オヨ</t>
    </rPh>
    <rPh sb="9" eb="11">
      <t>トウロク</t>
    </rPh>
    <rPh sb="12" eb="14">
      <t>カキ</t>
    </rPh>
    <phoneticPr fontId="5"/>
  </si>
  <si>
    <t>エクセル２００２以前のバージョンでは正常に動作しません。</t>
    <rPh sb="8" eb="10">
      <t>イゼン</t>
    </rPh>
    <rPh sb="18" eb="20">
      <t>セイジョウ</t>
    </rPh>
    <rPh sb="21" eb="23">
      <t>ドウサ</t>
    </rPh>
    <phoneticPr fontId="5"/>
  </si>
  <si>
    <t>前年度のファイルは使用できません。削除のこと。</t>
    <rPh sb="0" eb="3">
      <t>ゼンネンド</t>
    </rPh>
    <rPh sb="9" eb="11">
      <t>シヨウ</t>
    </rPh>
    <rPh sb="17" eb="19">
      <t>サクジョ</t>
    </rPh>
    <phoneticPr fontId="5"/>
  </si>
  <si>
    <t>　 期日までの振込みがない場合は出場を認めない。</t>
    <phoneticPr fontId="5"/>
  </si>
  <si>
    <t>④極端に早い振込みも間違いのもとになりますのでご配慮のこと。</t>
    <rPh sb="1" eb="3">
      <t>キョクタン</t>
    </rPh>
    <rPh sb="4" eb="5">
      <t>ハヤ</t>
    </rPh>
    <rPh sb="6" eb="8">
      <t>フリコ</t>
    </rPh>
    <rPh sb="10" eb="12">
      <t>マチガ</t>
    </rPh>
    <rPh sb="24" eb="26">
      <t>ハイリョ</t>
    </rPh>
    <phoneticPr fontId="5"/>
  </si>
  <si>
    <t>メニューへ戻り、上書き保存して下さい</t>
    <rPh sb="5" eb="6">
      <t>モド</t>
    </rPh>
    <rPh sb="8" eb="10">
      <t>ウワガ</t>
    </rPh>
    <rPh sb="11" eb="13">
      <t>ホゾン</t>
    </rPh>
    <rPh sb="15" eb="16">
      <t>クダ</t>
    </rPh>
    <phoneticPr fontId="19"/>
  </si>
  <si>
    <t>110H</t>
    <phoneticPr fontId="4"/>
  </si>
  <si>
    <t>400H</t>
    <phoneticPr fontId="4"/>
  </si>
  <si>
    <t>3000SC</t>
    <phoneticPr fontId="4"/>
  </si>
  <si>
    <t>3000W</t>
    <phoneticPr fontId="4"/>
  </si>
  <si>
    <t>5000W</t>
    <phoneticPr fontId="4"/>
  </si>
  <si>
    <t>走高跳</t>
    <rPh sb="0" eb="1">
      <t>ハシ</t>
    </rPh>
    <rPh sb="1" eb="3">
      <t>タカト</t>
    </rPh>
    <phoneticPr fontId="4"/>
  </si>
  <si>
    <t>棒高跳</t>
    <rPh sb="0" eb="1">
      <t>ボウ</t>
    </rPh>
    <rPh sb="1" eb="2">
      <t>ダカ</t>
    </rPh>
    <rPh sb="2" eb="3">
      <t>ト</t>
    </rPh>
    <phoneticPr fontId="4"/>
  </si>
  <si>
    <t>走幅跳</t>
    <rPh sb="0" eb="1">
      <t>ハシ</t>
    </rPh>
    <rPh sb="1" eb="3">
      <t>ハバト</t>
    </rPh>
    <phoneticPr fontId="4"/>
  </si>
  <si>
    <t>三段跳</t>
    <rPh sb="0" eb="3">
      <t>サンダント</t>
    </rPh>
    <phoneticPr fontId="4"/>
  </si>
  <si>
    <t>砲丸投</t>
    <rPh sb="0" eb="2">
      <t>ホウガン</t>
    </rPh>
    <rPh sb="2" eb="3">
      <t>ナ</t>
    </rPh>
    <phoneticPr fontId="4"/>
  </si>
  <si>
    <t>円盤投</t>
    <rPh sb="0" eb="2">
      <t>エンバン</t>
    </rPh>
    <rPh sb="2" eb="3">
      <t>ナ</t>
    </rPh>
    <phoneticPr fontId="4"/>
  </si>
  <si>
    <t>やり投</t>
    <rPh sb="2" eb="3">
      <t>ナ</t>
    </rPh>
    <phoneticPr fontId="4"/>
  </si>
  <si>
    <t>少年3000</t>
    <rPh sb="0" eb="2">
      <t>ショウネン</t>
    </rPh>
    <phoneticPr fontId="4"/>
  </si>
  <si>
    <t>少年B110JH</t>
    <rPh sb="0" eb="2">
      <t>ショウネン</t>
    </rPh>
    <phoneticPr fontId="4"/>
  </si>
  <si>
    <t>少年砲丸投</t>
    <rPh sb="0" eb="2">
      <t>ショウネン</t>
    </rPh>
    <rPh sb="2" eb="4">
      <t>ホウガン</t>
    </rPh>
    <rPh sb="4" eb="5">
      <t>ナ</t>
    </rPh>
    <phoneticPr fontId="4"/>
  </si>
  <si>
    <t>少年円盤投</t>
    <rPh sb="0" eb="2">
      <t>ショウネン</t>
    </rPh>
    <rPh sb="2" eb="4">
      <t>エンバン</t>
    </rPh>
    <rPh sb="4" eb="5">
      <t>ナ</t>
    </rPh>
    <phoneticPr fontId="4"/>
  </si>
  <si>
    <t>少年ハンマー投</t>
    <rPh sb="0" eb="2">
      <t>ショウネン</t>
    </rPh>
    <rPh sb="6" eb="7">
      <t>ナ</t>
    </rPh>
    <phoneticPr fontId="4"/>
  </si>
  <si>
    <t>100H</t>
    <phoneticPr fontId="4"/>
  </si>
  <si>
    <t>少年B100YH</t>
    <rPh sb="0" eb="2">
      <t>ショウネン</t>
    </rPh>
    <phoneticPr fontId="4"/>
  </si>
  <si>
    <t>8種</t>
    <rPh sb="1" eb="2">
      <t>シュ</t>
    </rPh>
    <phoneticPr fontId="4"/>
  </si>
  <si>
    <t>7種</t>
    <rPh sb="1" eb="2">
      <t>シュ</t>
    </rPh>
    <phoneticPr fontId="4"/>
  </si>
  <si>
    <t>110JH</t>
    <phoneticPr fontId="4"/>
  </si>
  <si>
    <t>数</t>
    <rPh sb="0" eb="1">
      <t>カズ</t>
    </rPh>
    <phoneticPr fontId="5"/>
  </si>
  <si>
    <t>空</t>
    <rPh sb="0" eb="1">
      <t>ソラ</t>
    </rPh>
    <phoneticPr fontId="5"/>
  </si>
  <si>
    <t>名</t>
    <rPh sb="0" eb="1">
      <t>メイ</t>
    </rPh>
    <phoneticPr fontId="5"/>
  </si>
  <si>
    <t>姓</t>
    <rPh sb="0" eb="1">
      <t>セイ</t>
    </rPh>
    <phoneticPr fontId="5"/>
  </si>
  <si>
    <t>種目数</t>
    <rPh sb="0" eb="2">
      <t>シュモク</t>
    </rPh>
    <rPh sb="2" eb="3">
      <t>カズ</t>
    </rPh>
    <phoneticPr fontId="5"/>
  </si>
  <si>
    <t>走高跳の記録(予想)</t>
    <rPh sb="0" eb="1">
      <t>ハシ</t>
    </rPh>
    <rPh sb="1" eb="3">
      <t>タカト</t>
    </rPh>
    <rPh sb="4" eb="6">
      <t>キロク</t>
    </rPh>
    <rPh sb="7" eb="9">
      <t>ヨソウ</t>
    </rPh>
    <phoneticPr fontId="4"/>
  </si>
  <si>
    <t>最新バージョンのエクセル(2007）使用の場合は、シートの上部にセキュリティの警告が出ますので</t>
    <rPh sb="0" eb="2">
      <t>サイシン</t>
    </rPh>
    <rPh sb="18" eb="20">
      <t>シヨウ</t>
    </rPh>
    <rPh sb="21" eb="23">
      <t>バアイ</t>
    </rPh>
    <rPh sb="29" eb="31">
      <t>ジョウブ</t>
    </rPh>
    <rPh sb="39" eb="41">
      <t>ケイコク</t>
    </rPh>
    <rPh sb="42" eb="43">
      <t>デ</t>
    </rPh>
    <phoneticPr fontId="19"/>
  </si>
  <si>
    <t>右側のオプションをクリックし、「このコンテンツを有効にする」にチェックを入れて下さい。</t>
    <rPh sb="0" eb="2">
      <t>ミギガワ</t>
    </rPh>
    <rPh sb="24" eb="26">
      <t>ユウコウ</t>
    </rPh>
    <rPh sb="36" eb="37">
      <t>イ</t>
    </rPh>
    <rPh sb="39" eb="40">
      <t>クダ</t>
    </rPh>
    <phoneticPr fontId="19"/>
  </si>
  <si>
    <t>それ以前のエクセルは下記に従って下さい。</t>
    <rPh sb="2" eb="4">
      <t>イゼン</t>
    </rPh>
    <rPh sb="10" eb="12">
      <t>カキ</t>
    </rPh>
    <rPh sb="13" eb="14">
      <t>シタガ</t>
    </rPh>
    <rPh sb="16" eb="17">
      <t>クダ</t>
    </rPh>
    <phoneticPr fontId="19"/>
  </si>
  <si>
    <t>TRIM</t>
    <phoneticPr fontId="4"/>
  </si>
  <si>
    <t>男子D</t>
    <rPh sb="0" eb="2">
      <t>ダンシ</t>
    </rPh>
    <phoneticPr fontId="5"/>
  </si>
  <si>
    <t>女子D</t>
    <rPh sb="0" eb="2">
      <t>ジョシ</t>
    </rPh>
    <phoneticPr fontId="5"/>
  </si>
  <si>
    <t>所属コード2</t>
    <phoneticPr fontId="5"/>
  </si>
  <si>
    <t>オープンF</t>
    <phoneticPr fontId="5"/>
  </si>
  <si>
    <t>記録F</t>
    <rPh sb="0" eb="2">
      <t>キロク</t>
    </rPh>
    <phoneticPr fontId="5"/>
  </si>
  <si>
    <t>生年月日</t>
    <rPh sb="0" eb="2">
      <t>セイネン</t>
    </rPh>
    <rPh sb="2" eb="4">
      <t>ガッピ</t>
    </rPh>
    <phoneticPr fontId="4"/>
  </si>
  <si>
    <t>年(西暦）</t>
    <rPh sb="0" eb="1">
      <t>ネン</t>
    </rPh>
    <rPh sb="2" eb="4">
      <t>セイレキ</t>
    </rPh>
    <phoneticPr fontId="4"/>
  </si>
  <si>
    <t>月</t>
    <rPh sb="0" eb="1">
      <t>ツキ</t>
    </rPh>
    <phoneticPr fontId="4"/>
  </si>
  <si>
    <t>日</t>
    <rPh sb="0" eb="1">
      <t>ニチ</t>
    </rPh>
    <phoneticPr fontId="4"/>
  </si>
  <si>
    <t>生年</t>
    <rPh sb="0" eb="2">
      <t>セイネン</t>
    </rPh>
    <phoneticPr fontId="5"/>
  </si>
  <si>
    <t>月日</t>
    <phoneticPr fontId="5"/>
  </si>
  <si>
    <t>参加費</t>
    <rPh sb="0" eb="2">
      <t>サンカ</t>
    </rPh>
    <rPh sb="2" eb="3">
      <t>ヒ</t>
    </rPh>
    <phoneticPr fontId="5"/>
  </si>
  <si>
    <t>所属コード２</t>
    <rPh sb="0" eb="2">
      <t>ショゾク</t>
    </rPh>
    <phoneticPr fontId="5"/>
  </si>
  <si>
    <t>参加人数</t>
    <rPh sb="0" eb="2">
      <t>サンカ</t>
    </rPh>
    <rPh sb="2" eb="4">
      <t>ニンズウ</t>
    </rPh>
    <phoneticPr fontId="5"/>
  </si>
  <si>
    <t>個人種目数</t>
    <rPh sb="0" eb="2">
      <t>コジン</t>
    </rPh>
    <rPh sb="2" eb="4">
      <t>シュモク</t>
    </rPh>
    <rPh sb="4" eb="5">
      <t>カズ</t>
    </rPh>
    <phoneticPr fontId="5"/>
  </si>
  <si>
    <t>個人種目</t>
    <rPh sb="0" eb="2">
      <t>コジン</t>
    </rPh>
    <rPh sb="2" eb="4">
      <t>シュモク</t>
    </rPh>
    <phoneticPr fontId="5"/>
  </si>
  <si>
    <t>110H</t>
    <phoneticPr fontId="5"/>
  </si>
  <si>
    <t>400H</t>
    <phoneticPr fontId="5"/>
  </si>
  <si>
    <t>3000SC</t>
    <phoneticPr fontId="5"/>
  </si>
  <si>
    <t>5000W</t>
    <phoneticPr fontId="5"/>
  </si>
  <si>
    <t>100H</t>
    <phoneticPr fontId="5"/>
  </si>
  <si>
    <t>男子4×100mR　Ａ</t>
    <rPh sb="0" eb="2">
      <t>ダンシ</t>
    </rPh>
    <phoneticPr fontId="5"/>
  </si>
  <si>
    <t>男子4×100mR　Ｂ</t>
    <rPh sb="0" eb="2">
      <t>ダンシ</t>
    </rPh>
    <phoneticPr fontId="5"/>
  </si>
  <si>
    <t>男子4×100mR　Ｃ</t>
    <rPh sb="0" eb="2">
      <t>ダンシ</t>
    </rPh>
    <phoneticPr fontId="5"/>
  </si>
  <si>
    <t>男子4×100mR　Ｄ</t>
    <rPh sb="0" eb="2">
      <t>ダンシ</t>
    </rPh>
    <phoneticPr fontId="5"/>
  </si>
  <si>
    <t>男子4×400mR　Ａ</t>
    <rPh sb="0" eb="2">
      <t>ダンシ</t>
    </rPh>
    <phoneticPr fontId="5"/>
  </si>
  <si>
    <t>男子4×400mR　Ｂ</t>
    <rPh sb="0" eb="2">
      <t>ダンシ</t>
    </rPh>
    <phoneticPr fontId="5"/>
  </si>
  <si>
    <t>男子4×400mR　Ｃ</t>
    <rPh sb="0" eb="2">
      <t>ダンシ</t>
    </rPh>
    <phoneticPr fontId="5"/>
  </si>
  <si>
    <t>男子4×400mR　Ｄ</t>
    <rPh sb="0" eb="2">
      <t>ダンシ</t>
    </rPh>
    <phoneticPr fontId="5"/>
  </si>
  <si>
    <t>女子4×100mR　Ａ</t>
    <rPh sb="0" eb="2">
      <t>ジョシ</t>
    </rPh>
    <phoneticPr fontId="5"/>
  </si>
  <si>
    <t>女子4×100mR　Ｂ</t>
    <rPh sb="0" eb="2">
      <t>ジョシ</t>
    </rPh>
    <phoneticPr fontId="5"/>
  </si>
  <si>
    <t>女子4×100mR　Ｃ</t>
    <rPh sb="0" eb="2">
      <t>ジョシ</t>
    </rPh>
    <phoneticPr fontId="5"/>
  </si>
  <si>
    <t>女子4×100mR　Ｄ</t>
    <rPh sb="0" eb="2">
      <t>ジョシ</t>
    </rPh>
    <phoneticPr fontId="5"/>
  </si>
  <si>
    <t>女子4×400mR　Ａ</t>
    <rPh sb="0" eb="2">
      <t>ジョシ</t>
    </rPh>
    <phoneticPr fontId="5"/>
  </si>
  <si>
    <t>女子4×400mR　Ｂ</t>
    <rPh sb="0" eb="2">
      <t>ジョシ</t>
    </rPh>
    <phoneticPr fontId="5"/>
  </si>
  <si>
    <t>女子4×400mR　Ｃ</t>
    <rPh sb="0" eb="2">
      <t>ジョシ</t>
    </rPh>
    <phoneticPr fontId="5"/>
  </si>
  <si>
    <t>女子4×400mR　Ｄ</t>
    <rPh sb="0" eb="2">
      <t>ジョシ</t>
    </rPh>
    <phoneticPr fontId="5"/>
  </si>
  <si>
    <t>登録月日</t>
    <rPh sb="0" eb="2">
      <t>トウロク</t>
    </rPh>
    <rPh sb="2" eb="4">
      <t>ツキヒ</t>
    </rPh>
    <phoneticPr fontId="5"/>
  </si>
  <si>
    <t>(○／○○）</t>
    <phoneticPr fontId="5"/>
  </si>
  <si>
    <t>男子参加人数</t>
    <rPh sb="0" eb="2">
      <t>ダンシ</t>
    </rPh>
    <rPh sb="2" eb="4">
      <t>サンカ</t>
    </rPh>
    <rPh sb="4" eb="6">
      <t>ニンズウ</t>
    </rPh>
    <phoneticPr fontId="5"/>
  </si>
  <si>
    <t>女子参加人数</t>
    <rPh sb="0" eb="2">
      <t>ジョシ</t>
    </rPh>
    <rPh sb="2" eb="4">
      <t>サンカ</t>
    </rPh>
    <rPh sb="4" eb="6">
      <t>ニンズウ</t>
    </rPh>
    <phoneticPr fontId="5"/>
  </si>
  <si>
    <t>少年B砲丸投</t>
    <rPh sb="0" eb="2">
      <t>ショウネン</t>
    </rPh>
    <rPh sb="3" eb="5">
      <t>ホウガン</t>
    </rPh>
    <rPh sb="5" eb="6">
      <t>ナ</t>
    </rPh>
    <phoneticPr fontId="5"/>
  </si>
  <si>
    <t>申込者</t>
    <rPh sb="0" eb="2">
      <t>モウシコミ</t>
    </rPh>
    <rPh sb="2" eb="3">
      <t>シャ</t>
    </rPh>
    <phoneticPr fontId="4"/>
  </si>
  <si>
    <t>①申込者・連絡先は必ず入力のこと</t>
    <rPh sb="1" eb="3">
      <t>モウシコミ</t>
    </rPh>
    <rPh sb="3" eb="4">
      <t>シャ</t>
    </rPh>
    <rPh sb="5" eb="8">
      <t>レンラクサキ</t>
    </rPh>
    <rPh sb="9" eb="10">
      <t>カナラ</t>
    </rPh>
    <rPh sb="11" eb="13">
      <t>ニュウリョク</t>
    </rPh>
    <phoneticPr fontId="4"/>
  </si>
  <si>
    <t>所属先</t>
    <rPh sb="0" eb="2">
      <t>ショゾク</t>
    </rPh>
    <rPh sb="2" eb="3">
      <t>サキ</t>
    </rPh>
    <phoneticPr fontId="4"/>
  </si>
  <si>
    <t>申込者名</t>
    <rPh sb="0" eb="2">
      <t>モウシコミ</t>
    </rPh>
    <rPh sb="2" eb="3">
      <t>シャ</t>
    </rPh>
    <rPh sb="3" eb="4">
      <t>メイ</t>
    </rPh>
    <phoneticPr fontId="5"/>
  </si>
  <si>
    <t>連絡先</t>
    <rPh sb="0" eb="3">
      <t>レンラクサキ</t>
    </rPh>
    <phoneticPr fontId="5"/>
  </si>
  <si>
    <t>①メニューより選手入力へのボタンを押して下さい。ここで必要事項を入力して下さい</t>
    <rPh sb="7" eb="9">
      <t>センシュ</t>
    </rPh>
    <rPh sb="9" eb="11">
      <t>ニュウリョク</t>
    </rPh>
    <rPh sb="17" eb="18">
      <t>オ</t>
    </rPh>
    <rPh sb="20" eb="21">
      <t>クダ</t>
    </rPh>
    <rPh sb="27" eb="29">
      <t>ヒツヨウ</t>
    </rPh>
    <rPh sb="29" eb="31">
      <t>ジコウ</t>
    </rPh>
    <rPh sb="32" eb="34">
      <t>ニュウリョク</t>
    </rPh>
    <rPh sb="36" eb="37">
      <t>クダ</t>
    </rPh>
    <phoneticPr fontId="5"/>
  </si>
  <si>
    <t>入力もれがあると、後で申込ファイルが作成できません</t>
    <rPh sb="0" eb="2">
      <t>ニュウリョク</t>
    </rPh>
    <rPh sb="9" eb="10">
      <t>アト</t>
    </rPh>
    <rPh sb="11" eb="13">
      <t>モウシコミ</t>
    </rPh>
    <rPh sb="18" eb="20">
      <t>サクセイ</t>
    </rPh>
    <phoneticPr fontId="5"/>
  </si>
  <si>
    <t>一般男子ハーフ</t>
    <rPh sb="0" eb="2">
      <t>イッパン</t>
    </rPh>
    <rPh sb="2" eb="4">
      <t>ダンシ</t>
    </rPh>
    <phoneticPr fontId="5"/>
  </si>
  <si>
    <t>一般男子10k</t>
    <rPh sb="0" eb="2">
      <t>イッパン</t>
    </rPh>
    <rPh sb="2" eb="4">
      <t>ダンシ</t>
    </rPh>
    <phoneticPr fontId="5"/>
  </si>
  <si>
    <t>一般女子10k</t>
    <rPh sb="0" eb="2">
      <t>イッパン</t>
    </rPh>
    <rPh sb="2" eb="4">
      <t>ジョシ</t>
    </rPh>
    <phoneticPr fontId="5"/>
  </si>
  <si>
    <t>一般女子ハーフ</t>
    <rPh sb="0" eb="2">
      <t>イッパン</t>
    </rPh>
    <rPh sb="2" eb="4">
      <t>ジョシ</t>
    </rPh>
    <phoneticPr fontId="5"/>
  </si>
  <si>
    <t>一般女子5k</t>
    <rPh sb="0" eb="2">
      <t>イッパン</t>
    </rPh>
    <rPh sb="2" eb="4">
      <t>ジョシ</t>
    </rPh>
    <phoneticPr fontId="5"/>
  </si>
  <si>
    <t>郵便番号</t>
    <rPh sb="0" eb="2">
      <t>ユウビン</t>
    </rPh>
    <rPh sb="2" eb="4">
      <t>バンゴウ</t>
    </rPh>
    <phoneticPr fontId="5"/>
  </si>
  <si>
    <t>住所</t>
    <rPh sb="0" eb="2">
      <t>ジュウショ</t>
    </rPh>
    <phoneticPr fontId="5"/>
  </si>
  <si>
    <t>代表者名</t>
    <rPh sb="0" eb="3">
      <t>ダイヒョウシャ</t>
    </rPh>
    <rPh sb="3" eb="4">
      <t>メイ</t>
    </rPh>
    <phoneticPr fontId="5"/>
  </si>
  <si>
    <t>学年又は年齢</t>
    <rPh sb="2" eb="3">
      <t>マタ</t>
    </rPh>
    <rPh sb="4" eb="6">
      <t>ネンレイ</t>
    </rPh>
    <phoneticPr fontId="4"/>
  </si>
  <si>
    <t>学年又は年齢</t>
    <rPh sb="2" eb="3">
      <t>マタ</t>
    </rPh>
    <rPh sb="4" eb="6">
      <t>ネンレイ</t>
    </rPh>
    <phoneticPr fontId="5"/>
  </si>
  <si>
    <t>女子4×100mR</t>
    <rPh sb="0" eb="2">
      <t>ジョシ</t>
    </rPh>
    <phoneticPr fontId="5"/>
  </si>
  <si>
    <t>インターネットに接続できれば申込できます</t>
    <rPh sb="8" eb="10">
      <t>セツゾク</t>
    </rPh>
    <rPh sb="14" eb="16">
      <t>モウシコミ</t>
    </rPh>
    <phoneticPr fontId="4"/>
  </si>
  <si>
    <t>29.00</t>
    <phoneticPr fontId="5"/>
  </si>
  <si>
    <t>2.40.00</t>
    <phoneticPr fontId="5"/>
  </si>
  <si>
    <t>5.30.00</t>
    <phoneticPr fontId="5"/>
  </si>
  <si>
    <t>16.30.00</t>
    <phoneticPr fontId="5"/>
  </si>
  <si>
    <t>20.00.00</t>
    <phoneticPr fontId="5"/>
  </si>
  <si>
    <t>37.00</t>
    <phoneticPr fontId="5"/>
  </si>
  <si>
    <t>43.00</t>
    <phoneticPr fontId="5"/>
  </si>
  <si>
    <t>4×100R</t>
  </si>
  <si>
    <t>4×400R</t>
  </si>
  <si>
    <t>110H</t>
  </si>
  <si>
    <t>400H</t>
  </si>
  <si>
    <t>3000SC</t>
  </si>
  <si>
    <t>　</t>
  </si>
  <si>
    <t>5000W</t>
  </si>
  <si>
    <t>走高跳</t>
  </si>
  <si>
    <t>1m70</t>
  </si>
  <si>
    <t>1m40</t>
  </si>
  <si>
    <t>棒高跳</t>
  </si>
  <si>
    <t>3m00</t>
  </si>
  <si>
    <t>走幅跳</t>
  </si>
  <si>
    <t>三段跳</t>
  </si>
  <si>
    <t>砲丸投</t>
  </si>
  <si>
    <t>9m00</t>
  </si>
  <si>
    <t>8m00</t>
  </si>
  <si>
    <t>円盤投</t>
  </si>
  <si>
    <t>30m00</t>
  </si>
  <si>
    <t>25m00</t>
  </si>
  <si>
    <t>ﾊﾝﾏｰ投</t>
  </si>
  <si>
    <t>35m00</t>
  </si>
  <si>
    <t>やり投</t>
  </si>
  <si>
    <t>40m00</t>
  </si>
  <si>
    <t>20.00</t>
    <phoneticPr fontId="5"/>
  </si>
  <si>
    <t>1.15.00</t>
    <phoneticPr fontId="5"/>
  </si>
  <si>
    <t>11.30.00</t>
    <phoneticPr fontId="5"/>
  </si>
  <si>
    <t>30.00.00</t>
    <phoneticPr fontId="5"/>
  </si>
  <si>
    <t>35.00.00</t>
    <phoneticPr fontId="5"/>
  </si>
  <si>
    <t>標準記録</t>
    <rPh sb="0" eb="2">
      <t>ヒョウジュン</t>
    </rPh>
    <rPh sb="2" eb="4">
      <t>キロク</t>
    </rPh>
    <phoneticPr fontId="5"/>
  </si>
  <si>
    <t>ナンバーカード引換証を代表者へ送付希望の場合は下記へ代表者の記入をお願いします。</t>
    <rPh sb="7" eb="8">
      <t>ヒ</t>
    </rPh>
    <rPh sb="8" eb="9">
      <t>カ</t>
    </rPh>
    <rPh sb="9" eb="10">
      <t>ショウ</t>
    </rPh>
    <rPh sb="11" eb="14">
      <t>ダイヒョウシャ</t>
    </rPh>
    <rPh sb="15" eb="17">
      <t>ソウフ</t>
    </rPh>
    <rPh sb="17" eb="19">
      <t>キボウ</t>
    </rPh>
    <rPh sb="20" eb="22">
      <t>バアイ</t>
    </rPh>
    <rPh sb="23" eb="25">
      <t>カキ</t>
    </rPh>
    <rPh sb="26" eb="29">
      <t>ダイヒョウシャ</t>
    </rPh>
    <rPh sb="30" eb="32">
      <t>キニュウ</t>
    </rPh>
    <rPh sb="34" eb="35">
      <t>ネガ</t>
    </rPh>
    <phoneticPr fontId="5"/>
  </si>
  <si>
    <t>国体第一次選考競技会</t>
    <rPh sb="0" eb="2">
      <t>コクタイ</t>
    </rPh>
    <rPh sb="2" eb="3">
      <t>ダイ</t>
    </rPh>
    <rPh sb="3" eb="4">
      <t>１</t>
    </rPh>
    <rPh sb="4" eb="5">
      <t>ジ</t>
    </rPh>
    <rPh sb="5" eb="7">
      <t>センコウ</t>
    </rPh>
    <rPh sb="7" eb="10">
      <t>キョウギカイ</t>
    </rPh>
    <phoneticPr fontId="5"/>
  </si>
  <si>
    <t>三重県選手権</t>
    <rPh sb="0" eb="2">
      <t>ミエ</t>
    </rPh>
    <rPh sb="2" eb="3">
      <t>ケン</t>
    </rPh>
    <rPh sb="3" eb="6">
      <t>センシュケン</t>
    </rPh>
    <phoneticPr fontId="5"/>
  </si>
  <si>
    <t>11.70</t>
    <phoneticPr fontId="5"/>
  </si>
  <si>
    <t>23.80</t>
    <phoneticPr fontId="5"/>
  </si>
  <si>
    <t>0.54.00</t>
    <phoneticPr fontId="5"/>
  </si>
  <si>
    <t>4.35.00</t>
    <phoneticPr fontId="5"/>
  </si>
  <si>
    <t>1.03.00</t>
    <phoneticPr fontId="5"/>
  </si>
  <si>
    <t>5m80</t>
    <phoneticPr fontId="5"/>
  </si>
  <si>
    <t>12m50</t>
    <phoneticPr fontId="5"/>
  </si>
  <si>
    <t>13.90</t>
    <phoneticPr fontId="5"/>
  </si>
  <si>
    <t>1.08.00</t>
    <phoneticPr fontId="5"/>
  </si>
  <si>
    <t>4m50</t>
    <phoneticPr fontId="5"/>
  </si>
  <si>
    <t>中日三重お伊勢さんマラソン公認の部</t>
    <rPh sb="0" eb="2">
      <t>チュウニチ</t>
    </rPh>
    <rPh sb="2" eb="4">
      <t>ミエ</t>
    </rPh>
    <rPh sb="5" eb="7">
      <t>イセ</t>
    </rPh>
    <rPh sb="13" eb="15">
      <t>コウニン</t>
    </rPh>
    <rPh sb="16" eb="17">
      <t>ブ</t>
    </rPh>
    <phoneticPr fontId="5"/>
  </si>
  <si>
    <t>みえスポーツフェスティバル</t>
    <phoneticPr fontId="5"/>
  </si>
  <si>
    <t>名簿を先に入力して下さい</t>
    <rPh sb="0" eb="2">
      <t>メイボ</t>
    </rPh>
    <rPh sb="3" eb="4">
      <t>サキ</t>
    </rPh>
    <rPh sb="5" eb="7">
      <t>ニュウリョク</t>
    </rPh>
    <rPh sb="9" eb="10">
      <t>クダ</t>
    </rPh>
    <phoneticPr fontId="5"/>
  </si>
  <si>
    <t>今年の登録を選手名入力に入力して下さい</t>
    <rPh sb="0" eb="2">
      <t>コトシ</t>
    </rPh>
    <rPh sb="3" eb="5">
      <t>トウロク</t>
    </rPh>
    <rPh sb="6" eb="8">
      <t>センシュ</t>
    </rPh>
    <rPh sb="8" eb="9">
      <t>メイ</t>
    </rPh>
    <rPh sb="9" eb="11">
      <t>ニュウリョク</t>
    </rPh>
    <rPh sb="12" eb="14">
      <t>ニュウリョク</t>
    </rPh>
    <rPh sb="16" eb="17">
      <t>クダ</t>
    </rPh>
    <phoneticPr fontId="5"/>
  </si>
  <si>
    <t>2.10.00</t>
    <phoneticPr fontId="5"/>
  </si>
  <si>
    <t>三重</t>
    <rPh sb="0" eb="2">
      <t>ミエ</t>
    </rPh>
    <phoneticPr fontId="5"/>
  </si>
  <si>
    <t>所属先を必ず選択して下さい</t>
    <rPh sb="0" eb="2">
      <t>ショゾク</t>
    </rPh>
    <rPh sb="2" eb="3">
      <t>サキ</t>
    </rPh>
    <rPh sb="4" eb="5">
      <t>カナラ</t>
    </rPh>
    <rPh sb="6" eb="8">
      <t>センタク</t>
    </rPh>
    <rPh sb="10" eb="11">
      <t>クダ</t>
    </rPh>
    <phoneticPr fontId="4"/>
  </si>
  <si>
    <t>　　百五銀行　生桑(ｲｸﾜ)支店　普通預金　口座番号　４４０２６６　口座名　一般財団法人三重陸上競技協会</t>
    <rPh sb="2" eb="4">
      <t>１０５</t>
    </rPh>
    <rPh sb="4" eb="6">
      <t>ギンコウ</t>
    </rPh>
    <rPh sb="7" eb="8">
      <t>イ</t>
    </rPh>
    <rPh sb="8" eb="9">
      <t>クワ</t>
    </rPh>
    <rPh sb="14" eb="16">
      <t>シテン</t>
    </rPh>
    <rPh sb="17" eb="19">
      <t>フツウ</t>
    </rPh>
    <rPh sb="19" eb="21">
      <t>ヨキン</t>
    </rPh>
    <rPh sb="22" eb="24">
      <t>コウザ</t>
    </rPh>
    <rPh sb="24" eb="26">
      <t>バンゴウ</t>
    </rPh>
    <rPh sb="34" eb="36">
      <t>コウザ</t>
    </rPh>
    <rPh sb="36" eb="37">
      <t>メイ</t>
    </rPh>
    <rPh sb="38" eb="40">
      <t>イッパン</t>
    </rPh>
    <rPh sb="40" eb="42">
      <t>ザイダン</t>
    </rPh>
    <rPh sb="42" eb="44">
      <t>ホウジン</t>
    </rPh>
    <rPh sb="44" eb="46">
      <t>ミエ</t>
    </rPh>
    <rPh sb="46" eb="48">
      <t>リクジョウ</t>
    </rPh>
    <rPh sb="48" eb="50">
      <t>キョウギ</t>
    </rPh>
    <rPh sb="50" eb="52">
      <t>キョウカイ</t>
    </rPh>
    <phoneticPr fontId="5"/>
  </si>
  <si>
    <t>性別</t>
    <rPh sb="0" eb="2">
      <t>セイベツ</t>
    </rPh>
    <phoneticPr fontId="19"/>
  </si>
  <si>
    <t>種目</t>
    <rPh sb="0" eb="2">
      <t>シュモク</t>
    </rPh>
    <phoneticPr fontId="19"/>
  </si>
  <si>
    <t>名前</t>
    <rPh sb="0" eb="2">
      <t>ナマエ</t>
    </rPh>
    <phoneticPr fontId="19"/>
  </si>
  <si>
    <t>フリガナ</t>
    <phoneticPr fontId="19"/>
  </si>
  <si>
    <t>学年　　　(年齢)</t>
    <rPh sb="0" eb="2">
      <t>ガクネン</t>
    </rPh>
    <rPh sb="6" eb="8">
      <t>ネンレイ</t>
    </rPh>
    <phoneticPr fontId="19"/>
  </si>
  <si>
    <t>所属</t>
    <rPh sb="0" eb="2">
      <t>ショゾク</t>
    </rPh>
    <phoneticPr fontId="19"/>
  </si>
  <si>
    <t>登録　　　陸協</t>
    <rPh sb="0" eb="2">
      <t>トウロク</t>
    </rPh>
    <rPh sb="5" eb="7">
      <t>リクキョウ</t>
    </rPh>
    <phoneticPr fontId="19"/>
  </si>
  <si>
    <t>記録達成大会名</t>
    <rPh sb="0" eb="2">
      <t>キロク</t>
    </rPh>
    <rPh sb="2" eb="4">
      <t>タッセイ</t>
    </rPh>
    <rPh sb="4" eb="6">
      <t>タイカイ</t>
    </rPh>
    <rPh sb="6" eb="7">
      <t>メイ</t>
    </rPh>
    <phoneticPr fontId="19"/>
  </si>
  <si>
    <t>郵便番号</t>
    <rPh sb="0" eb="4">
      <t>ユウビンバンゴウ</t>
    </rPh>
    <phoneticPr fontId="19"/>
  </si>
  <si>
    <t>住所</t>
    <rPh sb="0" eb="2">
      <t>ジュウショ</t>
    </rPh>
    <phoneticPr fontId="19"/>
  </si>
  <si>
    <t>今回で連続　　　何回目？</t>
    <rPh sb="0" eb="2">
      <t>コンカイ</t>
    </rPh>
    <rPh sb="3" eb="5">
      <t>レンゾク</t>
    </rPh>
    <rPh sb="8" eb="11">
      <t>ナンカイメ</t>
    </rPh>
    <phoneticPr fontId="19"/>
  </si>
  <si>
    <t>参加費</t>
    <rPh sb="0" eb="3">
      <t>サンカヒ</t>
    </rPh>
    <phoneticPr fontId="19"/>
  </si>
  <si>
    <t>ハーフマラソン</t>
    <phoneticPr fontId="19"/>
  </si>
  <si>
    <t>※高校生はハーフには出場できません。</t>
    <rPh sb="1" eb="4">
      <t>コウコウセイ</t>
    </rPh>
    <rPh sb="10" eb="12">
      <t>シュツジョウ</t>
    </rPh>
    <phoneticPr fontId="19"/>
  </si>
  <si>
    <t>※公認記録に基づきシードいたします。</t>
    <rPh sb="1" eb="3">
      <t>コウニン</t>
    </rPh>
    <rPh sb="3" eb="5">
      <t>キロク</t>
    </rPh>
    <rPh sb="6" eb="7">
      <t>モト</t>
    </rPh>
    <phoneticPr fontId="19"/>
  </si>
  <si>
    <t>ハーフ</t>
    <phoneticPr fontId="19"/>
  </si>
  <si>
    <t>10k</t>
    <phoneticPr fontId="19"/>
  </si>
  <si>
    <t>この用紙と振込書（コピー可）と県陸協の出場認知書を同封の上、下記まで送付願います。</t>
    <rPh sb="2" eb="4">
      <t>ヨウシ</t>
    </rPh>
    <rPh sb="5" eb="7">
      <t>フリコミ</t>
    </rPh>
    <rPh sb="7" eb="8">
      <t>ショ</t>
    </rPh>
    <rPh sb="12" eb="13">
      <t>カ</t>
    </rPh>
    <rPh sb="15" eb="16">
      <t>ケン</t>
    </rPh>
    <rPh sb="16" eb="18">
      <t>リクキョウ</t>
    </rPh>
    <rPh sb="19" eb="21">
      <t>シュツジョウ</t>
    </rPh>
    <rPh sb="21" eb="23">
      <t>ニンチ</t>
    </rPh>
    <rPh sb="23" eb="24">
      <t>ショ</t>
    </rPh>
    <rPh sb="25" eb="27">
      <t>ドウフウ</t>
    </rPh>
    <rPh sb="28" eb="29">
      <t>ウエ</t>
    </rPh>
    <rPh sb="30" eb="32">
      <t>カキ</t>
    </rPh>
    <rPh sb="34" eb="36">
      <t>ソウフ</t>
    </rPh>
    <rPh sb="36" eb="37">
      <t>ネガ</t>
    </rPh>
    <phoneticPr fontId="19"/>
  </si>
  <si>
    <t>10月26日(月)までに届いていない場合は出場を取り消します。</t>
    <rPh sb="7" eb="8">
      <t>ツキ</t>
    </rPh>
    <phoneticPr fontId="19"/>
  </si>
  <si>
    <t>〒516-0023　伊勢市宇治館町510　三重交通Ｇスポーツの杜伊勢内　三重陸上競技協会</t>
    <rPh sb="23" eb="25">
      <t>コウツウ</t>
    </rPh>
    <rPh sb="31" eb="32">
      <t>モリ</t>
    </rPh>
    <rPh sb="32" eb="34">
      <t>イセ</t>
    </rPh>
    <rPh sb="36" eb="38">
      <t>ミエ</t>
    </rPh>
    <rPh sb="38" eb="40">
      <t>リクジョウ</t>
    </rPh>
    <rPh sb="40" eb="42">
      <t>キョウギ</t>
    </rPh>
    <rPh sb="42" eb="44">
      <t>キョウカイ</t>
    </rPh>
    <phoneticPr fontId="19"/>
  </si>
  <si>
    <t>参加費振込先：百五銀行　生桑(ｲｸﾜ)支店　普通預金　口座番号440266　口座名　一般財団法人三重陸上競技協会</t>
    <rPh sb="0" eb="3">
      <t>サンカヒ</t>
    </rPh>
    <rPh sb="3" eb="5">
      <t>フリコミ</t>
    </rPh>
    <rPh sb="5" eb="6">
      <t>サキ</t>
    </rPh>
    <phoneticPr fontId="19"/>
  </si>
  <si>
    <t>（個人は個人名で、それ以外は所属名で振込むこと）</t>
  </si>
  <si>
    <t>尚、振込人名の前に０８と記入願います。例（０８＊＊大学）</t>
  </si>
  <si>
    <t>公認記録</t>
    <rPh sb="0" eb="2">
      <t>コウニン</t>
    </rPh>
    <rPh sb="2" eb="4">
      <t>キロク</t>
    </rPh>
    <phoneticPr fontId="19"/>
  </si>
  <si>
    <t>個人宛てにナンバーカード送付希望の場合は、住所を正確に記載して下さい。　　　　　　　　　　　</t>
    <rPh sb="0" eb="2">
      <t>コジン</t>
    </rPh>
    <rPh sb="2" eb="3">
      <t>ア</t>
    </rPh>
    <rPh sb="12" eb="14">
      <t>ソウフ</t>
    </rPh>
    <rPh sb="14" eb="16">
      <t>キボウ</t>
    </rPh>
    <rPh sb="17" eb="19">
      <t>バアイ</t>
    </rPh>
    <rPh sb="21" eb="23">
      <t>ジュウショ</t>
    </rPh>
    <rPh sb="24" eb="26">
      <t>セイカク</t>
    </rPh>
    <rPh sb="27" eb="29">
      <t>キサイ</t>
    </rPh>
    <rPh sb="31" eb="32">
      <t>クダ</t>
    </rPh>
    <phoneticPr fontId="5"/>
  </si>
  <si>
    <t>代表者</t>
    <rPh sb="0" eb="3">
      <t>ダイヒョウシャ</t>
    </rPh>
    <phoneticPr fontId="4"/>
  </si>
  <si>
    <t>三重</t>
    <rPh sb="0" eb="2">
      <t>ミエ</t>
    </rPh>
    <phoneticPr fontId="5"/>
  </si>
  <si>
    <t>プログラム必要冊数</t>
    <rPh sb="5" eb="7">
      <t>ヒツヨウ</t>
    </rPh>
    <rPh sb="7" eb="9">
      <t>サッスウ</t>
    </rPh>
    <phoneticPr fontId="5"/>
  </si>
  <si>
    <t>冊</t>
    <rPh sb="0" eb="1">
      <t>サツ</t>
    </rPh>
    <phoneticPr fontId="5"/>
  </si>
  <si>
    <t>少年B100</t>
    <rPh sb="0" eb="2">
      <t>ショウネン</t>
    </rPh>
    <phoneticPr fontId="5"/>
  </si>
  <si>
    <t>*</t>
    <phoneticPr fontId="5"/>
  </si>
  <si>
    <t>プログラム冊数</t>
    <rPh sb="5" eb="7">
      <t>サッスウ</t>
    </rPh>
    <phoneticPr fontId="5"/>
  </si>
  <si>
    <t>男子4×100mR　A</t>
    <rPh sb="0" eb="2">
      <t>ダンシ</t>
    </rPh>
    <phoneticPr fontId="5"/>
  </si>
  <si>
    <t>北海道教育大</t>
  </si>
  <si>
    <t>神奈川大</t>
  </si>
  <si>
    <t>北里大</t>
  </si>
  <si>
    <t>慶應義塾大</t>
  </si>
  <si>
    <t>国際武道大</t>
  </si>
  <si>
    <t>国士舘大</t>
  </si>
  <si>
    <t>駒澤大</t>
  </si>
  <si>
    <t>順天堂大</t>
  </si>
  <si>
    <t>城西大</t>
  </si>
  <si>
    <t>駿河台大</t>
  </si>
  <si>
    <t>専修大</t>
  </si>
  <si>
    <t>中央大</t>
  </si>
  <si>
    <t>筑波大</t>
  </si>
  <si>
    <t>帝京大</t>
  </si>
  <si>
    <t>東海大</t>
  </si>
  <si>
    <t>東京学芸大</t>
  </si>
  <si>
    <t>東京工業大</t>
  </si>
  <si>
    <t>東京大</t>
  </si>
  <si>
    <t>東京農業大</t>
  </si>
  <si>
    <t>東京理科大</t>
  </si>
  <si>
    <t>東洋大</t>
  </si>
  <si>
    <t>日本体育大</t>
  </si>
  <si>
    <t>日本大</t>
  </si>
  <si>
    <t>白大</t>
  </si>
  <si>
    <t>一橋大</t>
  </si>
  <si>
    <t>法政大</t>
  </si>
  <si>
    <t>明治大</t>
  </si>
  <si>
    <t>早稲田大</t>
  </si>
  <si>
    <t>愛知学院大</t>
  </si>
  <si>
    <t>愛知教育大</t>
  </si>
  <si>
    <t>愛知大</t>
  </si>
  <si>
    <t>岐阜経済大</t>
  </si>
  <si>
    <t>近畿大工業高専</t>
  </si>
  <si>
    <t>皇學館大</t>
  </si>
  <si>
    <t>至学館大</t>
  </si>
  <si>
    <t>静岡産業大</t>
  </si>
  <si>
    <t>鈴鹿工業高専</t>
  </si>
  <si>
    <t>中京大</t>
  </si>
  <si>
    <t>中部大</t>
  </si>
  <si>
    <t>東海学園大</t>
  </si>
  <si>
    <t>名古屋学院大</t>
  </si>
  <si>
    <t>名古屋工業大</t>
  </si>
  <si>
    <t>名古屋大</t>
  </si>
  <si>
    <t>三重大</t>
  </si>
  <si>
    <t>名城大</t>
  </si>
  <si>
    <t>大阪教育大</t>
  </si>
  <si>
    <t>大阪産業大</t>
  </si>
  <si>
    <t>大阪成蹊大</t>
  </si>
  <si>
    <t>大阪体育大</t>
  </si>
  <si>
    <t>大阪大</t>
  </si>
  <si>
    <t>関西外国語大</t>
  </si>
  <si>
    <t>京都産業大</t>
  </si>
  <si>
    <t>京都大</t>
  </si>
  <si>
    <t>京都薬科大</t>
  </si>
  <si>
    <t>近畿大</t>
  </si>
  <si>
    <t>摂南大</t>
  </si>
  <si>
    <t>天理大</t>
  </si>
  <si>
    <t>佛教大</t>
  </si>
  <si>
    <t>立命館大</t>
  </si>
  <si>
    <t>広島大</t>
  </si>
  <si>
    <t>鹿屋体育大</t>
  </si>
  <si>
    <t>九州共立大</t>
  </si>
  <si>
    <t>鳥羽商船高専</t>
  </si>
  <si>
    <t>大学生　チーム用　メール大会申込概要</t>
    <rPh sb="0" eb="2">
      <t>ダイガク</t>
    </rPh>
    <rPh sb="2" eb="3">
      <t>イ</t>
    </rPh>
    <rPh sb="7" eb="8">
      <t>ヨウ</t>
    </rPh>
    <rPh sb="12" eb="14">
      <t>タイカイ</t>
    </rPh>
    <rPh sb="14" eb="16">
      <t>モウシコミ</t>
    </rPh>
    <rPh sb="16" eb="18">
      <t>ガイヨウ</t>
    </rPh>
    <phoneticPr fontId="5"/>
  </si>
  <si>
    <t>このファイルは大学生専用です</t>
    <rPh sb="7" eb="10">
      <t>ダイガクセイ</t>
    </rPh>
    <rPh sb="10" eb="12">
      <t>センヨウ</t>
    </rPh>
    <phoneticPr fontId="5"/>
  </si>
  <si>
    <t>三重陸協登録No</t>
    <rPh sb="0" eb="2">
      <t>ミエ</t>
    </rPh>
    <rPh sb="2" eb="4">
      <t>リクキョウ</t>
    </rPh>
    <rPh sb="4" eb="6">
      <t>トウロク</t>
    </rPh>
    <phoneticPr fontId="4"/>
  </si>
  <si>
    <t>学連　　　　登録No</t>
    <rPh sb="0" eb="1">
      <t>ガク</t>
    </rPh>
    <rPh sb="1" eb="2">
      <t>レン</t>
    </rPh>
    <rPh sb="6" eb="8">
      <t>トウロク</t>
    </rPh>
    <phoneticPr fontId="4"/>
  </si>
  <si>
    <t>三重陸協　　　登録No</t>
    <rPh sb="0" eb="2">
      <t>ミエ</t>
    </rPh>
    <rPh sb="2" eb="4">
      <t>リクキョウ</t>
    </rPh>
    <rPh sb="7" eb="9">
      <t>トウロク</t>
    </rPh>
    <phoneticPr fontId="5"/>
  </si>
  <si>
    <t>学連　　　　登録No</t>
    <rPh sb="0" eb="1">
      <t>ガク</t>
    </rPh>
    <rPh sb="1" eb="2">
      <t>レン</t>
    </rPh>
    <rPh sb="6" eb="8">
      <t>トウロク</t>
    </rPh>
    <phoneticPr fontId="5"/>
  </si>
  <si>
    <t>三重陸協　　登録No</t>
    <rPh sb="0" eb="2">
      <t>ミエ</t>
    </rPh>
    <rPh sb="2" eb="4">
      <t>リクキョウ</t>
    </rPh>
    <rPh sb="6" eb="8">
      <t>トウロク</t>
    </rPh>
    <phoneticPr fontId="5"/>
  </si>
  <si>
    <t>学連　　　　登録No</t>
    <rPh sb="0" eb="1">
      <t>ガク</t>
    </rPh>
    <rPh sb="1" eb="2">
      <t>レン</t>
    </rPh>
    <rPh sb="6" eb="8">
      <t>トウロク</t>
    </rPh>
    <phoneticPr fontId="19"/>
  </si>
  <si>
    <t>学連登録Noを入力して下さい(選手名入力の詳細が転記されます)</t>
    <rPh sb="0" eb="1">
      <t>ガク</t>
    </rPh>
    <rPh sb="1" eb="2">
      <t>レン</t>
    </rPh>
    <rPh sb="2" eb="4">
      <t>トウロク</t>
    </rPh>
    <rPh sb="7" eb="9">
      <t>ニュウリョク</t>
    </rPh>
    <rPh sb="11" eb="12">
      <t>クダ</t>
    </rPh>
    <rPh sb="15" eb="18">
      <t>センシュメイ</t>
    </rPh>
    <rPh sb="18" eb="20">
      <t>ニュウリョク</t>
    </rPh>
    <rPh sb="21" eb="23">
      <t>ショウサイ</t>
    </rPh>
    <rPh sb="24" eb="25">
      <t>テン</t>
    </rPh>
    <rPh sb="25" eb="26">
      <t>キ</t>
    </rPh>
    <phoneticPr fontId="5"/>
  </si>
  <si>
    <t>今年度の公認記録がない場合は去年の記録を記載のこと</t>
    <rPh sb="0" eb="3">
      <t>コンネンド</t>
    </rPh>
    <rPh sb="4" eb="6">
      <t>コウニン</t>
    </rPh>
    <rPh sb="6" eb="8">
      <t>キロク</t>
    </rPh>
    <rPh sb="11" eb="13">
      <t>バアイ</t>
    </rPh>
    <rPh sb="14" eb="16">
      <t>キョネン</t>
    </rPh>
    <rPh sb="17" eb="19">
      <t>キロク</t>
    </rPh>
    <rPh sb="20" eb="22">
      <t>キサイ</t>
    </rPh>
    <phoneticPr fontId="5"/>
  </si>
  <si>
    <t>過去の記録及び過去の自己ベスト記録は認めません</t>
    <rPh sb="0" eb="2">
      <t>カコ</t>
    </rPh>
    <rPh sb="3" eb="5">
      <t>キロク</t>
    </rPh>
    <rPh sb="5" eb="6">
      <t>オヨ</t>
    </rPh>
    <rPh sb="7" eb="9">
      <t>カコ</t>
    </rPh>
    <rPh sb="10" eb="12">
      <t>ジコ</t>
    </rPh>
    <rPh sb="15" eb="17">
      <t>キロク</t>
    </rPh>
    <rPh sb="18" eb="19">
      <t>ミト</t>
    </rPh>
    <phoneticPr fontId="5"/>
  </si>
  <si>
    <t>今年度　　　公認記録</t>
    <rPh sb="0" eb="3">
      <t>コンネンド</t>
    </rPh>
    <rPh sb="6" eb="8">
      <t>コウニン</t>
    </rPh>
    <phoneticPr fontId="5"/>
  </si>
  <si>
    <t>東京農大北海道</t>
  </si>
  <si>
    <t>岩手大</t>
  </si>
  <si>
    <t>大東文化大</t>
  </si>
  <si>
    <t>東京国際大</t>
  </si>
  <si>
    <t>國學院大</t>
  </si>
  <si>
    <t>国際基督教大</t>
  </si>
  <si>
    <t>上智大</t>
  </si>
  <si>
    <t>創価大</t>
  </si>
  <si>
    <t>横浜市立大</t>
  </si>
  <si>
    <t>金沢大</t>
  </si>
  <si>
    <t>愛知県立大</t>
  </si>
  <si>
    <t>愛知工業大</t>
  </si>
  <si>
    <t>愛知淑徳大</t>
  </si>
  <si>
    <t>大同大</t>
  </si>
  <si>
    <t>びわ学大</t>
  </si>
  <si>
    <t>びわこｽﾎﾟｰﾂ大</t>
  </si>
  <si>
    <t>京都光華女子大</t>
  </si>
  <si>
    <t>大阪市立大</t>
  </si>
  <si>
    <t>甲南大</t>
  </si>
  <si>
    <t>神戸大</t>
  </si>
  <si>
    <t>広島経済大</t>
  </si>
  <si>
    <t>ﾄｳｷｮｳﾉｳｷﾞｮｳﾀﾞｲｶﾞｸﾎｯｶｲﾄﾞｳ</t>
    <phoneticPr fontId="4"/>
  </si>
  <si>
    <t>ﾎｯｶｲﾄﾞｳｷｮｳｲｸﾀﾞｲｶﾞｸ</t>
    <phoneticPr fontId="4"/>
  </si>
  <si>
    <t>ｲﾜﾃﾀﾞｲｶﾞｸ</t>
    <phoneticPr fontId="4"/>
  </si>
  <si>
    <t>ﾂｸﾊﾞﾀﾞｲｶﾞｸ</t>
    <phoneticPr fontId="4"/>
  </si>
  <si>
    <t>ﾊｸｵｳﾀﾞｲｶﾞｸ</t>
    <phoneticPr fontId="4"/>
  </si>
  <si>
    <t>ｼﾞｮｳｻｲﾀﾞｲｶﾞｸ</t>
    <phoneticPr fontId="4"/>
  </si>
  <si>
    <t>ｽﾙｶﾞﾀﾞｲﾀﾞｲｶﾞｸ</t>
    <phoneticPr fontId="4"/>
  </si>
  <si>
    <t>ﾀﾞｲﾄｳﾌﾞﾝｶﾀﾞｲｶﾞｸ</t>
    <phoneticPr fontId="4"/>
  </si>
  <si>
    <t>ﾄｳｷｮｳｺｸｻｲﾀﾞｲｶﾞｸ</t>
    <phoneticPr fontId="4"/>
  </si>
  <si>
    <t>ﾄｳﾖｳﾀﾞｲｶﾞｸ</t>
    <phoneticPr fontId="4"/>
  </si>
  <si>
    <t>ﾜｾﾀﾞﾀﾞｲｶﾞｸ</t>
    <phoneticPr fontId="4"/>
  </si>
  <si>
    <t>ｺｸｻｲﾌﾞﾄﾞｳﾀﾞｲｶﾞｸ</t>
    <phoneticPr fontId="4"/>
  </si>
  <si>
    <t>ｼﾞｭﾝﾃﾝﾄﾞｳﾀﾞｲｶﾞｸ</t>
    <phoneticPr fontId="4"/>
  </si>
  <si>
    <t>ｺｸｶﾞｸｲﾝﾀﾞｲｶﾞｸ</t>
    <phoneticPr fontId="4"/>
  </si>
  <si>
    <t>ｺｸｻｲｷﾘｽﾄｷｮｳﾀﾞｲｶﾞｸ</t>
    <phoneticPr fontId="4"/>
  </si>
  <si>
    <t>ｺｸｼｶﾝﾀﾞｲｶﾞｸ</t>
    <phoneticPr fontId="4"/>
  </si>
  <si>
    <t>ｺﾏｻﾞﾜﾀﾞｲｶﾞｸ</t>
    <phoneticPr fontId="4"/>
  </si>
  <si>
    <t>ｼﾞｮｳﾁﾀﾞｲｶﾞｸ</t>
    <phoneticPr fontId="4"/>
  </si>
  <si>
    <t>ｿｳｶﾀﾞｲｶﾞｸ</t>
    <phoneticPr fontId="4"/>
  </si>
  <si>
    <t>ﾁｭｳｵｳﾀﾞｲｶﾞｸ</t>
    <phoneticPr fontId="4"/>
  </si>
  <si>
    <t>ﾃｲｷｮｳﾀﾞｲｶﾞｸ</t>
    <phoneticPr fontId="4"/>
  </si>
  <si>
    <t>ﾄｳｷｮｳｶﾞｸｹﾞｲﾀﾞｲｶﾞｸ</t>
    <phoneticPr fontId="4"/>
  </si>
  <si>
    <t>ﾄｳｷｮｳｺｳｷﾞｮｳﾀﾞｲｶﾞｸ</t>
    <phoneticPr fontId="4"/>
  </si>
  <si>
    <t>ﾄｳｷｮｳﾀﾞｲｶﾞｸ</t>
    <phoneticPr fontId="4"/>
  </si>
  <si>
    <t>ﾄｳｷｮｳﾉｳｷﾞｮｳﾀﾞｲｶﾞｸ</t>
    <phoneticPr fontId="4"/>
  </si>
  <si>
    <t>ﾄｳｷｮｳﾘｶﾀﾞｲｶﾞｸ</t>
    <phoneticPr fontId="4"/>
  </si>
  <si>
    <t>ﾆﾎﾝﾀﾞｲｶﾞｸ</t>
    <phoneticPr fontId="4"/>
  </si>
  <si>
    <t>ﾋﾄﾂﾊﾞｼﾀﾞｲｶﾞｸ</t>
    <phoneticPr fontId="4"/>
  </si>
  <si>
    <t>ﾎｳｾｲﾀﾞｲｶﾞｸ</t>
    <phoneticPr fontId="4"/>
  </si>
  <si>
    <t>ﾒｲｼﾞﾀﾞｲｶﾞｸ</t>
    <phoneticPr fontId="4"/>
  </si>
  <si>
    <t>ｶﾅｶﾞﾜﾀﾞｲｶﾞｸ</t>
    <phoneticPr fontId="4"/>
  </si>
  <si>
    <t>ｷﾀｻﾄﾀﾞｲｶﾞｸ</t>
    <phoneticPr fontId="4"/>
  </si>
  <si>
    <t>ｹｲｵｳｷﾞｼﾞｭｸﾀﾞｲｶﾞｸ</t>
    <phoneticPr fontId="4"/>
  </si>
  <si>
    <t>ｾﾝｼｭｳﾀﾞｲｶﾞｸ</t>
    <phoneticPr fontId="4"/>
  </si>
  <si>
    <t>ﾄｳｶｲﾀﾞｲｶﾞｸ</t>
    <phoneticPr fontId="4"/>
  </si>
  <si>
    <t>ﾆｯﾎﾟﾝﾀｲｲｸﾀﾞｲｶﾞｸ</t>
    <phoneticPr fontId="4"/>
  </si>
  <si>
    <t>ﾖｺﾊﾏｲﾁﾘﾂﾀﾞｲｶﾞｸ</t>
    <phoneticPr fontId="4"/>
  </si>
  <si>
    <t>ｶﾅｻﾞﾜﾀﾞｲｶﾞｸ</t>
    <phoneticPr fontId="4"/>
  </si>
  <si>
    <t>ｷﾞﾌｹｲｻﾞｲﾀﾞｲｶﾞｸ</t>
    <phoneticPr fontId="4"/>
  </si>
  <si>
    <t>ｼｽﾞｵｶｻﾝｷﾞｮｳﾀﾞｲｶﾞｸ</t>
    <phoneticPr fontId="4"/>
  </si>
  <si>
    <t>ｱｲﾁｶﾞｸｲﾝﾀﾞｲｶﾞｸ</t>
    <phoneticPr fontId="4"/>
  </si>
  <si>
    <t>ｱｲﾁｷｮｳｲｸﾀﾞｲｶﾞｸ</t>
    <phoneticPr fontId="4"/>
  </si>
  <si>
    <t>ｱｲﾁｹﾝﾘﾂﾀﾞｲｶﾞｸ</t>
    <phoneticPr fontId="4"/>
  </si>
  <si>
    <t>ｱｲﾁｺｳｷﾞｮｳﾀﾞｲｶﾞｸ</t>
    <phoneticPr fontId="4"/>
  </si>
  <si>
    <t>ｱｲﾁｼｮｳﾄｸﾀﾞｲｶﾞｸ</t>
    <phoneticPr fontId="4"/>
  </si>
  <si>
    <t>ｱｲﾁﾀﾞｲｶﾞｸ</t>
    <phoneticPr fontId="4"/>
  </si>
  <si>
    <t>ｼｶﾞｯｶﾝﾀﾞｲｶﾞｸ</t>
    <phoneticPr fontId="4"/>
  </si>
  <si>
    <t>ﾀﾞｲﾄﾞｳﾀﾞｲｶﾞｸ</t>
    <phoneticPr fontId="4"/>
  </si>
  <si>
    <t>ﾁｭｳｷｮｳﾀﾞｲｶﾞｸ</t>
    <phoneticPr fontId="4"/>
  </si>
  <si>
    <t>ﾁｭｳﾌﾞﾀﾞｲｶﾞｸ</t>
    <phoneticPr fontId="4"/>
  </si>
  <si>
    <t>ﾄｳｶｲｶﾞｸｴﾝﾀﾞｲｶﾞｸ</t>
    <phoneticPr fontId="4"/>
  </si>
  <si>
    <t>ﾅｺﾞﾔｶﾞｸｲﾝﾀﾞｲｶﾞｸ</t>
    <phoneticPr fontId="4"/>
  </si>
  <si>
    <t>ﾅｺﾞﾔｺｳｷﾞｮｳﾀﾞｲｶﾞｸ</t>
    <phoneticPr fontId="4"/>
  </si>
  <si>
    <t>ﾅｺﾞﾔﾀﾞｲｶﾞｸ</t>
    <phoneticPr fontId="4"/>
  </si>
  <si>
    <t>ﾒｲｼﾞｮｳﾀﾞｲｶﾞｸ</t>
    <phoneticPr fontId="4"/>
  </si>
  <si>
    <t>ｷﾝｷﾀﾞｲｶﾞｸｺｳｷﾞｮｳｺｳﾄｳｾﾝﾓﾝｶﾞｯｺｳ</t>
    <phoneticPr fontId="4"/>
  </si>
  <si>
    <t>ｺｳｶﾞｯｶﾝﾀﾞｲｶﾞｸ</t>
    <phoneticPr fontId="4"/>
  </si>
  <si>
    <t>ｽｽﾞｶｺｳｷﾞｮｳｺｳﾄｳｾﾝﾓﾝｶﾞｯｺｳ</t>
    <phoneticPr fontId="4"/>
  </si>
  <si>
    <t>ﾄﾊﾞｼｮｳｾﾝｺｳﾄｳｾﾝﾓﾝｶﾞｯｺｳ</t>
    <phoneticPr fontId="4"/>
  </si>
  <si>
    <t>ﾐｴﾀﾞｲｶﾞｸ</t>
    <phoneticPr fontId="4"/>
  </si>
  <si>
    <t>ﾋﾞﾜｺｶﾞｸｲﾝﾀﾞｲｶﾞｸ</t>
    <phoneticPr fontId="4"/>
  </si>
  <si>
    <t>ﾋﾞﾜｺｾｲｹｲｽﾎﾟｰﾂﾀﾞｲｶﾞｸ</t>
    <phoneticPr fontId="4"/>
  </si>
  <si>
    <t>ｷｮｳﾄｺｳｶｼﾞｮｼﾀﾞｲｶﾞｸ</t>
    <phoneticPr fontId="4"/>
  </si>
  <si>
    <t>ｷｮｳﾄｻﾝｷﾞｮｳﾀﾞｲｶﾞｸ</t>
    <phoneticPr fontId="4"/>
  </si>
  <si>
    <t>ｷｮｳﾄﾀﾞｲｶﾞｸ</t>
    <phoneticPr fontId="4"/>
  </si>
  <si>
    <t>ｷｮｳﾄﾔｯｶﾀﾞｲｶﾞｸ</t>
    <phoneticPr fontId="4"/>
  </si>
  <si>
    <t>ﾌﾞｯｷｮｳﾀﾞｲｶﾞｸ</t>
    <phoneticPr fontId="4"/>
  </si>
  <si>
    <t>ﾘﾂﾒｲｶﾝﾀﾞｲｶﾞｸ</t>
    <phoneticPr fontId="4"/>
  </si>
  <si>
    <t>ｵｵｻｶｷｮｳｲｸﾀﾞｲｶﾞｸ</t>
    <phoneticPr fontId="4"/>
  </si>
  <si>
    <t>ｵｵｻｶｻﾝｷﾞｮｳﾀﾞｲｶﾞｸ</t>
    <phoneticPr fontId="4"/>
  </si>
  <si>
    <t>ｵｵｻｶｼﾘﾂﾀﾞｲｶﾞｸ</t>
    <phoneticPr fontId="4"/>
  </si>
  <si>
    <t>ｵｵｻｶｾｲｹｲﾀﾞｲｶﾞｸ</t>
    <phoneticPr fontId="4"/>
  </si>
  <si>
    <t>ｵｵｻｶﾀｲｲｸﾀﾞｲｶﾞｸ</t>
    <phoneticPr fontId="4"/>
  </si>
  <si>
    <t>ｵｵｻｶﾀﾞｲｶﾞｸ</t>
    <phoneticPr fontId="4"/>
  </si>
  <si>
    <t>ｶﾝｻｲｶﾞｲｺｸｺﾞﾀﾞｲｶﾞｸ</t>
    <phoneticPr fontId="4"/>
  </si>
  <si>
    <t>ｷﾝｷﾀﾞｲｶﾞｸ</t>
    <phoneticPr fontId="4"/>
  </si>
  <si>
    <t>ｾﾂﾅﾝﾀﾞｲｶﾞｸ</t>
    <phoneticPr fontId="4"/>
  </si>
  <si>
    <t>ｺｳﾅﾝﾀﾞｲｶﾞｸ</t>
    <phoneticPr fontId="4"/>
  </si>
  <si>
    <t>ｺｳﾍﾞﾀﾞｲｶﾞｸ</t>
    <phoneticPr fontId="4"/>
  </si>
  <si>
    <t>ﾃﾝﾘﾀﾞｲｶﾞｸ</t>
    <phoneticPr fontId="4"/>
  </si>
  <si>
    <t>ﾋﾛｼﾏｹｲｻﾞｲﾀﾞｲｶﾞｸ</t>
    <phoneticPr fontId="4"/>
  </si>
  <si>
    <t>ﾋﾛｼﾏﾀﾞｲｶﾞｸ</t>
    <phoneticPr fontId="4"/>
  </si>
  <si>
    <t>ｷｭｳｼｭｳｷｮｳﾘﾂﾀﾞｲｶﾞｸ</t>
    <phoneticPr fontId="4"/>
  </si>
  <si>
    <t>ｶﾉﾔﾀｲｲｸﾀﾞｲｶﾞｸ</t>
    <phoneticPr fontId="4"/>
  </si>
  <si>
    <t>日本陸連ID</t>
    <rPh sb="0" eb="2">
      <t>ニホン</t>
    </rPh>
    <rPh sb="2" eb="4">
      <t>リクレン</t>
    </rPh>
    <phoneticPr fontId="4"/>
  </si>
  <si>
    <t>陸連ID</t>
    <phoneticPr fontId="5"/>
  </si>
  <si>
    <t>陸連ID</t>
    <phoneticPr fontId="5"/>
  </si>
  <si>
    <t>2017Ver1</t>
    <phoneticPr fontId="5"/>
  </si>
  <si>
    <t>3000SC</t>
    <phoneticPr fontId="5"/>
  </si>
  <si>
    <t>3000SC</t>
    <phoneticPr fontId="5"/>
  </si>
</sst>
</file>

<file path=xl/styles.xml><?xml version="1.0" encoding="utf-8"?>
<styleSheet xmlns="http://schemas.openxmlformats.org/spreadsheetml/2006/main">
  <numFmts count="6">
    <numFmt numFmtId="5" formatCode="&quot;¥&quot;#,##0;&quot;¥&quot;\-#,##0"/>
    <numFmt numFmtId="176" formatCode="0_ "/>
    <numFmt numFmtId="177" formatCode="0_);[Red]\(0\)"/>
    <numFmt numFmtId="178" formatCode="m/d;@"/>
    <numFmt numFmtId="179" formatCode="##&quot;人&quot;"/>
    <numFmt numFmtId="180" formatCode="##&quot;種目&quot;"/>
  </numFmts>
  <fonts count="66">
    <font>
      <sz val="11"/>
      <name val="ＭＳ Ｐ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9"/>
      <name val="ＭＳ Ｐゴシック"/>
      <family val="3"/>
      <charset val="128"/>
    </font>
    <font>
      <sz val="6"/>
      <name val="ＭＳ Ｐゴシック"/>
      <family val="3"/>
      <charset val="128"/>
    </font>
    <font>
      <sz val="9"/>
      <name val="ＭＳ ゴシック"/>
      <family val="3"/>
      <charset val="128"/>
    </font>
    <font>
      <sz val="11"/>
      <name val="ＭＳ 明朝"/>
      <family val="1"/>
      <charset val="128"/>
    </font>
    <font>
      <sz val="12"/>
      <name val="ＭＳ Ｐゴシック"/>
      <family val="3"/>
      <charset val="128"/>
    </font>
    <font>
      <b/>
      <sz val="11"/>
      <name val="ＭＳ Ｐゴシック"/>
      <family val="3"/>
      <charset val="128"/>
    </font>
    <font>
      <b/>
      <sz val="11"/>
      <color indexed="10"/>
      <name val="ＭＳ Ｐゴシック"/>
      <family val="3"/>
      <charset val="128"/>
    </font>
    <font>
      <sz val="10"/>
      <name val="ＭＳ 明朝"/>
      <family val="1"/>
      <charset val="128"/>
    </font>
    <font>
      <u/>
      <sz val="11"/>
      <color indexed="12"/>
      <name val="ＭＳ ゴシック"/>
      <family val="3"/>
      <charset val="128"/>
    </font>
    <font>
      <b/>
      <sz val="12"/>
      <color indexed="10"/>
      <name val="ＭＳ Ｐゴシック"/>
      <family val="3"/>
      <charset val="128"/>
    </font>
    <font>
      <b/>
      <sz val="16"/>
      <color indexed="10"/>
      <name val="ＭＳ Ｐゴシック"/>
      <family val="3"/>
      <charset val="128"/>
    </font>
    <font>
      <sz val="11"/>
      <color indexed="10"/>
      <name val="ＭＳ Ｐゴシック"/>
      <family val="3"/>
      <charset val="128"/>
    </font>
    <font>
      <b/>
      <sz val="11"/>
      <name val="ＭＳ 明朝"/>
      <family val="1"/>
      <charset val="128"/>
    </font>
    <font>
      <b/>
      <sz val="14"/>
      <color indexed="10"/>
      <name val="ＭＳ Ｐゴシック"/>
      <family val="3"/>
      <charset val="128"/>
    </font>
    <font>
      <b/>
      <sz val="10"/>
      <name val="ＭＳ 明朝"/>
      <family val="1"/>
      <charset val="128"/>
    </font>
    <font>
      <sz val="6"/>
      <name val="ＭＳ 明朝"/>
      <family val="1"/>
      <charset val="128"/>
    </font>
    <font>
      <sz val="16"/>
      <name val="ＭＳ 明朝"/>
      <family val="1"/>
      <charset val="128"/>
    </font>
    <font>
      <sz val="14"/>
      <name val="ＭＳ 明朝"/>
      <family val="1"/>
      <charset val="128"/>
    </font>
    <font>
      <b/>
      <sz val="14"/>
      <name val="ＭＳ 明朝"/>
      <family val="1"/>
      <charset val="128"/>
    </font>
    <font>
      <sz val="18"/>
      <name val="ＭＳ 明朝"/>
      <family val="1"/>
      <charset val="128"/>
    </font>
    <font>
      <sz val="12"/>
      <name val="ＭＳ 明朝"/>
      <family val="1"/>
      <charset val="128"/>
    </font>
    <font>
      <sz val="11"/>
      <color indexed="10"/>
      <name val="ＭＳ 明朝"/>
      <family val="1"/>
      <charset val="128"/>
    </font>
    <font>
      <sz val="11"/>
      <color indexed="8"/>
      <name val="ＭＳ Ｐゴシック"/>
      <family val="3"/>
      <charset val="128"/>
    </font>
    <font>
      <b/>
      <sz val="9"/>
      <name val="ＭＳ 明朝"/>
      <family val="1"/>
      <charset val="128"/>
    </font>
    <font>
      <b/>
      <u/>
      <sz val="11"/>
      <name val="ＭＳ Ｐゴシック"/>
      <family val="3"/>
      <charset val="128"/>
    </font>
    <font>
      <b/>
      <sz val="12"/>
      <name val="ＭＳ Ｐゴシック"/>
      <family val="3"/>
      <charset val="128"/>
    </font>
    <font>
      <sz val="16"/>
      <name val="ＭＳ Ｐゴシック"/>
      <family val="3"/>
      <charset val="128"/>
    </font>
    <font>
      <sz val="9"/>
      <name val="ＭＳ 明朝"/>
      <family val="1"/>
      <charset val="128"/>
    </font>
    <font>
      <b/>
      <sz val="11"/>
      <color indexed="8"/>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sz val="12"/>
      <color indexed="8"/>
      <name val="ＭＳ Ｐゴシック"/>
      <family val="3"/>
      <charset val="128"/>
    </font>
    <font>
      <b/>
      <sz val="12"/>
      <name val="ＭＳ 明朝"/>
      <family val="1"/>
      <charset val="128"/>
    </font>
    <font>
      <sz val="18"/>
      <color indexed="10"/>
      <name val="ＭＳ ゴシック"/>
      <family val="3"/>
      <charset val="128"/>
    </font>
    <font>
      <sz val="18"/>
      <name val="ＭＳ ゴシック"/>
      <family val="3"/>
      <charset val="128"/>
    </font>
    <font>
      <sz val="12"/>
      <color indexed="12"/>
      <name val="ＭＳ 明朝"/>
      <family val="1"/>
      <charset val="128"/>
    </font>
    <font>
      <b/>
      <sz val="12"/>
      <color indexed="10"/>
      <name val="ＭＳ 明朝"/>
      <family val="1"/>
      <charset val="128"/>
    </font>
    <font>
      <sz val="12"/>
      <color indexed="10"/>
      <name val="ＭＳ Ｐゴシック"/>
      <family val="3"/>
      <charset val="128"/>
    </font>
    <font>
      <b/>
      <sz val="16"/>
      <name val="ＭＳ 明朝"/>
      <family val="1"/>
      <charset val="128"/>
    </font>
    <font>
      <sz val="18"/>
      <color indexed="8"/>
      <name val="ＭＳ 明朝"/>
      <family val="1"/>
      <charset val="128"/>
    </font>
    <font>
      <b/>
      <sz val="18"/>
      <name val="ＭＳ 明朝"/>
      <family val="1"/>
      <charset val="128"/>
    </font>
    <font>
      <u/>
      <sz val="11"/>
      <name val="ＭＳ Ｐゴシック"/>
      <family val="3"/>
      <charset val="128"/>
    </font>
    <font>
      <sz val="11"/>
      <color indexed="12"/>
      <name val="ＭＳ Ｐ明朝"/>
      <family val="1"/>
      <charset val="128"/>
    </font>
    <font>
      <b/>
      <sz val="12"/>
      <color indexed="10"/>
      <name val="ＭＳ ゴシック"/>
      <family val="3"/>
      <charset val="128"/>
    </font>
    <font>
      <sz val="12"/>
      <color indexed="16"/>
      <name val="ＭＳ Ｐ明朝"/>
      <family val="1"/>
      <charset val="128"/>
    </font>
    <font>
      <sz val="11"/>
      <color indexed="16"/>
      <name val="ＭＳ Ｐ明朝"/>
      <family val="1"/>
      <charset val="128"/>
    </font>
    <font>
      <sz val="10"/>
      <color indexed="16"/>
      <name val="ＭＳ Ｐ明朝"/>
      <family val="1"/>
      <charset val="128"/>
    </font>
    <font>
      <sz val="11"/>
      <color indexed="12"/>
      <name val="ＭＳ 明朝"/>
      <family val="1"/>
      <charset val="128"/>
    </font>
    <font>
      <sz val="8"/>
      <name val="ＭＳ 明朝"/>
      <family val="1"/>
      <charset val="128"/>
    </font>
    <font>
      <sz val="8"/>
      <name val="ＭＳ Ｐゴシック"/>
      <family val="3"/>
      <charset val="128"/>
    </font>
    <font>
      <sz val="11"/>
      <color indexed="9"/>
      <name val="ＭＳ Ｐゴシック"/>
      <family val="3"/>
      <charset val="128"/>
    </font>
    <font>
      <b/>
      <sz val="9"/>
      <color theme="0"/>
      <name val="ＭＳ 明朝"/>
      <family val="1"/>
      <charset val="128"/>
    </font>
    <font>
      <sz val="11"/>
      <color theme="0"/>
      <name val="ＭＳ 明朝"/>
      <family val="1"/>
      <charset val="128"/>
    </font>
    <font>
      <b/>
      <sz val="12"/>
      <color theme="0"/>
      <name val="ＭＳ 明朝"/>
      <family val="1"/>
      <charset val="128"/>
    </font>
    <font>
      <sz val="10"/>
      <color theme="0"/>
      <name val="ＭＳ 明朝"/>
      <family val="1"/>
      <charset val="128"/>
    </font>
    <font>
      <sz val="9"/>
      <color theme="0"/>
      <name val="ＭＳ 明朝"/>
      <family val="1"/>
      <charset val="128"/>
    </font>
    <font>
      <u/>
      <sz val="10"/>
      <color rgb="FFFF0000"/>
      <name val="ＭＳ 明朝"/>
      <family val="1"/>
      <charset val="128"/>
    </font>
    <font>
      <sz val="9.5"/>
      <name val="ＭＳ 明朝"/>
      <family val="1"/>
      <charset val="128"/>
    </font>
    <font>
      <b/>
      <sz val="10"/>
      <color rgb="FFFFFF99"/>
      <name val="ＭＳ 明朝"/>
      <family val="1"/>
      <charset val="128"/>
    </font>
    <font>
      <b/>
      <sz val="11"/>
      <color rgb="FFFFFF99"/>
      <name val="ＭＳ 明朝"/>
      <family val="1"/>
      <charset val="128"/>
    </font>
    <font>
      <b/>
      <sz val="10"/>
      <color rgb="FFFF0000"/>
      <name val="ＭＳ 明朝"/>
      <family val="1"/>
      <charset val="128"/>
    </font>
  </fonts>
  <fills count="1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16"/>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11"/>
        <bgColor indexed="64"/>
      </patternFill>
    </fill>
    <fill>
      <patternFill patternType="solid">
        <fgColor indexed="55"/>
        <bgColor indexed="64"/>
      </patternFill>
    </fill>
    <fill>
      <patternFill patternType="solid">
        <fgColor rgb="FFFF0000"/>
        <bgColor indexed="64"/>
      </patternFill>
    </fill>
    <fill>
      <patternFill patternType="solid">
        <fgColor rgb="FFFFFF99"/>
        <bgColor indexed="64"/>
      </patternFill>
    </fill>
  </fills>
  <borders count="14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hair">
        <color indexed="64"/>
      </right>
      <top/>
      <bottom style="hair">
        <color indexed="64"/>
      </bottom>
      <diagonal/>
    </border>
    <border>
      <left/>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right/>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medium">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16"/>
      </left>
      <right style="hair">
        <color indexed="16"/>
      </right>
      <top style="hair">
        <color indexed="16"/>
      </top>
      <bottom style="medium">
        <color indexed="16"/>
      </bottom>
      <diagonal/>
    </border>
    <border>
      <left style="medium">
        <color indexed="64"/>
      </left>
      <right style="medium">
        <color indexed="64"/>
      </right>
      <top style="medium">
        <color indexed="64"/>
      </top>
      <bottom style="medium">
        <color indexed="64"/>
      </bottom>
      <diagonal/>
    </border>
    <border>
      <left/>
      <right/>
      <top/>
      <bottom style="hair">
        <color indexed="16"/>
      </bottom>
      <diagonal/>
    </border>
    <border>
      <left/>
      <right/>
      <top style="hair">
        <color indexed="16"/>
      </top>
      <bottom style="hair">
        <color indexed="16"/>
      </bottom>
      <diagonal/>
    </border>
    <border>
      <left style="hair">
        <color indexed="16"/>
      </left>
      <right style="hair">
        <color indexed="16"/>
      </right>
      <top style="medium">
        <color indexed="64"/>
      </top>
      <bottom style="hair">
        <color indexed="16"/>
      </bottom>
      <diagonal/>
    </border>
    <border>
      <left style="hair">
        <color indexed="16"/>
      </left>
      <right style="medium">
        <color indexed="64"/>
      </right>
      <top style="hair">
        <color indexed="16"/>
      </top>
      <bottom style="medium">
        <color indexed="16"/>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16"/>
      </top>
      <bottom style="thin">
        <color indexed="64"/>
      </bottom>
      <diagonal/>
    </border>
    <border>
      <left style="medium">
        <color indexed="64"/>
      </left>
      <right/>
      <top/>
      <bottom style="thin">
        <color indexed="64"/>
      </bottom>
      <diagonal/>
    </border>
    <border>
      <left/>
      <right style="medium">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medium">
        <color indexed="64"/>
      </right>
      <top/>
      <bottom/>
      <diagonal/>
    </border>
    <border>
      <left style="hair">
        <color indexed="64"/>
      </left>
      <right style="hair">
        <color indexed="64"/>
      </right>
      <top style="medium">
        <color indexed="16"/>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double">
        <color indexed="64"/>
      </top>
      <bottom style="medium">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16"/>
      </left>
      <right style="hair">
        <color indexed="16"/>
      </right>
      <top style="medium">
        <color indexed="64"/>
      </top>
      <bottom/>
      <diagonal/>
    </border>
    <border>
      <left style="hair">
        <color indexed="16"/>
      </left>
      <right style="hair">
        <color indexed="16"/>
      </right>
      <top/>
      <bottom style="medium">
        <color indexed="16"/>
      </bottom>
      <diagonal/>
    </border>
    <border>
      <left style="hair">
        <color indexed="16"/>
      </left>
      <right style="medium">
        <color indexed="64"/>
      </right>
      <top style="medium">
        <color indexed="64"/>
      </top>
      <bottom style="hair">
        <color indexed="16"/>
      </bottom>
      <diagonal/>
    </border>
    <border>
      <left style="medium">
        <color indexed="64"/>
      </left>
      <right style="hair">
        <color indexed="16"/>
      </right>
      <top style="medium">
        <color indexed="64"/>
      </top>
      <bottom style="hair">
        <color indexed="16"/>
      </bottom>
      <diagonal/>
    </border>
    <border>
      <left style="medium">
        <color indexed="64"/>
      </left>
      <right style="hair">
        <color indexed="16"/>
      </right>
      <top style="hair">
        <color indexed="16"/>
      </top>
      <bottom style="medium">
        <color indexed="16"/>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16"/>
      </right>
      <top style="medium">
        <color indexed="64"/>
      </top>
      <bottom/>
      <diagonal/>
    </border>
    <border>
      <left style="medium">
        <color indexed="64"/>
      </left>
      <right style="hair">
        <color indexed="16"/>
      </right>
      <top/>
      <bottom style="medium">
        <color indexed="16"/>
      </bottom>
      <diagonal/>
    </border>
    <border>
      <left style="hair">
        <color indexed="16"/>
      </left>
      <right style="medium">
        <color indexed="64"/>
      </right>
      <top style="medium">
        <color indexed="64"/>
      </top>
      <bottom/>
      <diagonal/>
    </border>
    <border>
      <left style="hair">
        <color indexed="16"/>
      </left>
      <right style="medium">
        <color indexed="64"/>
      </right>
      <top/>
      <bottom style="medium">
        <color indexed="16"/>
      </bottom>
      <diagonal/>
    </border>
    <border>
      <left style="hair">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bottom style="medium">
        <color indexed="64"/>
      </bottom>
      <diagonal/>
    </border>
  </borders>
  <cellStyleXfs count="10">
    <xf numFmtId="0" fontId="0" fillId="0" borderId="0">
      <alignment vertical="center"/>
    </xf>
    <xf numFmtId="0" fontId="3" fillId="0" borderId="0" applyNumberFormat="0" applyFill="0" applyBorder="0" applyAlignment="0" applyProtection="0">
      <alignment vertical="top"/>
      <protection locked="0"/>
    </xf>
    <xf numFmtId="0" fontId="2" fillId="0" borderId="0">
      <alignment vertical="center"/>
    </xf>
    <xf numFmtId="0" fontId="24" fillId="0" borderId="0" applyNumberFormat="0" applyFont="0" applyFill="0" applyBorder="0" applyProtection="0">
      <alignment vertical="center"/>
    </xf>
    <xf numFmtId="0" fontId="7" fillId="0" borderId="0">
      <alignment vertical="center"/>
    </xf>
    <xf numFmtId="0" fontId="2" fillId="0" borderId="0"/>
    <xf numFmtId="0" fontId="1" fillId="0" borderId="0"/>
    <xf numFmtId="0" fontId="2" fillId="0" borderId="0"/>
    <xf numFmtId="0" fontId="1" fillId="0" borderId="0"/>
    <xf numFmtId="0" fontId="1" fillId="0" borderId="0"/>
  </cellStyleXfs>
  <cellXfs count="879">
    <xf numFmtId="0" fontId="0" fillId="0" borderId="0" xfId="0">
      <alignment vertical="center"/>
    </xf>
    <xf numFmtId="49" fontId="0" fillId="0" borderId="0" xfId="0" applyNumberFormat="1">
      <alignment vertical="center"/>
    </xf>
    <xf numFmtId="0" fontId="0" fillId="0" borderId="0" xfId="0" applyNumberFormat="1">
      <alignment vertical="center"/>
    </xf>
    <xf numFmtId="0" fontId="0" fillId="0" borderId="0" xfId="0" applyAlignment="1">
      <alignment horizontal="left" vertical="center"/>
    </xf>
    <xf numFmtId="0" fontId="7" fillId="0" borderId="0" xfId="7" applyFont="1" applyProtection="1">
      <protection hidden="1"/>
    </xf>
    <xf numFmtId="49" fontId="7" fillId="0" borderId="0" xfId="7" applyNumberFormat="1" applyFont="1" applyProtection="1">
      <protection hidden="1"/>
    </xf>
    <xf numFmtId="0" fontId="7" fillId="0" borderId="0" xfId="0" applyFont="1" applyProtection="1">
      <alignment vertical="center"/>
      <protection hidden="1"/>
    </xf>
    <xf numFmtId="0" fontId="7" fillId="0" borderId="1" xfId="7" applyFont="1" applyBorder="1" applyAlignment="1" applyProtection="1">
      <alignment shrinkToFit="1"/>
      <protection hidden="1"/>
    </xf>
    <xf numFmtId="0" fontId="7" fillId="0" borderId="2" xfId="7" applyFont="1" applyBorder="1" applyAlignment="1" applyProtection="1">
      <alignment shrinkToFit="1"/>
      <protection hidden="1"/>
    </xf>
    <xf numFmtId="49" fontId="7" fillId="0" borderId="0" xfId="7" applyNumberFormat="1" applyFont="1" applyFill="1" applyAlignment="1" applyProtection="1">
      <alignment shrinkToFit="1"/>
      <protection hidden="1"/>
    </xf>
    <xf numFmtId="0" fontId="7" fillId="0" borderId="0" xfId="7" applyFont="1" applyAlignment="1" applyProtection="1">
      <alignment shrinkToFit="1"/>
      <protection hidden="1"/>
    </xf>
    <xf numFmtId="49" fontId="7" fillId="0" borderId="0" xfId="7" applyNumberFormat="1" applyFont="1" applyFill="1" applyAlignment="1" applyProtection="1">
      <alignment shrinkToFit="1"/>
      <protection locked="0" hidden="1"/>
    </xf>
    <xf numFmtId="0" fontId="7" fillId="0" borderId="3" xfId="7" applyFont="1" applyBorder="1" applyAlignment="1" applyProtection="1">
      <alignment shrinkToFit="1"/>
      <protection hidden="1"/>
    </xf>
    <xf numFmtId="0" fontId="11" fillId="0" borderId="0" xfId="7" applyFont="1" applyAlignment="1" applyProtection="1">
      <alignment horizontal="center"/>
      <protection hidden="1"/>
    </xf>
    <xf numFmtId="49" fontId="7" fillId="0" borderId="0" xfId="7" applyNumberFormat="1" applyFont="1" applyAlignment="1" applyProtection="1">
      <alignment horizontal="right" shrinkToFit="1"/>
      <protection hidden="1"/>
    </xf>
    <xf numFmtId="49" fontId="7" fillId="2" borderId="4" xfId="7" applyNumberFormat="1" applyFont="1" applyFill="1" applyBorder="1" applyAlignment="1" applyProtection="1">
      <alignment horizontal="right" shrinkToFit="1"/>
      <protection locked="0" hidden="1"/>
    </xf>
    <xf numFmtId="0" fontId="11" fillId="0" borderId="0" xfId="0" applyFont="1" applyAlignment="1" applyProtection="1">
      <alignment horizontal="center" vertical="center"/>
      <protection hidden="1"/>
    </xf>
    <xf numFmtId="0" fontId="7" fillId="0" borderId="5" xfId="7" applyFont="1" applyFill="1" applyBorder="1" applyProtection="1">
      <protection hidden="1"/>
    </xf>
    <xf numFmtId="0" fontId="7" fillId="0" borderId="3" xfId="7" applyFont="1" applyFill="1" applyBorder="1" applyProtection="1">
      <protection hidden="1"/>
    </xf>
    <xf numFmtId="0" fontId="7" fillId="0" borderId="1" xfId="7" applyFont="1" applyFill="1" applyBorder="1" applyProtection="1">
      <protection hidden="1"/>
    </xf>
    <xf numFmtId="0" fontId="7" fillId="0" borderId="2" xfId="7" applyFont="1" applyFill="1" applyBorder="1" applyProtection="1">
      <protection hidden="1"/>
    </xf>
    <xf numFmtId="49" fontId="7" fillId="0" borderId="0" xfId="7" applyNumberFormat="1" applyFont="1" applyAlignment="1" applyProtection="1">
      <alignment horizontal="right" shrinkToFit="1"/>
      <protection locked="0" hidden="1"/>
    </xf>
    <xf numFmtId="0" fontId="12" fillId="0" borderId="0" xfId="1" applyFont="1" applyAlignment="1" applyProtection="1">
      <alignment vertical="center"/>
    </xf>
    <xf numFmtId="0" fontId="13" fillId="0" borderId="0" xfId="0" applyFont="1">
      <alignment vertical="center"/>
    </xf>
    <xf numFmtId="0" fontId="3" fillId="0" borderId="0" xfId="1" applyAlignment="1" applyProtection="1">
      <alignment vertical="center"/>
    </xf>
    <xf numFmtId="0" fontId="7" fillId="0" borderId="3" xfId="7" applyFont="1" applyFill="1" applyBorder="1" applyAlignment="1" applyProtection="1">
      <alignment shrinkToFit="1"/>
      <protection hidden="1"/>
    </xf>
    <xf numFmtId="0" fontId="7" fillId="0" borderId="0" xfId="7" applyFont="1" applyAlignment="1" applyProtection="1">
      <alignment horizontal="center"/>
      <protection hidden="1"/>
    </xf>
    <xf numFmtId="0" fontId="7" fillId="0" borderId="3" xfId="7" applyFont="1" applyFill="1" applyBorder="1" applyAlignment="1" applyProtection="1">
      <alignment horizontal="center"/>
      <protection hidden="1"/>
    </xf>
    <xf numFmtId="0" fontId="14" fillId="0" borderId="0" xfId="0" applyFont="1">
      <alignment vertical="center"/>
    </xf>
    <xf numFmtId="49" fontId="11" fillId="3" borderId="6" xfId="7" applyNumberFormat="1" applyFont="1" applyFill="1" applyBorder="1" applyAlignment="1" applyProtection="1">
      <alignment horizontal="center" vertical="center" shrinkToFit="1"/>
      <protection hidden="1"/>
    </xf>
    <xf numFmtId="0" fontId="15" fillId="0" borderId="0" xfId="0" applyFont="1">
      <alignment vertical="center"/>
    </xf>
    <xf numFmtId="0" fontId="7" fillId="0" borderId="0" xfId="9" applyFont="1" applyProtection="1">
      <protection hidden="1"/>
    </xf>
    <xf numFmtId="49" fontId="7" fillId="0" borderId="0" xfId="9" applyNumberFormat="1" applyFont="1" applyProtection="1">
      <protection hidden="1"/>
    </xf>
    <xf numFmtId="0" fontId="7" fillId="0" borderId="0" xfId="9" applyFont="1" applyAlignment="1" applyProtection="1">
      <alignment shrinkToFit="1"/>
      <protection hidden="1"/>
    </xf>
    <xf numFmtId="49" fontId="7" fillId="0" borderId="0" xfId="9" applyNumberFormat="1" applyFont="1" applyAlignment="1" applyProtection="1">
      <alignment horizontal="right" shrinkToFit="1"/>
      <protection hidden="1"/>
    </xf>
    <xf numFmtId="49" fontId="7" fillId="0" borderId="0" xfId="9" applyNumberFormat="1" applyFont="1" applyFill="1" applyAlignment="1" applyProtection="1">
      <alignment shrinkToFit="1"/>
      <protection hidden="1"/>
    </xf>
    <xf numFmtId="0" fontId="8" fillId="0" borderId="0" xfId="0" applyFont="1">
      <alignment vertical="center"/>
    </xf>
    <xf numFmtId="49" fontId="0" fillId="0" borderId="10" xfId="0" applyNumberFormat="1" applyBorder="1">
      <alignment vertical="center"/>
    </xf>
    <xf numFmtId="0" fontId="0" fillId="0" borderId="11" xfId="0" applyBorder="1">
      <alignment vertical="center"/>
    </xf>
    <xf numFmtId="0" fontId="0" fillId="0" borderId="11" xfId="0" applyNumberFormat="1" applyBorder="1">
      <alignment vertical="center"/>
    </xf>
    <xf numFmtId="0" fontId="0" fillId="0" borderId="10" xfId="0" applyBorder="1">
      <alignment vertical="center"/>
    </xf>
    <xf numFmtId="0" fontId="0" fillId="0" borderId="12" xfId="0" applyNumberFormat="1" applyBorder="1">
      <alignment vertical="center"/>
    </xf>
    <xf numFmtId="0" fontId="0" fillId="0" borderId="13" xfId="0" applyBorder="1">
      <alignment vertical="center"/>
    </xf>
    <xf numFmtId="0" fontId="0" fillId="0" borderId="12" xfId="0" applyBorder="1">
      <alignment vertical="center"/>
    </xf>
    <xf numFmtId="49" fontId="0" fillId="0" borderId="13" xfId="0" applyNumberFormat="1" applyBorder="1">
      <alignment vertical="center"/>
    </xf>
    <xf numFmtId="0" fontId="0" fillId="0" borderId="14" xfId="0" applyBorder="1">
      <alignment vertical="center"/>
    </xf>
    <xf numFmtId="0" fontId="0" fillId="0" borderId="15" xfId="0" applyBorder="1">
      <alignment vertical="center"/>
    </xf>
    <xf numFmtId="49" fontId="0" fillId="0" borderId="14" xfId="0" applyNumberFormat="1" applyBorder="1">
      <alignment vertical="center"/>
    </xf>
    <xf numFmtId="0" fontId="0" fillId="4" borderId="10" xfId="0" applyFill="1" applyBorder="1">
      <alignment vertical="center"/>
    </xf>
    <xf numFmtId="0" fontId="0" fillId="0" borderId="15" xfId="0" applyNumberFormat="1" applyBorder="1">
      <alignment vertical="center"/>
    </xf>
    <xf numFmtId="49" fontId="0" fillId="0" borderId="11" xfId="0" applyNumberFormat="1" applyBorder="1">
      <alignment vertical="center"/>
    </xf>
    <xf numFmtId="0" fontId="0" fillId="0" borderId="16" xfId="0" applyBorder="1">
      <alignment vertical="center"/>
    </xf>
    <xf numFmtId="0" fontId="9" fillId="0" borderId="0" xfId="0" applyFont="1">
      <alignment vertical="center"/>
    </xf>
    <xf numFmtId="0" fontId="7" fillId="0" borderId="17" xfId="7" applyFont="1" applyFill="1" applyBorder="1" applyProtection="1">
      <protection hidden="1"/>
    </xf>
    <xf numFmtId="0" fontId="17" fillId="0" borderId="0" xfId="0" applyFont="1">
      <alignment vertical="center"/>
    </xf>
    <xf numFmtId="0" fontId="11" fillId="0" borderId="7" xfId="0" applyFont="1" applyBorder="1" applyAlignment="1" applyProtection="1">
      <alignment horizontal="center" vertical="center"/>
      <protection hidden="1"/>
    </xf>
    <xf numFmtId="0" fontId="7" fillId="0" borderId="0" xfId="7" applyFont="1" applyBorder="1" applyProtection="1">
      <protection hidden="1"/>
    </xf>
    <xf numFmtId="49" fontId="7" fillId="2" borderId="19" xfId="7" applyNumberFormat="1" applyFont="1" applyFill="1" applyBorder="1" applyAlignment="1" applyProtection="1">
      <alignment horizontal="right" shrinkToFit="1"/>
      <protection locked="0" hidden="1"/>
    </xf>
    <xf numFmtId="49" fontId="7" fillId="2" borderId="20" xfId="7" applyNumberFormat="1" applyFont="1" applyFill="1" applyBorder="1" applyAlignment="1" applyProtection="1">
      <alignment horizontal="right" shrinkToFit="1"/>
      <protection locked="0" hidden="1"/>
    </xf>
    <xf numFmtId="0" fontId="7" fillId="0" borderId="0" xfId="7" applyFont="1" applyAlignment="1" applyProtection="1">
      <alignment horizontal="right"/>
      <protection hidden="1"/>
    </xf>
    <xf numFmtId="0" fontId="26" fillId="0" borderId="0" xfId="0" applyFont="1">
      <alignment vertical="center"/>
    </xf>
    <xf numFmtId="0" fontId="29" fillId="0" borderId="0" xfId="0" applyFont="1">
      <alignment vertical="center"/>
    </xf>
    <xf numFmtId="49"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13" xfId="0" applyNumberFormat="1" applyBorder="1" applyAlignment="1">
      <alignment horizontal="left" vertical="center"/>
    </xf>
    <xf numFmtId="0" fontId="0" fillId="0" borderId="13" xfId="0" applyBorder="1" applyAlignment="1">
      <alignment horizontal="left" vertical="center"/>
    </xf>
    <xf numFmtId="49" fontId="0" fillId="0" borderId="13" xfId="0" applyNumberFormat="1" applyBorder="1" applyAlignment="1">
      <alignment horizontal="left" vertical="center"/>
    </xf>
    <xf numFmtId="0" fontId="0" fillId="0" borderId="14" xfId="0" applyBorder="1" applyAlignment="1">
      <alignment horizontal="left" vertical="center"/>
    </xf>
    <xf numFmtId="49" fontId="0" fillId="0" borderId="14" xfId="0" applyNumberFormat="1" applyBorder="1" applyAlignment="1">
      <alignment horizontal="left" vertical="center"/>
    </xf>
    <xf numFmtId="49" fontId="0" fillId="0" borderId="0" xfId="0" applyNumberFormat="1" applyAlignment="1">
      <alignment horizontal="left" vertical="center"/>
    </xf>
    <xf numFmtId="0" fontId="0" fillId="4" borderId="10" xfId="0" applyFill="1" applyBorder="1" applyAlignment="1">
      <alignment horizontal="left" vertical="center"/>
    </xf>
    <xf numFmtId="0" fontId="0" fillId="0" borderId="15" xfId="0" applyNumberFormat="1" applyFill="1" applyBorder="1">
      <alignment vertical="center"/>
    </xf>
    <xf numFmtId="0" fontId="0" fillId="0" borderId="0" xfId="0" applyNumberFormat="1" applyAlignment="1">
      <alignment horizontal="left" vertical="center"/>
    </xf>
    <xf numFmtId="0" fontId="7" fillId="0" borderId="0" xfId="7" applyFont="1" applyAlignment="1" applyProtection="1">
      <alignment horizontal="left"/>
      <protection hidden="1"/>
    </xf>
    <xf numFmtId="0" fontId="7" fillId="0" borderId="21" xfId="8" applyFont="1" applyBorder="1" applyAlignment="1" applyProtection="1">
      <alignment horizontal="center"/>
      <protection hidden="1"/>
    </xf>
    <xf numFmtId="0" fontId="2" fillId="0" borderId="0" xfId="0" applyFont="1" applyBorder="1" applyAlignment="1">
      <alignment horizontal="left" vertical="center"/>
    </xf>
    <xf numFmtId="0" fontId="4" fillId="0" borderId="0" xfId="5" applyFont="1" applyBorder="1" applyAlignment="1">
      <alignment horizontal="center"/>
    </xf>
    <xf numFmtId="0" fontId="0" fillId="0" borderId="0" xfId="0" applyBorder="1">
      <alignment vertical="center"/>
    </xf>
    <xf numFmtId="0" fontId="4" fillId="0" borderId="0" xfId="5" applyFont="1" applyBorder="1"/>
    <xf numFmtId="0" fontId="0" fillId="0" borderId="0" xfId="0" applyFill="1" applyBorder="1">
      <alignment vertical="center"/>
    </xf>
    <xf numFmtId="0" fontId="2" fillId="0" borderId="0" xfId="5" applyFont="1" applyBorder="1" applyAlignment="1">
      <alignment horizontal="left"/>
    </xf>
    <xf numFmtId="0" fontId="2" fillId="0" borderId="0" xfId="0" applyFont="1" applyBorder="1">
      <alignment vertical="center"/>
    </xf>
    <xf numFmtId="0" fontId="2" fillId="0" borderId="0" xfId="5" applyFont="1" applyBorder="1"/>
    <xf numFmtId="0" fontId="4" fillId="0" borderId="0" xfId="5" applyFont="1" applyBorder="1" applyAlignment="1"/>
    <xf numFmtId="0" fontId="0" fillId="0" borderId="22" xfId="0" applyBorder="1" applyAlignment="1">
      <alignment horizontal="left" vertical="center"/>
    </xf>
    <xf numFmtId="0" fontId="0" fillId="0" borderId="22" xfId="0" applyBorder="1">
      <alignment vertical="center"/>
    </xf>
    <xf numFmtId="0" fontId="0" fillId="0" borderId="12" xfId="0" applyNumberFormat="1" applyFill="1" applyBorder="1">
      <alignment vertical="center"/>
    </xf>
    <xf numFmtId="0" fontId="7" fillId="0" borderId="0" xfId="7" applyFont="1"/>
    <xf numFmtId="0" fontId="0" fillId="0" borderId="10" xfId="0" applyNumberFormat="1" applyBorder="1" applyAlignment="1">
      <alignment horizontal="left" vertical="center"/>
    </xf>
    <xf numFmtId="0" fontId="7" fillId="0" borderId="23" xfId="7" applyFont="1" applyFill="1" applyBorder="1" applyProtection="1">
      <protection hidden="1"/>
    </xf>
    <xf numFmtId="0" fontId="11" fillId="0" borderId="0" xfId="7" applyFont="1" applyAlignment="1" applyProtection="1">
      <alignment horizontal="center" vertical="center"/>
      <protection hidden="1"/>
    </xf>
    <xf numFmtId="0" fontId="11" fillId="0" borderId="7" xfId="7" applyFont="1" applyBorder="1" applyAlignment="1" applyProtection="1">
      <alignment horizontal="center" vertical="center"/>
      <protection hidden="1"/>
    </xf>
    <xf numFmtId="0" fontId="11" fillId="3" borderId="24" xfId="7" applyFont="1" applyFill="1" applyBorder="1" applyAlignment="1" applyProtection="1">
      <alignment horizontal="center" vertical="center" shrinkToFit="1"/>
      <protection hidden="1"/>
    </xf>
    <xf numFmtId="0" fontId="11" fillId="0" borderId="18" xfId="7" applyFont="1" applyBorder="1" applyAlignment="1" applyProtection="1">
      <alignment horizontal="center" vertical="center"/>
      <protection hidden="1"/>
    </xf>
    <xf numFmtId="49" fontId="0" fillId="0" borderId="26" xfId="0" applyNumberFormat="1" applyBorder="1" applyAlignment="1">
      <alignment horizontal="left" vertical="center"/>
    </xf>
    <xf numFmtId="0" fontId="0" fillId="0" borderId="26" xfId="0" applyNumberFormat="1" applyFill="1" applyBorder="1">
      <alignment vertical="center"/>
    </xf>
    <xf numFmtId="49" fontId="0" fillId="0" borderId="26" xfId="0" applyNumberFormat="1" applyBorder="1">
      <alignment vertical="center"/>
    </xf>
    <xf numFmtId="0" fontId="0" fillId="0" borderId="26" xfId="0" applyNumberFormat="1" applyBorder="1">
      <alignment vertical="center"/>
    </xf>
    <xf numFmtId="49" fontId="7" fillId="0" borderId="0" xfId="7" applyNumberFormat="1" applyFont="1" applyFill="1" applyAlignment="1" applyProtection="1">
      <alignment horizontal="center" shrinkToFit="1"/>
      <protection hidden="1"/>
    </xf>
    <xf numFmtId="0" fontId="7" fillId="0" borderId="0" xfId="7" applyFont="1" applyBorder="1" applyAlignment="1" applyProtection="1">
      <alignment horizontal="left"/>
      <protection hidden="1"/>
    </xf>
    <xf numFmtId="0" fontId="7" fillId="0" borderId="0" xfId="0" applyFont="1">
      <alignment vertical="center"/>
    </xf>
    <xf numFmtId="0" fontId="7" fillId="0" borderId="27" xfId="8" applyFont="1" applyBorder="1" applyAlignment="1" applyProtection="1">
      <alignment horizontal="center"/>
      <protection hidden="1"/>
    </xf>
    <xf numFmtId="0" fontId="7" fillId="0" borderId="28" xfId="8" applyFont="1" applyBorder="1" applyAlignment="1" applyProtection="1">
      <alignment horizontal="center"/>
      <protection hidden="1"/>
    </xf>
    <xf numFmtId="0" fontId="7" fillId="0" borderId="0" xfId="7" applyFont="1" applyFill="1" applyProtection="1">
      <protection hidden="1"/>
    </xf>
    <xf numFmtId="0" fontId="7" fillId="0" borderId="29" xfId="7" applyFont="1" applyBorder="1" applyAlignment="1" applyProtection="1">
      <alignment shrinkToFit="1"/>
      <protection hidden="1"/>
    </xf>
    <xf numFmtId="0" fontId="31" fillId="0" borderId="1" xfId="7" applyFont="1" applyFill="1" applyBorder="1" applyProtection="1">
      <protection hidden="1"/>
    </xf>
    <xf numFmtId="0" fontId="31" fillId="0" borderId="2" xfId="7" applyFont="1" applyFill="1" applyBorder="1" applyProtection="1">
      <protection hidden="1"/>
    </xf>
    <xf numFmtId="0" fontId="0" fillId="0" borderId="26" xfId="0" applyBorder="1">
      <alignment vertical="center"/>
    </xf>
    <xf numFmtId="0" fontId="0" fillId="0" borderId="26" xfId="0" applyBorder="1" applyAlignment="1">
      <alignment horizontal="center" vertical="center"/>
    </xf>
    <xf numFmtId="0" fontId="32" fillId="0" borderId="0" xfId="0" applyFont="1">
      <alignment vertical="center"/>
    </xf>
    <xf numFmtId="0" fontId="1" fillId="0" borderId="0" xfId="0" applyFont="1">
      <alignment vertical="center"/>
    </xf>
    <xf numFmtId="0" fontId="33" fillId="0" borderId="0" xfId="0" applyFont="1">
      <alignment vertical="center"/>
    </xf>
    <xf numFmtId="0" fontId="0" fillId="0" borderId="0" xfId="0" applyFill="1">
      <alignment vertical="center"/>
    </xf>
    <xf numFmtId="0" fontId="30" fillId="0" borderId="0" xfId="0" applyFont="1">
      <alignment vertical="center"/>
    </xf>
    <xf numFmtId="0" fontId="34" fillId="0" borderId="0" xfId="0" applyFont="1">
      <alignment vertical="center"/>
    </xf>
    <xf numFmtId="0" fontId="7" fillId="0" borderId="0" xfId="7" applyFont="1" applyAlignment="1" applyProtection="1">
      <alignment horizontal="center" shrinkToFit="1"/>
      <protection hidden="1"/>
    </xf>
    <xf numFmtId="0" fontId="35" fillId="0" borderId="0" xfId="0" applyFont="1">
      <alignment vertical="center"/>
    </xf>
    <xf numFmtId="0" fontId="33" fillId="0" borderId="16" xfId="0" applyFont="1" applyBorder="1">
      <alignment vertical="center"/>
    </xf>
    <xf numFmtId="0" fontId="26" fillId="0" borderId="16" xfId="0" applyFont="1" applyBorder="1">
      <alignment vertical="center"/>
    </xf>
    <xf numFmtId="0" fontId="36" fillId="0" borderId="0" xfId="0" applyFont="1">
      <alignment vertical="center"/>
    </xf>
    <xf numFmtId="0" fontId="0" fillId="4" borderId="0" xfId="0" applyFill="1">
      <alignment vertical="center"/>
    </xf>
    <xf numFmtId="0" fontId="0" fillId="4" borderId="0" xfId="0" applyFill="1" applyAlignment="1">
      <alignment horizontal="center" vertical="center"/>
    </xf>
    <xf numFmtId="0" fontId="7" fillId="0" borderId="1" xfId="7" applyFont="1" applyBorder="1" applyProtection="1">
      <protection hidden="1"/>
    </xf>
    <xf numFmtId="0" fontId="7" fillId="0" borderId="2" xfId="7" applyFont="1" applyBorder="1" applyProtection="1">
      <protection hidden="1"/>
    </xf>
    <xf numFmtId="49" fontId="11" fillId="0" borderId="30" xfId="7" applyNumberFormat="1" applyFont="1" applyFill="1" applyBorder="1" applyAlignment="1" applyProtection="1">
      <alignment horizontal="center" vertical="center" shrinkToFit="1"/>
      <protection hidden="1"/>
    </xf>
    <xf numFmtId="0" fontId="11" fillId="0" borderId="31" xfId="7" applyFont="1" applyBorder="1" applyAlignment="1" applyProtection="1">
      <alignment horizontal="center" vertical="center" shrinkToFit="1"/>
      <protection hidden="1"/>
    </xf>
    <xf numFmtId="49" fontId="11" fillId="0" borderId="32" xfId="7" applyNumberFormat="1" applyFont="1" applyBorder="1" applyAlignment="1" applyProtection="1">
      <alignment horizontal="center" vertical="center" shrinkToFit="1"/>
      <protection hidden="1"/>
    </xf>
    <xf numFmtId="49" fontId="11" fillId="0" borderId="33" xfId="7" applyNumberFormat="1" applyFont="1" applyFill="1" applyBorder="1" applyAlignment="1" applyProtection="1">
      <alignment horizontal="center" vertical="center" shrinkToFit="1"/>
      <protection hidden="1"/>
    </xf>
    <xf numFmtId="49" fontId="11" fillId="0" borderId="34" xfId="7" applyNumberFormat="1" applyFont="1" applyBorder="1" applyAlignment="1" applyProtection="1">
      <alignment horizontal="center" vertical="center" shrinkToFit="1"/>
      <protection hidden="1"/>
    </xf>
    <xf numFmtId="49" fontId="7" fillId="0" borderId="0" xfId="7" applyNumberFormat="1" applyFont="1" applyFill="1" applyAlignment="1" applyProtection="1">
      <alignment horizontal="right" shrinkToFit="1"/>
      <protection locked="0" hidden="1"/>
    </xf>
    <xf numFmtId="0" fontId="7" fillId="0" borderId="36" xfId="8" applyFont="1" applyBorder="1" applyAlignment="1" applyProtection="1">
      <alignment horizontal="center"/>
      <protection hidden="1"/>
    </xf>
    <xf numFmtId="0" fontId="7" fillId="0" borderId="21" xfId="7" applyFont="1" applyBorder="1" applyAlignment="1" applyProtection="1">
      <alignment horizontal="center"/>
      <protection hidden="1"/>
    </xf>
    <xf numFmtId="0" fontId="24" fillId="0" borderId="0" xfId="3">
      <alignment vertical="center"/>
    </xf>
    <xf numFmtId="0" fontId="38" fillId="0" borderId="0" xfId="3" applyFont="1">
      <alignment vertical="center"/>
    </xf>
    <xf numFmtId="0" fontId="39" fillId="0" borderId="0" xfId="3" applyFont="1">
      <alignment vertical="center"/>
    </xf>
    <xf numFmtId="0" fontId="24" fillId="0" borderId="0" xfId="3" applyFont="1">
      <alignment vertical="center"/>
    </xf>
    <xf numFmtId="0" fontId="0" fillId="5" borderId="0" xfId="0" applyFill="1">
      <alignment vertical="center"/>
    </xf>
    <xf numFmtId="0" fontId="0" fillId="5" borderId="0" xfId="0" applyFill="1" applyAlignment="1">
      <alignment horizontal="center" vertical="center"/>
    </xf>
    <xf numFmtId="0" fontId="7" fillId="6" borderId="0" xfId="9" applyFont="1" applyFill="1" applyAlignment="1" applyProtection="1">
      <alignment horizontal="left"/>
      <protection hidden="1"/>
    </xf>
    <xf numFmtId="49" fontId="7" fillId="2" borderId="37" xfId="7" applyNumberFormat="1" applyFont="1" applyFill="1" applyBorder="1" applyAlignment="1" applyProtection="1">
      <alignment horizontal="right" shrinkToFit="1"/>
      <protection locked="0" hidden="1"/>
    </xf>
    <xf numFmtId="0" fontId="7" fillId="0" borderId="7" xfId="7" applyFont="1" applyBorder="1" applyAlignment="1">
      <alignment vertical="center"/>
    </xf>
    <xf numFmtId="0" fontId="11" fillId="0" borderId="38" xfId="7" applyFont="1" applyBorder="1" applyAlignment="1" applyProtection="1">
      <alignment horizontal="center" vertical="center"/>
      <protection hidden="1"/>
    </xf>
    <xf numFmtId="0" fontId="11" fillId="0" borderId="31" xfId="7" applyFont="1" applyBorder="1" applyAlignment="1" applyProtection="1">
      <alignment horizontal="center" vertical="center"/>
      <protection hidden="1"/>
    </xf>
    <xf numFmtId="49" fontId="11" fillId="0" borderId="31" xfId="7" applyNumberFormat="1" applyFont="1" applyBorder="1" applyAlignment="1" applyProtection="1">
      <alignment horizontal="center" vertical="center"/>
      <protection hidden="1"/>
    </xf>
    <xf numFmtId="0" fontId="11" fillId="6" borderId="0" xfId="7" applyFont="1" applyFill="1" applyAlignment="1" applyProtection="1">
      <alignment horizontal="left"/>
      <protection hidden="1"/>
    </xf>
    <xf numFmtId="0" fontId="22" fillId="6" borderId="0" xfId="7" applyFont="1" applyFill="1" applyAlignment="1" applyProtection="1">
      <alignment horizontal="left"/>
      <protection hidden="1"/>
    </xf>
    <xf numFmtId="0" fontId="7" fillId="6" borderId="0" xfId="7" applyFont="1" applyFill="1" applyProtection="1">
      <protection hidden="1"/>
    </xf>
    <xf numFmtId="49" fontId="7" fillId="6" borderId="0" xfId="7" applyNumberFormat="1" applyFont="1" applyFill="1" applyProtection="1">
      <protection hidden="1"/>
    </xf>
    <xf numFmtId="0" fontId="7" fillId="6" borderId="0" xfId="7" applyFont="1" applyFill="1" applyAlignment="1" applyProtection="1">
      <alignment horizontal="center"/>
      <protection hidden="1"/>
    </xf>
    <xf numFmtId="0" fontId="7" fillId="6" borderId="0" xfId="7" applyFont="1" applyFill="1" applyAlignment="1" applyProtection="1">
      <alignment horizontal="center" shrinkToFit="1"/>
      <protection hidden="1"/>
    </xf>
    <xf numFmtId="49" fontId="7" fillId="6" borderId="0" xfId="7" applyNumberFormat="1" applyFont="1" applyFill="1" applyAlignment="1" applyProtection="1">
      <alignment horizontal="right" shrinkToFit="1"/>
      <protection hidden="1"/>
    </xf>
    <xf numFmtId="49" fontId="7" fillId="6" borderId="0" xfId="7" applyNumberFormat="1" applyFont="1" applyFill="1" applyAlignment="1" applyProtection="1">
      <alignment shrinkToFit="1"/>
      <protection hidden="1"/>
    </xf>
    <xf numFmtId="0" fontId="7" fillId="6" borderId="0" xfId="7" applyFont="1" applyFill="1" applyAlignment="1" applyProtection="1">
      <alignment shrinkToFit="1"/>
      <protection hidden="1"/>
    </xf>
    <xf numFmtId="49" fontId="7" fillId="6" borderId="0" xfId="7" applyNumberFormat="1" applyFont="1" applyFill="1" applyAlignment="1" applyProtection="1">
      <alignment horizontal="center" shrinkToFit="1"/>
      <protection hidden="1"/>
    </xf>
    <xf numFmtId="0" fontId="7" fillId="6" borderId="0" xfId="0" applyFont="1" applyFill="1" applyProtection="1">
      <alignment vertical="center"/>
      <protection hidden="1"/>
    </xf>
    <xf numFmtId="0" fontId="7" fillId="6" borderId="0" xfId="7" applyFont="1" applyFill="1" applyAlignment="1" applyProtection="1">
      <alignment horizontal="left"/>
      <protection hidden="1"/>
    </xf>
    <xf numFmtId="0" fontId="27" fillId="6" borderId="0" xfId="7" applyFont="1" applyFill="1" applyAlignment="1"/>
    <xf numFmtId="0" fontId="7" fillId="6" borderId="0" xfId="7" applyFont="1" applyFill="1" applyBorder="1" applyAlignment="1" applyProtection="1">
      <alignment horizontal="left"/>
      <protection hidden="1"/>
    </xf>
    <xf numFmtId="49" fontId="27" fillId="6" borderId="0" xfId="7" applyNumberFormat="1" applyFont="1" applyFill="1" applyBorder="1" applyAlignment="1" applyProtection="1">
      <alignment horizontal="right" shrinkToFit="1"/>
      <protection hidden="1"/>
    </xf>
    <xf numFmtId="49" fontId="27" fillId="6" borderId="0" xfId="7" applyNumberFormat="1" applyFont="1" applyFill="1" applyProtection="1">
      <protection hidden="1"/>
    </xf>
    <xf numFmtId="0" fontId="27" fillId="6" borderId="0" xfId="7" applyFont="1" applyFill="1" applyAlignment="1" applyProtection="1">
      <alignment horizontal="center"/>
      <protection hidden="1"/>
    </xf>
    <xf numFmtId="0" fontId="27" fillId="6" borderId="0" xfId="0" applyFont="1" applyFill="1" applyProtection="1">
      <alignment vertical="center"/>
      <protection hidden="1"/>
    </xf>
    <xf numFmtId="0" fontId="27" fillId="6" borderId="0" xfId="7" applyFont="1" applyFill="1" applyProtection="1">
      <protection hidden="1"/>
    </xf>
    <xf numFmtId="5" fontId="27" fillId="6" borderId="0" xfId="7" applyNumberFormat="1" applyFont="1" applyFill="1" applyBorder="1" applyAlignment="1" applyProtection="1">
      <alignment horizontal="right" shrinkToFit="1"/>
      <protection hidden="1"/>
    </xf>
    <xf numFmtId="5" fontId="27" fillId="6" borderId="0" xfId="7" applyNumberFormat="1" applyFont="1" applyFill="1" applyBorder="1" applyAlignment="1" applyProtection="1">
      <alignment horizontal="center" shrinkToFit="1"/>
      <protection hidden="1"/>
    </xf>
    <xf numFmtId="49" fontId="27" fillId="6" borderId="0" xfId="7" applyNumberFormat="1" applyFont="1" applyFill="1" applyAlignment="1" applyProtection="1">
      <alignment horizontal="right" shrinkToFit="1"/>
      <protection hidden="1"/>
    </xf>
    <xf numFmtId="49" fontId="27" fillId="6" borderId="0" xfId="7" applyNumberFormat="1" applyFont="1" applyFill="1" applyAlignment="1" applyProtection="1">
      <alignment shrinkToFit="1"/>
      <protection hidden="1"/>
    </xf>
    <xf numFmtId="0" fontId="27" fillId="6" borderId="0" xfId="7" applyFont="1" applyFill="1" applyAlignment="1" applyProtection="1">
      <alignment shrinkToFit="1"/>
      <protection hidden="1"/>
    </xf>
    <xf numFmtId="5" fontId="27" fillId="6" borderId="0" xfId="7" applyNumberFormat="1" applyFont="1" applyFill="1" applyBorder="1" applyAlignment="1" applyProtection="1">
      <alignment horizontal="left" shrinkToFit="1"/>
      <protection hidden="1"/>
    </xf>
    <xf numFmtId="0" fontId="11" fillId="6" borderId="0" xfId="7" applyFont="1" applyFill="1" applyAlignment="1">
      <alignment horizontal="center"/>
    </xf>
    <xf numFmtId="0" fontId="7" fillId="6" borderId="0" xfId="7" applyFont="1" applyFill="1" applyBorder="1" applyAlignment="1" applyProtection="1">
      <alignment horizontal="center"/>
      <protection hidden="1"/>
    </xf>
    <xf numFmtId="0" fontId="11" fillId="6" borderId="0" xfId="7" applyFont="1" applyFill="1" applyBorder="1" applyAlignment="1" applyProtection="1">
      <alignment horizontal="left"/>
      <protection hidden="1"/>
    </xf>
    <xf numFmtId="0" fontId="27" fillId="6" borderId="0" xfId="7" applyFont="1" applyFill="1" applyBorder="1" applyAlignment="1" applyProtection="1">
      <alignment horizontal="center"/>
      <protection hidden="1"/>
    </xf>
    <xf numFmtId="0" fontId="27" fillId="6" borderId="0" xfId="0" applyFont="1" applyFill="1" applyBorder="1" applyProtection="1">
      <alignment vertical="center"/>
      <protection hidden="1"/>
    </xf>
    <xf numFmtId="0" fontId="27" fillId="6" borderId="0" xfId="7" applyFont="1" applyFill="1" applyBorder="1" applyProtection="1">
      <protection hidden="1"/>
    </xf>
    <xf numFmtId="49" fontId="27" fillId="6" borderId="0" xfId="7" applyNumberFormat="1" applyFont="1" applyFill="1" applyBorder="1" applyAlignment="1" applyProtection="1">
      <alignment shrinkToFit="1"/>
      <protection hidden="1"/>
    </xf>
    <xf numFmtId="0" fontId="27" fillId="6" borderId="0" xfId="7" applyFont="1" applyFill="1" applyBorder="1" applyAlignment="1" applyProtection="1">
      <alignment shrinkToFit="1"/>
      <protection hidden="1"/>
    </xf>
    <xf numFmtId="49" fontId="7" fillId="6" borderId="0" xfId="7" applyNumberFormat="1" applyFont="1" applyFill="1" applyBorder="1" applyAlignment="1" applyProtection="1">
      <alignment horizontal="right" shrinkToFit="1"/>
      <protection hidden="1"/>
    </xf>
    <xf numFmtId="49" fontId="7" fillId="6" borderId="0" xfId="7" applyNumberFormat="1" applyFont="1" applyFill="1" applyBorder="1" applyAlignment="1" applyProtection="1">
      <alignment shrinkToFit="1"/>
      <protection hidden="1"/>
    </xf>
    <xf numFmtId="0" fontId="7" fillId="6" borderId="0" xfId="7" applyFont="1" applyFill="1" applyBorder="1" applyAlignment="1" applyProtection="1">
      <alignment shrinkToFit="1"/>
      <protection hidden="1"/>
    </xf>
    <xf numFmtId="0" fontId="7" fillId="6" borderId="0" xfId="0" applyFont="1" applyFill="1" applyBorder="1" applyProtection="1">
      <alignment vertical="center"/>
      <protection hidden="1"/>
    </xf>
    <xf numFmtId="0" fontId="7" fillId="6" borderId="0" xfId="7" applyFont="1" applyFill="1" applyBorder="1" applyProtection="1">
      <protection hidden="1"/>
    </xf>
    <xf numFmtId="0" fontId="11" fillId="6" borderId="0" xfId="7" applyFont="1" applyFill="1" applyBorder="1" applyAlignment="1">
      <alignment horizontal="center"/>
    </xf>
    <xf numFmtId="0" fontId="7" fillId="6" borderId="0" xfId="7" applyFont="1" applyFill="1" applyBorder="1" applyAlignment="1" applyProtection="1">
      <protection hidden="1"/>
    </xf>
    <xf numFmtId="0" fontId="11" fillId="6" borderId="0" xfId="7" applyFont="1" applyFill="1" applyAlignment="1" applyProtection="1">
      <alignment horizontal="center" vertical="center"/>
      <protection hidden="1"/>
    </xf>
    <xf numFmtId="0" fontId="7" fillId="6" borderId="0" xfId="7" applyFont="1" applyFill="1"/>
    <xf numFmtId="0" fontId="18" fillId="6" borderId="39" xfId="7" applyFont="1" applyFill="1" applyBorder="1" applyAlignment="1" applyProtection="1">
      <alignment horizontal="center"/>
      <protection hidden="1"/>
    </xf>
    <xf numFmtId="0" fontId="7" fillId="0" borderId="1" xfId="7" applyFont="1" applyFill="1" applyBorder="1" applyAlignment="1" applyProtection="1">
      <alignment horizontal="center" shrinkToFit="1"/>
      <protection hidden="1"/>
    </xf>
    <xf numFmtId="49" fontId="7" fillId="0" borderId="41" xfId="7" applyNumberFormat="1" applyFont="1" applyFill="1" applyBorder="1" applyAlignment="1" applyProtection="1">
      <alignment shrinkToFit="1"/>
      <protection locked="0" hidden="1"/>
    </xf>
    <xf numFmtId="0" fontId="7" fillId="0" borderId="2" xfId="7" applyFont="1" applyFill="1" applyBorder="1" applyAlignment="1" applyProtection="1">
      <alignment horizontal="center" shrinkToFit="1"/>
      <protection hidden="1"/>
    </xf>
    <xf numFmtId="0" fontId="7" fillId="6" borderId="0" xfId="9" applyFont="1" applyFill="1" applyProtection="1">
      <protection hidden="1"/>
    </xf>
    <xf numFmtId="49" fontId="7" fillId="6" borderId="0" xfId="9" applyNumberFormat="1" applyFont="1" applyFill="1" applyAlignment="1" applyProtection="1">
      <alignment shrinkToFit="1"/>
      <protection hidden="1"/>
    </xf>
    <xf numFmtId="0" fontId="7" fillId="6" borderId="0" xfId="9" applyFont="1" applyFill="1" applyAlignment="1" applyProtection="1">
      <alignment shrinkToFit="1"/>
      <protection hidden="1"/>
    </xf>
    <xf numFmtId="49" fontId="7" fillId="6" borderId="0" xfId="9" applyNumberFormat="1" applyFont="1" applyFill="1" applyAlignment="1" applyProtection="1">
      <alignment horizontal="right" shrinkToFit="1"/>
      <protection hidden="1"/>
    </xf>
    <xf numFmtId="5" fontId="18" fillId="6" borderId="0" xfId="9" applyNumberFormat="1" applyFont="1" applyFill="1" applyBorder="1" applyAlignment="1" applyProtection="1">
      <alignment horizontal="center" shrinkToFit="1"/>
      <protection hidden="1"/>
    </xf>
    <xf numFmtId="49" fontId="7" fillId="0" borderId="8" xfId="7" applyNumberFormat="1" applyFont="1" applyFill="1" applyBorder="1" applyAlignment="1" applyProtection="1">
      <alignment shrinkToFit="1"/>
      <protection locked="0" hidden="1"/>
    </xf>
    <xf numFmtId="49" fontId="7" fillId="0" borderId="9" xfId="7" applyNumberFormat="1" applyFont="1" applyFill="1" applyBorder="1" applyAlignment="1" applyProtection="1">
      <alignment shrinkToFit="1"/>
      <protection locked="0" hidden="1"/>
    </xf>
    <xf numFmtId="49" fontId="7" fillId="6" borderId="0" xfId="7" applyNumberFormat="1" applyFont="1" applyFill="1" applyAlignment="1" applyProtection="1">
      <alignment horizontal="right" shrinkToFit="1"/>
      <protection locked="0" hidden="1"/>
    </xf>
    <xf numFmtId="49" fontId="7" fillId="6" borderId="0" xfId="7" applyNumberFormat="1" applyFont="1" applyFill="1" applyAlignment="1" applyProtection="1">
      <alignment shrinkToFit="1"/>
      <protection locked="0" hidden="1"/>
    </xf>
    <xf numFmtId="0" fontId="7" fillId="0" borderId="3" xfId="7" applyFont="1" applyBorder="1" applyProtection="1">
      <protection hidden="1"/>
    </xf>
    <xf numFmtId="49" fontId="7" fillId="0" borderId="44" xfId="7" applyNumberFormat="1" applyFont="1" applyFill="1" applyBorder="1" applyAlignment="1" applyProtection="1">
      <alignment shrinkToFit="1"/>
      <protection locked="0" hidden="1"/>
    </xf>
    <xf numFmtId="0" fontId="7" fillId="0" borderId="3" xfId="7" applyFont="1" applyFill="1" applyBorder="1" applyAlignment="1" applyProtection="1">
      <alignment horizontal="center" shrinkToFit="1"/>
      <protection hidden="1"/>
    </xf>
    <xf numFmtId="49" fontId="7" fillId="0" borderId="5" xfId="7" applyNumberFormat="1" applyFont="1" applyFill="1" applyBorder="1" applyAlignment="1" applyProtection="1">
      <alignment shrinkToFit="1"/>
      <protection locked="0" hidden="1"/>
    </xf>
    <xf numFmtId="49" fontId="7" fillId="0" borderId="1" xfId="7" applyNumberFormat="1" applyFont="1" applyFill="1" applyBorder="1" applyAlignment="1" applyProtection="1">
      <alignment shrinkToFit="1"/>
      <protection locked="0" hidden="1"/>
    </xf>
    <xf numFmtId="49" fontId="7" fillId="0" borderId="45" xfId="7" applyNumberFormat="1" applyFont="1" applyFill="1" applyBorder="1" applyAlignment="1" applyProtection="1">
      <alignment shrinkToFit="1"/>
      <protection locked="0" hidden="1"/>
    </xf>
    <xf numFmtId="0" fontId="7" fillId="0" borderId="1" xfId="7" applyFont="1" applyFill="1" applyBorder="1" applyAlignment="1" applyProtection="1">
      <alignment shrinkToFit="1"/>
      <protection hidden="1"/>
    </xf>
    <xf numFmtId="49" fontId="7" fillId="0" borderId="2" xfId="7" applyNumberFormat="1" applyFont="1" applyFill="1" applyBorder="1" applyAlignment="1" applyProtection="1">
      <alignment shrinkToFit="1"/>
      <protection locked="0" hidden="1"/>
    </xf>
    <xf numFmtId="49" fontId="7" fillId="0" borderId="46" xfId="7" applyNumberFormat="1" applyFont="1" applyFill="1" applyBorder="1" applyAlignment="1" applyProtection="1">
      <alignment shrinkToFit="1"/>
      <protection locked="0" hidden="1"/>
    </xf>
    <xf numFmtId="0" fontId="7" fillId="0" borderId="2" xfId="7" applyFont="1" applyFill="1" applyBorder="1" applyAlignment="1" applyProtection="1">
      <alignment shrinkToFit="1"/>
      <protection hidden="1"/>
    </xf>
    <xf numFmtId="0" fontId="16" fillId="6" borderId="0" xfId="7" applyFont="1" applyFill="1" applyAlignment="1" applyProtection="1">
      <alignment horizontal="right"/>
      <protection hidden="1"/>
    </xf>
    <xf numFmtId="5" fontId="37" fillId="6" borderId="35" xfId="7" applyNumberFormat="1" applyFont="1" applyFill="1" applyBorder="1" applyAlignment="1" applyProtection="1">
      <alignment horizontal="center" vertical="center"/>
      <protection hidden="1"/>
    </xf>
    <xf numFmtId="5" fontId="27" fillId="6" borderId="35" xfId="7" applyNumberFormat="1" applyFont="1" applyFill="1" applyBorder="1" applyAlignment="1" applyProtection="1">
      <alignment horizontal="center" shrinkToFit="1"/>
      <protection hidden="1"/>
    </xf>
    <xf numFmtId="49" fontId="18" fillId="6" borderId="0" xfId="9" applyNumberFormat="1" applyFont="1" applyFill="1" applyBorder="1" applyAlignment="1" applyProtection="1">
      <alignment shrinkToFit="1"/>
      <protection hidden="1"/>
    </xf>
    <xf numFmtId="0" fontId="7" fillId="6" borderId="0" xfId="9" applyFont="1" applyFill="1" applyBorder="1" applyAlignment="1" applyProtection="1">
      <alignment horizontal="left" shrinkToFit="1"/>
      <protection hidden="1"/>
    </xf>
    <xf numFmtId="5" fontId="7" fillId="6" borderId="0" xfId="9" applyNumberFormat="1" applyFont="1" applyFill="1" applyProtection="1">
      <protection hidden="1"/>
    </xf>
    <xf numFmtId="0" fontId="16" fillId="6" borderId="0" xfId="7" applyFont="1" applyFill="1" applyBorder="1" applyAlignment="1" applyProtection="1">
      <alignment horizontal="right"/>
      <protection hidden="1"/>
    </xf>
    <xf numFmtId="0" fontId="3" fillId="0" borderId="0" xfId="1" applyBorder="1" applyAlignment="1" applyProtection="1">
      <alignment vertical="center"/>
    </xf>
    <xf numFmtId="0" fontId="3" fillId="0" borderId="16" xfId="1" applyBorder="1" applyAlignment="1" applyProtection="1">
      <alignment vertical="center"/>
    </xf>
    <xf numFmtId="0" fontId="20" fillId="6" borderId="0" xfId="4" applyFont="1" applyFill="1" applyAlignment="1" applyProtection="1">
      <alignment horizontal="center" vertical="center"/>
      <protection locked="0"/>
    </xf>
    <xf numFmtId="0" fontId="20" fillId="6" borderId="0" xfId="4" applyFont="1" applyFill="1" applyAlignment="1" applyProtection="1">
      <alignment horizontal="left" vertical="center"/>
      <protection locked="0"/>
    </xf>
    <xf numFmtId="0" fontId="21" fillId="6" borderId="0" xfId="4" applyFont="1" applyFill="1" applyBorder="1">
      <alignment vertical="center"/>
    </xf>
    <xf numFmtId="0" fontId="23" fillId="6" borderId="0" xfId="4" applyFont="1" applyFill="1" applyBorder="1" applyProtection="1">
      <alignment vertical="center"/>
      <protection hidden="1"/>
    </xf>
    <xf numFmtId="49" fontId="23" fillId="6" borderId="0" xfId="4" applyNumberFormat="1" applyFont="1" applyFill="1" applyBorder="1" applyProtection="1">
      <alignment vertical="center"/>
      <protection hidden="1"/>
    </xf>
    <xf numFmtId="0" fontId="23" fillId="8" borderId="0" xfId="4" applyFont="1" applyFill="1" applyAlignment="1">
      <alignment horizontal="center" vertical="center"/>
    </xf>
    <xf numFmtId="0" fontId="21" fillId="6" borderId="0" xfId="4" applyFont="1" applyFill="1" applyBorder="1" applyProtection="1">
      <alignment vertical="center"/>
      <protection hidden="1"/>
    </xf>
    <xf numFmtId="0" fontId="23" fillId="6" borderId="0" xfId="4" applyFont="1" applyFill="1">
      <alignment vertical="center"/>
    </xf>
    <xf numFmtId="0" fontId="23" fillId="0" borderId="0" xfId="4" applyFont="1">
      <alignment vertical="center"/>
    </xf>
    <xf numFmtId="0" fontId="23" fillId="6" borderId="0" xfId="4" applyFont="1" applyFill="1" applyAlignment="1">
      <alignment horizontal="left" vertical="center"/>
    </xf>
    <xf numFmtId="0" fontId="27" fillId="6" borderId="0" xfId="7" applyFont="1" applyFill="1" applyAlignment="1" applyProtection="1">
      <alignment horizontal="left"/>
      <protection hidden="1"/>
    </xf>
    <xf numFmtId="0" fontId="23" fillId="8" borderId="0" xfId="4" applyNumberFormat="1" applyFont="1" applyFill="1" applyBorder="1" applyProtection="1">
      <alignment vertical="center"/>
      <protection locked="0" hidden="1"/>
    </xf>
    <xf numFmtId="49" fontId="23" fillId="8" borderId="0" xfId="4" applyNumberFormat="1" applyFont="1" applyFill="1" applyBorder="1" applyProtection="1">
      <alignment vertical="center"/>
      <protection locked="0" hidden="1"/>
    </xf>
    <xf numFmtId="0" fontId="23" fillId="8" borderId="0" xfId="4" applyFont="1" applyFill="1" applyAlignment="1" applyProtection="1">
      <alignment horizontal="center" vertical="center"/>
      <protection locked="0"/>
    </xf>
    <xf numFmtId="0" fontId="23" fillId="6" borderId="0" xfId="4" applyFont="1" applyFill="1" applyProtection="1">
      <alignment vertical="center"/>
      <protection locked="0"/>
    </xf>
    <xf numFmtId="0" fontId="23" fillId="8" borderId="0" xfId="4" applyFont="1" applyFill="1" applyAlignment="1" applyProtection="1">
      <alignment horizontal="center" vertical="center"/>
      <protection locked="0" hidden="1"/>
    </xf>
    <xf numFmtId="179" fontId="44" fillId="8" borderId="0" xfId="7" applyNumberFormat="1" applyFont="1" applyFill="1" applyBorder="1" applyAlignment="1" applyProtection="1">
      <alignment horizontal="center"/>
      <protection locked="0" hidden="1"/>
    </xf>
    <xf numFmtId="5" fontId="16" fillId="6" borderId="39" xfId="9" applyNumberFormat="1" applyFont="1" applyFill="1" applyBorder="1" applyAlignment="1" applyProtection="1">
      <alignment horizontal="center" vertical="center" shrinkToFit="1"/>
      <protection locked="0" hidden="1"/>
    </xf>
    <xf numFmtId="3" fontId="45" fillId="6" borderId="39" xfId="9" applyNumberFormat="1" applyFont="1" applyFill="1" applyBorder="1" applyAlignment="1" applyProtection="1">
      <alignment horizontal="left" vertical="center" shrinkToFit="1"/>
      <protection locked="0" hidden="1"/>
    </xf>
    <xf numFmtId="0" fontId="7"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13" xfId="0" applyNumberFormat="1" applyFont="1" applyBorder="1" applyAlignment="1">
      <alignment horizontal="left" vertical="center"/>
    </xf>
    <xf numFmtId="0" fontId="7" fillId="0" borderId="0" xfId="0" applyNumberFormat="1" applyFont="1" applyBorder="1">
      <alignment vertical="center"/>
    </xf>
    <xf numFmtId="49" fontId="7" fillId="0" borderId="13" xfId="0" applyNumberFormat="1" applyFont="1" applyBorder="1" applyAlignment="1">
      <alignment horizontal="left" vertical="center"/>
    </xf>
    <xf numFmtId="0" fontId="37" fillId="6" borderId="0" xfId="6" applyFont="1" applyFill="1" applyBorder="1" applyAlignment="1">
      <alignment horizontal="left"/>
    </xf>
    <xf numFmtId="0" fontId="31" fillId="6" borderId="0" xfId="0" applyFont="1" applyFill="1" applyAlignment="1">
      <alignment horizontal="center"/>
    </xf>
    <xf numFmtId="0" fontId="31" fillId="6" borderId="0" xfId="0" applyFont="1" applyFill="1" applyAlignment="1" applyProtection="1">
      <alignment horizontal="center"/>
      <protection locked="0" hidden="1"/>
    </xf>
    <xf numFmtId="0" fontId="11" fillId="6" borderId="0" xfId="0" applyFont="1" applyFill="1" applyAlignment="1">
      <alignment horizontal="distributed"/>
    </xf>
    <xf numFmtId="0" fontId="31" fillId="6" borderId="0" xfId="0" applyFont="1" applyFill="1" applyProtection="1">
      <alignment vertical="center"/>
      <protection locked="0" hidden="1"/>
    </xf>
    <xf numFmtId="0" fontId="31" fillId="6" borderId="0" xfId="6" applyFont="1" applyFill="1" applyBorder="1" applyProtection="1">
      <protection locked="0" hidden="1"/>
    </xf>
    <xf numFmtId="0" fontId="31" fillId="6" borderId="0" xfId="6" applyFont="1" applyFill="1" applyBorder="1"/>
    <xf numFmtId="0" fontId="31" fillId="6" borderId="0" xfId="6" applyFont="1" applyFill="1" applyBorder="1" applyProtection="1">
      <protection hidden="1"/>
    </xf>
    <xf numFmtId="0" fontId="31" fillId="0" borderId="0" xfId="6" applyFont="1" applyFill="1" applyBorder="1"/>
    <xf numFmtId="0" fontId="7" fillId="6" borderId="52" xfId="6" applyFont="1" applyFill="1" applyBorder="1"/>
    <xf numFmtId="0" fontId="31" fillId="6" borderId="0" xfId="6" applyFont="1" applyFill="1" applyBorder="1" applyAlignment="1">
      <alignment horizontal="center" vertical="center"/>
    </xf>
    <xf numFmtId="0" fontId="31" fillId="6" borderId="0" xfId="6" applyFont="1" applyFill="1" applyBorder="1" applyAlignment="1" applyProtection="1">
      <alignment horizontal="center" vertical="center"/>
      <protection hidden="1"/>
    </xf>
    <xf numFmtId="0" fontId="31" fillId="0" borderId="0" xfId="6" applyFont="1" applyFill="1" applyBorder="1" applyAlignment="1">
      <alignment horizontal="center" vertical="center"/>
    </xf>
    <xf numFmtId="0" fontId="31" fillId="6" borderId="0" xfId="6" applyFont="1" applyFill="1" applyBorder="1" applyAlignment="1">
      <alignment horizontal="center"/>
    </xf>
    <xf numFmtId="0" fontId="31" fillId="0" borderId="0" xfId="6" applyFont="1" applyFill="1" applyBorder="1" applyAlignment="1">
      <alignment horizontal="center"/>
    </xf>
    <xf numFmtId="0" fontId="31" fillId="0" borderId="0" xfId="0" applyFont="1" applyFill="1" applyAlignment="1" applyProtection="1">
      <alignment horizontal="center"/>
      <protection locked="0" hidden="1"/>
    </xf>
    <xf numFmtId="0" fontId="11" fillId="0" borderId="0" xfId="0" applyFont="1" applyFill="1" applyAlignment="1">
      <alignment horizontal="distributed"/>
    </xf>
    <xf numFmtId="0" fontId="31" fillId="0" borderId="0" xfId="0" applyFont="1" applyFill="1" applyAlignment="1">
      <alignment horizontal="center"/>
    </xf>
    <xf numFmtId="0" fontId="31" fillId="0" borderId="0" xfId="0" applyFont="1" applyFill="1" applyProtection="1">
      <alignment vertical="center"/>
      <protection locked="0" hidden="1"/>
    </xf>
    <xf numFmtId="0" fontId="31" fillId="0" borderId="0" xfId="6" applyFont="1" applyFill="1" applyBorder="1" applyProtection="1">
      <protection locked="0" hidden="1"/>
    </xf>
    <xf numFmtId="0" fontId="31" fillId="0" borderId="0" xfId="6" applyFont="1" applyFill="1" applyBorder="1" applyProtection="1">
      <protection hidden="1"/>
    </xf>
    <xf numFmtId="0" fontId="31" fillId="0" borderId="0" xfId="0" applyNumberFormat="1" applyFont="1" applyFill="1" applyAlignment="1">
      <alignment horizontal="center"/>
    </xf>
    <xf numFmtId="0" fontId="11" fillId="0" borderId="31" xfId="0" applyFont="1" applyBorder="1" applyAlignment="1">
      <alignment horizontal="center" vertical="center"/>
    </xf>
    <xf numFmtId="0" fontId="7" fillId="0" borderId="7" xfId="0" applyNumberFormat="1" applyFont="1" applyBorder="1" applyAlignment="1">
      <alignment horizontal="left" vertical="center"/>
    </xf>
    <xf numFmtId="0" fontId="7" fillId="0" borderId="7" xfId="0" applyNumberFormat="1" applyFont="1" applyBorder="1" applyAlignment="1">
      <alignment vertical="center"/>
    </xf>
    <xf numFmtId="0" fontId="7" fillId="0" borderId="53" xfId="0" applyNumberFormat="1" applyFont="1" applyBorder="1" applyAlignment="1">
      <alignment horizontal="left" vertical="center" shrinkToFit="1"/>
    </xf>
    <xf numFmtId="0" fontId="7" fillId="0" borderId="54" xfId="0" applyNumberFormat="1" applyFont="1" applyBorder="1" applyAlignment="1">
      <alignment horizontal="left" vertical="center" shrinkToFit="1"/>
    </xf>
    <xf numFmtId="49" fontId="7" fillId="0" borderId="54" xfId="0" applyNumberFormat="1" applyFont="1" applyBorder="1" applyAlignment="1">
      <alignment horizontal="left" vertical="center" shrinkToFit="1"/>
    </xf>
    <xf numFmtId="49" fontId="7" fillId="0" borderId="55" xfId="0" applyNumberFormat="1" applyFont="1" applyBorder="1" applyAlignment="1">
      <alignment horizontal="left" vertical="center" shrinkToFit="1"/>
    </xf>
    <xf numFmtId="49" fontId="7" fillId="0" borderId="56" xfId="0" applyNumberFormat="1" applyFont="1" applyBorder="1" applyAlignment="1">
      <alignment horizontal="center" vertical="center" shrinkToFit="1"/>
    </xf>
    <xf numFmtId="0" fontId="7" fillId="0" borderId="57" xfId="0" applyNumberFormat="1" applyFont="1" applyBorder="1" applyAlignment="1">
      <alignment horizontal="left" vertical="center" shrinkToFit="1"/>
    </xf>
    <xf numFmtId="49" fontId="7" fillId="0" borderId="56" xfId="0" applyNumberFormat="1" applyFont="1" applyBorder="1" applyAlignment="1">
      <alignment horizontal="center" vertical="center"/>
    </xf>
    <xf numFmtId="0" fontId="7" fillId="6" borderId="0" xfId="0" applyFont="1" applyFill="1" applyBorder="1" applyAlignment="1">
      <alignment shrinkToFit="1"/>
    </xf>
    <xf numFmtId="0" fontId="16" fillId="6" borderId="0" xfId="0" applyFont="1" applyFill="1" applyBorder="1" applyAlignment="1">
      <alignment horizontal="right"/>
    </xf>
    <xf numFmtId="0" fontId="7" fillId="0" borderId="0" xfId="4" applyFont="1">
      <alignment vertical="center"/>
    </xf>
    <xf numFmtId="0" fontId="7" fillId="6" borderId="0" xfId="4" applyFont="1" applyFill="1" applyProtection="1">
      <alignment vertical="center"/>
      <protection locked="0"/>
    </xf>
    <xf numFmtId="0" fontId="7" fillId="6" borderId="0" xfId="4" applyFont="1" applyFill="1" applyBorder="1" applyProtection="1">
      <alignment vertical="center"/>
      <protection locked="0"/>
    </xf>
    <xf numFmtId="0" fontId="7" fillId="6" borderId="0" xfId="4" applyFont="1" applyFill="1">
      <alignment vertical="center"/>
    </xf>
    <xf numFmtId="0" fontId="7" fillId="6" borderId="0" xfId="4" applyFont="1" applyFill="1" applyAlignment="1">
      <alignment vertical="center"/>
    </xf>
    <xf numFmtId="0" fontId="7" fillId="0" borderId="0" xfId="4" applyFont="1" applyAlignment="1">
      <alignment vertical="center"/>
    </xf>
    <xf numFmtId="0" fontId="7" fillId="6" borderId="0" xfId="4" applyFont="1" applyFill="1" applyBorder="1">
      <alignment vertical="center"/>
    </xf>
    <xf numFmtId="0" fontId="7" fillId="0" borderId="0" xfId="4" applyFont="1" applyAlignment="1">
      <alignment horizontal="center" vertical="center"/>
    </xf>
    <xf numFmtId="0" fontId="7" fillId="6" borderId="10" xfId="4" applyFont="1" applyFill="1" applyBorder="1">
      <alignment vertical="center"/>
    </xf>
    <xf numFmtId="0" fontId="7" fillId="6" borderId="58" xfId="4" applyFont="1" applyFill="1" applyBorder="1">
      <alignment vertical="center"/>
    </xf>
    <xf numFmtId="0" fontId="7" fillId="6" borderId="11" xfId="4" applyFont="1" applyFill="1" applyBorder="1">
      <alignment vertical="center"/>
    </xf>
    <xf numFmtId="0" fontId="7" fillId="6" borderId="13" xfId="4" applyFont="1" applyFill="1" applyBorder="1">
      <alignment vertical="center"/>
    </xf>
    <xf numFmtId="0" fontId="7" fillId="6" borderId="12" xfId="4" applyFont="1" applyFill="1" applyBorder="1">
      <alignment vertical="center"/>
    </xf>
    <xf numFmtId="0" fontId="7" fillId="0" borderId="0" xfId="4" applyFont="1" applyBorder="1">
      <alignment vertical="center"/>
    </xf>
    <xf numFmtId="0" fontId="7" fillId="6" borderId="14" xfId="4" applyFont="1" applyFill="1" applyBorder="1">
      <alignment vertical="center"/>
    </xf>
    <xf numFmtId="0" fontId="7" fillId="6" borderId="16" xfId="4" applyFont="1" applyFill="1" applyBorder="1">
      <alignment vertical="center"/>
    </xf>
    <xf numFmtId="0" fontId="7" fillId="6" borderId="15" xfId="4" applyFont="1" applyFill="1" applyBorder="1">
      <alignment vertical="center"/>
    </xf>
    <xf numFmtId="0" fontId="7" fillId="8" borderId="0" xfId="4" applyFont="1" applyFill="1">
      <alignment vertical="center"/>
    </xf>
    <xf numFmtId="0" fontId="46" fillId="0" borderId="0" xfId="0" applyFont="1">
      <alignment vertical="center"/>
    </xf>
    <xf numFmtId="0" fontId="28" fillId="0" borderId="0" xfId="0" applyFont="1">
      <alignment vertical="center"/>
    </xf>
    <xf numFmtId="0" fontId="7" fillId="0" borderId="49" xfId="7" applyNumberFormat="1" applyFont="1" applyFill="1" applyBorder="1" applyAlignment="1" applyProtection="1">
      <alignment horizontal="right"/>
      <protection locked="0" hidden="1"/>
    </xf>
    <xf numFmtId="0" fontId="31" fillId="6" borderId="0" xfId="6" applyFont="1" applyFill="1" applyBorder="1" applyAlignment="1">
      <alignment horizontal="right"/>
    </xf>
    <xf numFmtId="0" fontId="31" fillId="0" borderId="0" xfId="6" applyFont="1" applyFill="1" applyBorder="1" applyAlignment="1">
      <alignment horizontal="right"/>
    </xf>
    <xf numFmtId="0" fontId="7" fillId="0" borderId="50" xfId="7" applyNumberFormat="1" applyFont="1" applyFill="1" applyBorder="1" applyAlignment="1" applyProtection="1">
      <alignment horizontal="right"/>
      <protection locked="0" hidden="1"/>
    </xf>
    <xf numFmtId="0" fontId="7" fillId="0" borderId="51" xfId="7" applyNumberFormat="1" applyFont="1" applyFill="1" applyBorder="1" applyAlignment="1" applyProtection="1">
      <alignment horizontal="right"/>
      <protection locked="0" hidden="1"/>
    </xf>
    <xf numFmtId="0" fontId="31" fillId="6" borderId="66" xfId="6" applyFont="1" applyFill="1" applyBorder="1" applyAlignment="1" applyProtection="1">
      <alignment horizontal="center"/>
      <protection hidden="1"/>
    </xf>
    <xf numFmtId="0" fontId="31" fillId="2" borderId="67" xfId="6" applyFont="1" applyFill="1" applyBorder="1" applyAlignment="1">
      <alignment horizontal="center"/>
    </xf>
    <xf numFmtId="0" fontId="31" fillId="2" borderId="26" xfId="6" applyFont="1" applyFill="1" applyBorder="1" applyAlignment="1">
      <alignment horizontal="center"/>
    </xf>
    <xf numFmtId="0" fontId="31" fillId="2" borderId="66" xfId="6" applyFont="1" applyFill="1" applyBorder="1" applyAlignment="1">
      <alignment horizontal="center"/>
    </xf>
    <xf numFmtId="0" fontId="7" fillId="9" borderId="68" xfId="7" applyFont="1" applyFill="1" applyBorder="1" applyAlignment="1" applyProtection="1">
      <alignment horizontal="center"/>
      <protection hidden="1"/>
    </xf>
    <xf numFmtId="0" fontId="7" fillId="9" borderId="69" xfId="7" applyFont="1" applyFill="1" applyBorder="1" applyAlignment="1" applyProtection="1">
      <alignment horizontal="center"/>
      <protection hidden="1"/>
    </xf>
    <xf numFmtId="0" fontId="7" fillId="7" borderId="48" xfId="7" applyFont="1" applyFill="1" applyBorder="1" applyAlignment="1" applyProtection="1">
      <alignment horizontal="center"/>
      <protection hidden="1"/>
    </xf>
    <xf numFmtId="0" fontId="7" fillId="7" borderId="6" xfId="7" applyFont="1" applyFill="1" applyBorder="1" applyAlignment="1" applyProtection="1">
      <alignment horizontal="center"/>
      <protection hidden="1"/>
    </xf>
    <xf numFmtId="0" fontId="7" fillId="10" borderId="70" xfId="0" applyNumberFormat="1" applyFont="1" applyFill="1" applyBorder="1" applyAlignment="1">
      <alignment horizontal="left" vertical="center" shrinkToFit="1"/>
    </xf>
    <xf numFmtId="0" fontId="7" fillId="10" borderId="71" xfId="0" applyNumberFormat="1" applyFont="1" applyFill="1" applyBorder="1" applyAlignment="1">
      <alignment horizontal="left" vertical="center" shrinkToFit="1"/>
    </xf>
    <xf numFmtId="49" fontId="7" fillId="10" borderId="71" xfId="0" applyNumberFormat="1" applyFont="1" applyFill="1" applyBorder="1" applyAlignment="1">
      <alignment horizontal="left" vertical="center" shrinkToFit="1"/>
    </xf>
    <xf numFmtId="49" fontId="7" fillId="10" borderId="72" xfId="0" applyNumberFormat="1" applyFont="1" applyFill="1" applyBorder="1" applyAlignment="1">
      <alignment horizontal="left" vertical="center" shrinkToFit="1"/>
    </xf>
    <xf numFmtId="49" fontId="7" fillId="10" borderId="54" xfId="0" applyNumberFormat="1" applyFont="1" applyFill="1" applyBorder="1" applyAlignment="1">
      <alignment horizontal="left" vertical="center" shrinkToFit="1"/>
    </xf>
    <xf numFmtId="49" fontId="7" fillId="10" borderId="56" xfId="0" applyNumberFormat="1" applyFont="1" applyFill="1" applyBorder="1" applyAlignment="1">
      <alignment horizontal="center" vertical="center" shrinkToFit="1"/>
    </xf>
    <xf numFmtId="0" fontId="7" fillId="7" borderId="56" xfId="7" applyFont="1" applyFill="1" applyBorder="1" applyAlignment="1" applyProtection="1">
      <alignment horizontal="center"/>
      <protection hidden="1"/>
    </xf>
    <xf numFmtId="0" fontId="7" fillId="7" borderId="7" xfId="7" applyFont="1" applyFill="1" applyBorder="1" applyAlignment="1" applyProtection="1">
      <alignment horizontal="center"/>
      <protection hidden="1"/>
    </xf>
    <xf numFmtId="0" fontId="7" fillId="10" borderId="7" xfId="7" applyFont="1" applyFill="1" applyBorder="1" applyAlignment="1" applyProtection="1">
      <alignment horizontal="center"/>
      <protection hidden="1"/>
    </xf>
    <xf numFmtId="179" fontId="16" fillId="6" borderId="0" xfId="7" applyNumberFormat="1" applyFont="1" applyFill="1" applyBorder="1" applyAlignment="1" applyProtection="1">
      <alignment horizontal="center" shrinkToFit="1"/>
      <protection hidden="1"/>
    </xf>
    <xf numFmtId="179" fontId="27" fillId="6" borderId="0" xfId="7" applyNumberFormat="1" applyFont="1" applyFill="1" applyBorder="1" applyAlignment="1" applyProtection="1">
      <alignment horizontal="right" shrinkToFit="1"/>
      <protection hidden="1"/>
    </xf>
    <xf numFmtId="0" fontId="11" fillId="3" borderId="34" xfId="7" applyFont="1" applyFill="1" applyBorder="1" applyAlignment="1" applyProtection="1">
      <alignment horizontal="center" vertical="center" shrinkToFit="1"/>
      <protection hidden="1"/>
    </xf>
    <xf numFmtId="0" fontId="7" fillId="0" borderId="4" xfId="7" applyFont="1" applyBorder="1" applyAlignment="1" applyProtection="1">
      <alignment shrinkToFit="1"/>
      <protection hidden="1"/>
    </xf>
    <xf numFmtId="0" fontId="7" fillId="0" borderId="43" xfId="7" applyFont="1" applyBorder="1" applyAlignment="1" applyProtection="1">
      <alignment shrinkToFit="1"/>
      <protection hidden="1"/>
    </xf>
    <xf numFmtId="179" fontId="16" fillId="6" borderId="39" xfId="7" applyNumberFormat="1" applyFont="1" applyFill="1" applyBorder="1" applyAlignment="1" applyProtection="1">
      <alignment horizontal="right" shrinkToFit="1"/>
      <protection hidden="1"/>
    </xf>
    <xf numFmtId="180" fontId="37" fillId="6" borderId="0" xfId="7" applyNumberFormat="1" applyFont="1" applyFill="1" applyBorder="1" applyAlignment="1" applyProtection="1">
      <alignment horizontal="right" shrinkToFit="1"/>
      <protection hidden="1"/>
    </xf>
    <xf numFmtId="0" fontId="31" fillId="6" borderId="0" xfId="6" applyFont="1" applyFill="1" applyBorder="1" applyAlignment="1" applyProtection="1">
      <alignment horizontal="right"/>
    </xf>
    <xf numFmtId="0" fontId="31" fillId="4" borderId="73" xfId="6" applyFont="1" applyFill="1" applyBorder="1" applyAlignment="1" applyProtection="1">
      <alignment horizontal="right" vertical="center"/>
    </xf>
    <xf numFmtId="0" fontId="31" fillId="2" borderId="26" xfId="6" applyFont="1" applyFill="1" applyBorder="1" applyAlignment="1" applyProtection="1">
      <alignment horizontal="center"/>
    </xf>
    <xf numFmtId="49" fontId="31" fillId="2" borderId="26" xfId="6" applyNumberFormat="1" applyFont="1" applyFill="1" applyBorder="1" applyAlignment="1" applyProtection="1">
      <alignment horizontal="right"/>
      <protection hidden="1"/>
    </xf>
    <xf numFmtId="0" fontId="31" fillId="0" borderId="0" xfId="6" applyFont="1" applyFill="1" applyBorder="1" applyAlignment="1" applyProtection="1">
      <alignment horizontal="right"/>
    </xf>
    <xf numFmtId="0" fontId="31" fillId="0" borderId="26" xfId="6" applyFont="1" applyFill="1" applyBorder="1" applyAlignment="1" applyProtection="1">
      <alignment horizontal="center"/>
    </xf>
    <xf numFmtId="49" fontId="31" fillId="0" borderId="26" xfId="6" applyNumberFormat="1" applyFont="1" applyFill="1" applyBorder="1" applyAlignment="1" applyProtection="1">
      <alignment horizontal="right"/>
      <protection hidden="1"/>
    </xf>
    <xf numFmtId="0" fontId="31" fillId="7" borderId="26" xfId="6" applyFont="1" applyFill="1" applyBorder="1" applyAlignment="1" applyProtection="1">
      <alignment horizontal="center"/>
    </xf>
    <xf numFmtId="49" fontId="31" fillId="7" borderId="26" xfId="6" applyNumberFormat="1" applyFont="1" applyFill="1" applyBorder="1" applyAlignment="1" applyProtection="1">
      <alignment horizontal="right"/>
      <protection hidden="1"/>
    </xf>
    <xf numFmtId="0" fontId="37" fillId="0" borderId="0" xfId="3" applyFont="1">
      <alignment vertical="center"/>
    </xf>
    <xf numFmtId="176" fontId="31" fillId="0" borderId="0" xfId="6" applyNumberFormat="1" applyFont="1" applyFill="1" applyBorder="1"/>
    <xf numFmtId="0" fontId="31" fillId="0" borderId="0" xfId="6" applyFont="1" applyFill="1" applyBorder="1" applyAlignment="1">
      <alignment horizontal="left"/>
    </xf>
    <xf numFmtId="0" fontId="31" fillId="0" borderId="0" xfId="6" applyFont="1" applyFill="1" applyBorder="1" applyAlignment="1">
      <alignment horizontal="left" vertical="center"/>
    </xf>
    <xf numFmtId="0" fontId="31" fillId="0" borderId="0" xfId="6" applyFont="1" applyFill="1" applyBorder="1" applyAlignment="1" applyProtection="1">
      <alignment horizontal="left"/>
      <protection locked="0" hidden="1"/>
    </xf>
    <xf numFmtId="0" fontId="31" fillId="2" borderId="26" xfId="6" applyFont="1" applyFill="1" applyBorder="1" applyAlignment="1">
      <alignment horizontal="center" shrinkToFit="1"/>
    </xf>
    <xf numFmtId="0" fontId="7" fillId="0" borderId="0" xfId="7" applyFont="1" applyFill="1" applyBorder="1" applyProtection="1">
      <protection hidden="1"/>
    </xf>
    <xf numFmtId="0" fontId="11" fillId="11" borderId="18" xfId="0" applyFont="1" applyFill="1" applyBorder="1" applyAlignment="1" applyProtection="1">
      <alignment horizontal="center" vertical="center" shrinkToFit="1"/>
      <protection hidden="1"/>
    </xf>
    <xf numFmtId="0" fontId="11" fillId="11" borderId="16" xfId="0" applyFont="1" applyFill="1" applyBorder="1" applyAlignment="1" applyProtection="1">
      <alignment horizontal="center" vertical="center" shrinkToFit="1"/>
      <protection hidden="1"/>
    </xf>
    <xf numFmtId="49" fontId="11" fillId="0" borderId="7" xfId="7" applyNumberFormat="1" applyFont="1" applyBorder="1" applyAlignment="1" applyProtection="1">
      <alignment horizontal="center" vertical="center" shrinkToFit="1"/>
      <protection hidden="1"/>
    </xf>
    <xf numFmtId="0" fontId="7" fillId="0" borderId="74" xfId="7" applyNumberFormat="1" applyFont="1" applyFill="1" applyBorder="1" applyAlignment="1" applyProtection="1">
      <alignment horizontal="right"/>
      <protection locked="0" hidden="1"/>
    </xf>
    <xf numFmtId="0" fontId="7" fillId="0" borderId="75" xfId="7" applyNumberFormat="1" applyFont="1" applyFill="1" applyBorder="1" applyAlignment="1" applyProtection="1">
      <alignment horizontal="right"/>
      <protection locked="0" hidden="1"/>
    </xf>
    <xf numFmtId="0" fontId="7" fillId="0" borderId="76" xfId="7" applyNumberFormat="1" applyFont="1" applyFill="1" applyBorder="1" applyAlignment="1" applyProtection="1">
      <alignment horizontal="right"/>
      <protection locked="0" hidden="1"/>
    </xf>
    <xf numFmtId="0" fontId="47" fillId="0" borderId="0" xfId="0" applyNumberFormat="1" applyFont="1" applyBorder="1" applyAlignment="1" applyProtection="1">
      <alignment horizontal="center" vertical="center"/>
      <protection locked="0" hidden="1"/>
    </xf>
    <xf numFmtId="0" fontId="31" fillId="6" borderId="77" xfId="6" applyFont="1" applyFill="1" applyBorder="1" applyAlignment="1">
      <alignment horizontal="center" vertical="center"/>
    </xf>
    <xf numFmtId="0" fontId="31" fillId="6" borderId="77" xfId="6" applyFont="1" applyFill="1" applyBorder="1" applyAlignment="1">
      <alignment horizontal="center"/>
    </xf>
    <xf numFmtId="0" fontId="31" fillId="6" borderId="77" xfId="6" applyFont="1" applyFill="1" applyBorder="1" applyAlignment="1" applyProtection="1">
      <alignment horizontal="center"/>
      <protection locked="0"/>
    </xf>
    <xf numFmtId="0" fontId="7" fillId="0" borderId="0" xfId="7" applyFont="1" applyFill="1" applyBorder="1" applyAlignment="1" applyProtection="1">
      <alignment horizontal="left"/>
      <protection hidden="1"/>
    </xf>
    <xf numFmtId="49" fontId="7" fillId="0" borderId="0" xfId="7" applyNumberFormat="1" applyFont="1" applyFill="1" applyProtection="1">
      <protection hidden="1"/>
    </xf>
    <xf numFmtId="0" fontId="7" fillId="0" borderId="0" xfId="7" applyFont="1" applyFill="1" applyAlignment="1" applyProtection="1">
      <alignment horizontal="center"/>
      <protection hidden="1"/>
    </xf>
    <xf numFmtId="0" fontId="7" fillId="0" borderId="0" xfId="0" applyFont="1" applyFill="1" applyProtection="1">
      <alignment vertical="center"/>
      <protection hidden="1"/>
    </xf>
    <xf numFmtId="0" fontId="7" fillId="0" borderId="0" xfId="7" applyFont="1" applyFill="1" applyAlignment="1" applyProtection="1">
      <alignment horizontal="center" shrinkToFit="1"/>
      <protection hidden="1"/>
    </xf>
    <xf numFmtId="49" fontId="7" fillId="0" borderId="0" xfId="7" applyNumberFormat="1" applyFont="1" applyFill="1" applyAlignment="1" applyProtection="1">
      <alignment horizontal="right" shrinkToFit="1"/>
      <protection hidden="1"/>
    </xf>
    <xf numFmtId="0" fontId="7" fillId="0" borderId="0" xfId="7" applyFont="1" applyFill="1" applyAlignment="1" applyProtection="1">
      <alignment shrinkToFit="1"/>
      <protection hidden="1"/>
    </xf>
    <xf numFmtId="0" fontId="7" fillId="0" borderId="0" xfId="7" applyFont="1" applyFill="1" applyAlignment="1" applyProtection="1">
      <alignment horizontal="left"/>
      <protection hidden="1"/>
    </xf>
    <xf numFmtId="0" fontId="7" fillId="0" borderId="0" xfId="7" applyFont="1" applyFill="1"/>
    <xf numFmtId="0" fontId="7" fillId="0" borderId="8" xfId="7" applyFont="1" applyFill="1" applyBorder="1" applyProtection="1">
      <protection hidden="1"/>
    </xf>
    <xf numFmtId="0" fontId="7" fillId="0" borderId="1" xfId="7" applyFont="1" applyFill="1" applyBorder="1" applyAlignment="1" applyProtection="1">
      <alignment horizontal="center"/>
      <protection hidden="1"/>
    </xf>
    <xf numFmtId="0" fontId="7" fillId="0" borderId="1" xfId="7" applyNumberFormat="1" applyFont="1" applyFill="1" applyBorder="1" applyAlignment="1" applyProtection="1">
      <alignment horizontal="right"/>
      <protection locked="0" hidden="1"/>
    </xf>
    <xf numFmtId="49" fontId="7" fillId="6" borderId="1" xfId="7" applyNumberFormat="1" applyFont="1" applyFill="1" applyBorder="1" applyAlignment="1" applyProtection="1">
      <alignment shrinkToFit="1"/>
      <protection locked="0" hidden="1"/>
    </xf>
    <xf numFmtId="49" fontId="7" fillId="2" borderId="1" xfId="7" applyNumberFormat="1" applyFont="1" applyFill="1" applyBorder="1" applyAlignment="1" applyProtection="1">
      <alignment horizontal="right" shrinkToFit="1"/>
      <protection locked="0" hidden="1"/>
    </xf>
    <xf numFmtId="49" fontId="7" fillId="6" borderId="1" xfId="7" applyNumberFormat="1" applyFont="1" applyFill="1" applyBorder="1" applyAlignment="1" applyProtection="1">
      <alignment horizontal="center" shrinkToFit="1"/>
      <protection locked="0" hidden="1"/>
    </xf>
    <xf numFmtId="0" fontId="7" fillId="0" borderId="2" xfId="7" applyFont="1" applyFill="1" applyBorder="1" applyAlignment="1" applyProtection="1">
      <alignment horizontal="center"/>
      <protection hidden="1"/>
    </xf>
    <xf numFmtId="0" fontId="7" fillId="0" borderId="2" xfId="7" applyNumberFormat="1" applyFont="1" applyFill="1" applyBorder="1" applyAlignment="1" applyProtection="1">
      <alignment horizontal="right"/>
      <protection locked="0" hidden="1"/>
    </xf>
    <xf numFmtId="49" fontId="7" fillId="6" borderId="2" xfId="7" applyNumberFormat="1" applyFont="1" applyFill="1" applyBorder="1" applyAlignment="1" applyProtection="1">
      <alignment shrinkToFit="1"/>
      <protection locked="0" hidden="1"/>
    </xf>
    <xf numFmtId="49" fontId="7" fillId="2" borderId="2" xfId="7" applyNumberFormat="1" applyFont="1" applyFill="1" applyBorder="1" applyAlignment="1" applyProtection="1">
      <alignment horizontal="right" shrinkToFit="1"/>
      <protection locked="0" hidden="1"/>
    </xf>
    <xf numFmtId="49" fontId="7" fillId="6" borderId="2" xfId="7" applyNumberFormat="1" applyFont="1" applyFill="1" applyBorder="1" applyAlignment="1" applyProtection="1">
      <alignment horizontal="center" shrinkToFit="1"/>
      <protection locked="0" hidden="1"/>
    </xf>
    <xf numFmtId="0" fontId="31" fillId="0" borderId="3" xfId="7" applyFont="1" applyFill="1" applyBorder="1" applyProtection="1">
      <protection hidden="1"/>
    </xf>
    <xf numFmtId="0" fontId="7" fillId="0" borderId="3" xfId="7" applyNumberFormat="1" applyFont="1" applyFill="1" applyBorder="1" applyAlignment="1" applyProtection="1">
      <alignment horizontal="right"/>
      <protection locked="0" hidden="1"/>
    </xf>
    <xf numFmtId="49" fontId="7" fillId="6" borderId="3" xfId="7" applyNumberFormat="1" applyFont="1" applyFill="1" applyBorder="1" applyAlignment="1" applyProtection="1">
      <alignment shrinkToFit="1"/>
      <protection locked="0" hidden="1"/>
    </xf>
    <xf numFmtId="49" fontId="7" fillId="2" borderId="3" xfId="7" applyNumberFormat="1" applyFont="1" applyFill="1" applyBorder="1" applyAlignment="1" applyProtection="1">
      <alignment horizontal="right" shrinkToFit="1"/>
      <protection locked="0" hidden="1"/>
    </xf>
    <xf numFmtId="49" fontId="7" fillId="6" borderId="3" xfId="7" applyNumberFormat="1" applyFont="1" applyFill="1" applyBorder="1" applyAlignment="1" applyProtection="1">
      <alignment horizontal="center" shrinkToFit="1"/>
      <protection locked="0" hidden="1"/>
    </xf>
    <xf numFmtId="0" fontId="7" fillId="0" borderId="37" xfId="7" applyFont="1" applyBorder="1" applyAlignment="1" applyProtection="1">
      <alignment shrinkToFit="1"/>
      <protection hidden="1"/>
    </xf>
    <xf numFmtId="0" fontId="11" fillId="0" borderId="31" xfId="0" applyFont="1" applyBorder="1" applyAlignment="1" applyProtection="1">
      <alignment horizontal="center" vertical="center"/>
      <protection hidden="1"/>
    </xf>
    <xf numFmtId="49" fontId="11" fillId="0" borderId="31" xfId="7" applyNumberFormat="1" applyFont="1" applyBorder="1" applyAlignment="1" applyProtection="1">
      <alignment horizontal="center" vertical="center" shrinkToFit="1"/>
      <protection hidden="1"/>
    </xf>
    <xf numFmtId="49" fontId="11" fillId="3" borderId="31" xfId="7" applyNumberFormat="1" applyFont="1" applyFill="1" applyBorder="1" applyAlignment="1" applyProtection="1">
      <alignment horizontal="center" vertical="center" shrinkToFit="1"/>
      <protection hidden="1"/>
    </xf>
    <xf numFmtId="0" fontId="11" fillId="3" borderId="31" xfId="7" applyFont="1" applyFill="1" applyBorder="1" applyAlignment="1" applyProtection="1">
      <alignment horizontal="center" vertical="center" shrinkToFit="1"/>
      <protection hidden="1"/>
    </xf>
    <xf numFmtId="5" fontId="16" fillId="6" borderId="39" xfId="7" applyNumberFormat="1" applyFont="1" applyFill="1" applyBorder="1" applyAlignment="1" applyProtection="1">
      <alignment horizontal="right" shrinkToFit="1"/>
      <protection hidden="1"/>
    </xf>
    <xf numFmtId="49" fontId="11" fillId="0" borderId="33" xfId="7" applyNumberFormat="1" applyFont="1" applyBorder="1" applyAlignment="1" applyProtection="1">
      <alignment horizontal="center" vertical="center"/>
      <protection hidden="1"/>
    </xf>
    <xf numFmtId="0" fontId="7" fillId="0" borderId="45" xfId="7" applyFont="1" applyFill="1" applyBorder="1" applyProtection="1">
      <protection hidden="1"/>
    </xf>
    <xf numFmtId="0" fontId="7" fillId="0" borderId="46" xfId="7" applyFont="1" applyFill="1" applyBorder="1" applyProtection="1">
      <protection hidden="1"/>
    </xf>
    <xf numFmtId="0" fontId="7" fillId="0" borderId="4" xfId="7" applyFont="1" applyFill="1" applyBorder="1" applyAlignment="1" applyProtection="1">
      <alignment horizontal="center"/>
      <protection hidden="1"/>
    </xf>
    <xf numFmtId="0" fontId="7" fillId="0" borderId="43" xfId="7" applyFont="1" applyFill="1" applyBorder="1" applyAlignment="1" applyProtection="1">
      <alignment horizontal="center"/>
      <protection hidden="1"/>
    </xf>
    <xf numFmtId="0" fontId="7" fillId="0" borderId="78" xfId="0" applyFont="1" applyBorder="1" applyAlignment="1">
      <alignment vertical="center"/>
    </xf>
    <xf numFmtId="0" fontId="7" fillId="0" borderId="79" xfId="7" applyFont="1" applyFill="1" applyBorder="1" applyProtection="1">
      <protection hidden="1"/>
    </xf>
    <xf numFmtId="0" fontId="7" fillId="0" borderId="80" xfId="7" applyFont="1" applyFill="1" applyBorder="1" applyProtection="1">
      <protection hidden="1"/>
    </xf>
    <xf numFmtId="0" fontId="7" fillId="0" borderId="81" xfId="7" applyFont="1" applyFill="1" applyBorder="1" applyProtection="1">
      <protection hidden="1"/>
    </xf>
    <xf numFmtId="49" fontId="11" fillId="0" borderId="33" xfId="7" applyNumberFormat="1" applyFont="1" applyBorder="1" applyAlignment="1" applyProtection="1">
      <alignment horizontal="center" vertical="center" shrinkToFit="1"/>
      <protection hidden="1"/>
    </xf>
    <xf numFmtId="0" fontId="7" fillId="0" borderId="17" xfId="7" applyNumberFormat="1" applyFont="1" applyFill="1" applyBorder="1" applyAlignment="1" applyProtection="1">
      <alignment horizontal="right"/>
      <protection locked="0" hidden="1"/>
    </xf>
    <xf numFmtId="0" fontId="7" fillId="0" borderId="45" xfId="7" applyNumberFormat="1" applyFont="1" applyFill="1" applyBorder="1" applyAlignment="1" applyProtection="1">
      <alignment horizontal="right"/>
      <protection locked="0" hidden="1"/>
    </xf>
    <xf numFmtId="0" fontId="7" fillId="0" borderId="46" xfId="7" applyNumberFormat="1" applyFont="1" applyFill="1" applyBorder="1" applyAlignment="1" applyProtection="1">
      <alignment horizontal="right"/>
      <protection locked="0" hidden="1"/>
    </xf>
    <xf numFmtId="49" fontId="11" fillId="0" borderId="38" xfId="7" applyNumberFormat="1" applyFont="1" applyFill="1" applyBorder="1" applyAlignment="1" applyProtection="1">
      <alignment horizontal="center" vertical="center" shrinkToFit="1"/>
      <protection hidden="1"/>
    </xf>
    <xf numFmtId="0" fontId="7" fillId="0" borderId="37" xfId="7" applyNumberFormat="1" applyFont="1" applyFill="1" applyBorder="1" applyAlignment="1" applyProtection="1">
      <alignment horizontal="right"/>
      <protection locked="0" hidden="1"/>
    </xf>
    <xf numFmtId="0" fontId="7" fillId="0" borderId="4" xfId="7" applyNumberFormat="1" applyFont="1" applyFill="1" applyBorder="1" applyAlignment="1" applyProtection="1">
      <alignment horizontal="right"/>
      <protection locked="0" hidden="1"/>
    </xf>
    <xf numFmtId="0" fontId="7" fillId="0" borderId="43" xfId="7" applyNumberFormat="1" applyFont="1" applyFill="1" applyBorder="1" applyAlignment="1" applyProtection="1">
      <alignment horizontal="right"/>
      <protection locked="0" hidden="1"/>
    </xf>
    <xf numFmtId="49" fontId="11" fillId="0" borderId="78" xfId="7" applyNumberFormat="1" applyFont="1" applyBorder="1" applyAlignment="1" applyProtection="1">
      <alignment horizontal="center" vertical="center" shrinkToFit="1"/>
      <protection hidden="1"/>
    </xf>
    <xf numFmtId="0" fontId="7" fillId="0" borderId="79" xfId="7" applyNumberFormat="1" applyFont="1" applyFill="1" applyBorder="1" applyAlignment="1" applyProtection="1">
      <alignment horizontal="right"/>
      <protection locked="0" hidden="1"/>
    </xf>
    <xf numFmtId="0" fontId="7" fillId="0" borderId="80" xfId="7" applyNumberFormat="1" applyFont="1" applyFill="1" applyBorder="1" applyAlignment="1" applyProtection="1">
      <alignment horizontal="right"/>
      <protection locked="0" hidden="1"/>
    </xf>
    <xf numFmtId="0" fontId="7" fillId="0" borderId="81" xfId="7" applyNumberFormat="1" applyFont="1" applyFill="1" applyBorder="1" applyAlignment="1" applyProtection="1">
      <alignment horizontal="right"/>
      <protection locked="0" hidden="1"/>
    </xf>
    <xf numFmtId="49" fontId="7" fillId="6" borderId="5" xfId="7" applyNumberFormat="1" applyFont="1" applyFill="1" applyBorder="1" applyAlignment="1" applyProtection="1">
      <alignment shrinkToFit="1"/>
      <protection locked="0" hidden="1"/>
    </xf>
    <xf numFmtId="49" fontId="7" fillId="6" borderId="8" xfId="7" applyNumberFormat="1" applyFont="1" applyFill="1" applyBorder="1" applyAlignment="1" applyProtection="1">
      <alignment shrinkToFit="1"/>
      <protection locked="0" hidden="1"/>
    </xf>
    <xf numFmtId="49" fontId="7" fillId="6" borderId="9" xfId="7" applyNumberFormat="1" applyFont="1" applyFill="1" applyBorder="1" applyAlignment="1" applyProtection="1">
      <alignment shrinkToFit="1"/>
      <protection locked="0" hidden="1"/>
    </xf>
    <xf numFmtId="49" fontId="7" fillId="2" borderId="43" xfId="7" applyNumberFormat="1" applyFont="1" applyFill="1" applyBorder="1" applyAlignment="1" applyProtection="1">
      <alignment horizontal="right" shrinkToFit="1"/>
      <protection locked="0" hidden="1"/>
    </xf>
    <xf numFmtId="49" fontId="7" fillId="0" borderId="20" xfId="7" applyNumberFormat="1" applyFont="1" applyFill="1" applyBorder="1" applyAlignment="1" applyProtection="1">
      <alignment horizontal="right" shrinkToFit="1"/>
      <protection locked="0" hidden="1"/>
    </xf>
    <xf numFmtId="0" fontId="43" fillId="6" borderId="0" xfId="7" applyFont="1" applyFill="1" applyAlignment="1" applyProtection="1">
      <alignment horizontal="left"/>
      <protection hidden="1"/>
    </xf>
    <xf numFmtId="0" fontId="7" fillId="0" borderId="1" xfId="0" applyFont="1" applyBorder="1" applyAlignment="1" applyProtection="1">
      <alignment horizontal="right" vertical="center"/>
      <protection hidden="1"/>
    </xf>
    <xf numFmtId="0" fontId="7" fillId="0" borderId="2" xfId="0" applyFont="1" applyBorder="1" applyAlignment="1" applyProtection="1">
      <alignment horizontal="right" vertical="center"/>
      <protection hidden="1"/>
    </xf>
    <xf numFmtId="0" fontId="11" fillId="0" borderId="33" xfId="0" applyFont="1" applyBorder="1" applyAlignment="1" applyProtection="1">
      <alignment horizontal="center" vertical="center"/>
      <protection hidden="1"/>
    </xf>
    <xf numFmtId="0" fontId="7" fillId="6" borderId="0" xfId="7" applyFont="1" applyFill="1" applyAlignment="1" applyProtection="1">
      <alignment horizontal="right"/>
      <protection hidden="1"/>
    </xf>
    <xf numFmtId="0" fontId="7" fillId="0" borderId="0" xfId="7" applyFont="1" applyFill="1" applyAlignment="1" applyProtection="1">
      <alignment horizontal="right"/>
      <protection hidden="1"/>
    </xf>
    <xf numFmtId="49" fontId="7" fillId="6" borderId="48" xfId="0" applyNumberFormat="1" applyFont="1" applyFill="1" applyBorder="1" applyAlignment="1">
      <alignment horizontal="center" vertical="center"/>
    </xf>
    <xf numFmtId="0" fontId="7" fillId="6" borderId="6" xfId="7" applyFont="1" applyFill="1" applyBorder="1" applyAlignment="1" applyProtection="1">
      <alignment horizontal="center"/>
      <protection hidden="1"/>
    </xf>
    <xf numFmtId="0" fontId="7" fillId="0" borderId="83" xfId="7" applyNumberFormat="1" applyFont="1" applyFill="1" applyBorder="1" applyAlignment="1" applyProtection="1">
      <alignment horizontal="right"/>
      <protection locked="0" hidden="1"/>
    </xf>
    <xf numFmtId="0" fontId="11" fillId="0" borderId="0" xfId="7" applyFont="1" applyFill="1" applyAlignment="1" applyProtection="1">
      <alignment horizontal="left"/>
      <protection hidden="1"/>
    </xf>
    <xf numFmtId="0" fontId="11" fillId="0" borderId="0" xfId="7" applyFont="1" applyFill="1" applyBorder="1" applyAlignment="1" applyProtection="1">
      <alignment horizontal="left"/>
      <protection hidden="1"/>
    </xf>
    <xf numFmtId="0" fontId="22" fillId="0" borderId="0" xfId="7" applyFont="1" applyFill="1" applyAlignment="1" applyProtection="1">
      <alignment horizontal="left"/>
      <protection hidden="1"/>
    </xf>
    <xf numFmtId="49" fontId="7" fillId="0" borderId="29" xfId="7" applyNumberFormat="1" applyFont="1" applyFill="1" applyBorder="1" applyAlignment="1" applyProtection="1">
      <alignment horizontal="right" shrinkToFit="1"/>
      <protection locked="0" hidden="1"/>
    </xf>
    <xf numFmtId="0" fontId="7" fillId="0" borderId="13"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26" xfId="0" applyNumberFormat="1" applyFont="1" applyFill="1" applyBorder="1" applyAlignment="1">
      <alignment horizontal="left" vertical="center"/>
    </xf>
    <xf numFmtId="0" fontId="22" fillId="0" borderId="0" xfId="7" applyNumberFormat="1" applyFont="1" applyFill="1" applyAlignment="1" applyProtection="1">
      <alignment horizontal="left"/>
      <protection hidden="1"/>
    </xf>
    <xf numFmtId="0" fontId="7" fillId="0" borderId="0" xfId="7" applyNumberFormat="1" applyFont="1" applyFill="1" applyAlignment="1" applyProtection="1">
      <alignment horizontal="left"/>
      <protection hidden="1"/>
    </xf>
    <xf numFmtId="0" fontId="7" fillId="0" borderId="0" xfId="7" applyNumberFormat="1" applyFont="1" applyFill="1" applyBorder="1" applyAlignment="1" applyProtection="1">
      <alignment horizontal="left"/>
      <protection hidden="1"/>
    </xf>
    <xf numFmtId="0" fontId="7" fillId="0" borderId="0" xfId="7" applyNumberFormat="1" applyFont="1" applyFill="1" applyProtection="1">
      <protection hidden="1"/>
    </xf>
    <xf numFmtId="0" fontId="11" fillId="0" borderId="0" xfId="7" applyNumberFormat="1" applyFont="1" applyAlignment="1" applyProtection="1">
      <alignment horizontal="center" vertical="center"/>
      <protection hidden="1"/>
    </xf>
    <xf numFmtId="0" fontId="7" fillId="0" borderId="0" xfId="7" applyNumberFormat="1" applyFont="1" applyProtection="1">
      <protection hidden="1"/>
    </xf>
    <xf numFmtId="0" fontId="0" fillId="0" borderId="0" xfId="0" applyNumberFormat="1" applyFill="1" applyBorder="1">
      <alignment vertical="center"/>
    </xf>
    <xf numFmtId="0" fontId="7" fillId="0" borderId="28" xfId="8" applyNumberFormat="1" applyFont="1" applyBorder="1" applyAlignment="1" applyProtection="1">
      <alignment horizontal="center"/>
      <protection hidden="1"/>
    </xf>
    <xf numFmtId="0" fontId="7" fillId="0" borderId="36" xfId="8" applyNumberFormat="1" applyFont="1" applyBorder="1" applyAlignment="1" applyProtection="1">
      <alignment horizontal="center"/>
      <protection hidden="1"/>
    </xf>
    <xf numFmtId="0" fontId="7" fillId="0" borderId="21" xfId="7" applyNumberFormat="1" applyFont="1" applyBorder="1" applyAlignment="1" applyProtection="1">
      <alignment horizontal="center" shrinkToFit="1"/>
      <protection hidden="1"/>
    </xf>
    <xf numFmtId="0" fontId="11" fillId="10" borderId="25" xfId="7" applyFont="1" applyFill="1" applyBorder="1" applyAlignment="1" applyProtection="1">
      <alignment horizontal="left" vertical="center"/>
      <protection hidden="1"/>
    </xf>
    <xf numFmtId="0" fontId="11" fillId="7" borderId="42" xfId="7" applyFont="1" applyFill="1" applyBorder="1" applyAlignment="1" applyProtection="1">
      <alignment horizontal="center" vertical="center"/>
      <protection hidden="1"/>
    </xf>
    <xf numFmtId="0" fontId="7" fillId="0" borderId="60" xfId="8" applyNumberFormat="1" applyFont="1" applyBorder="1" applyAlignment="1" applyProtection="1">
      <alignment horizontal="center"/>
      <protection hidden="1"/>
    </xf>
    <xf numFmtId="0" fontId="7" fillId="0" borderId="61" xfId="8" applyNumberFormat="1" applyFont="1" applyBorder="1" applyAlignment="1" applyProtection="1">
      <alignment horizontal="center"/>
      <protection hidden="1"/>
    </xf>
    <xf numFmtId="0" fontId="11" fillId="10" borderId="84" xfId="7" applyFont="1" applyFill="1" applyBorder="1" applyAlignment="1" applyProtection="1">
      <alignment horizontal="left" vertical="center"/>
      <protection hidden="1"/>
    </xf>
    <xf numFmtId="0" fontId="11" fillId="10" borderId="85" xfId="7" applyFont="1" applyFill="1" applyBorder="1" applyAlignment="1" applyProtection="1">
      <alignment horizontal="center" vertical="center"/>
      <protection hidden="1"/>
    </xf>
    <xf numFmtId="0" fontId="11" fillId="7" borderId="84" xfId="7" applyFont="1" applyFill="1" applyBorder="1" applyAlignment="1" applyProtection="1">
      <alignment horizontal="left" vertical="center"/>
      <protection hidden="1"/>
    </xf>
    <xf numFmtId="0" fontId="11" fillId="7" borderId="85" xfId="7" applyFont="1" applyFill="1" applyBorder="1" applyAlignment="1" applyProtection="1">
      <alignment horizontal="left" vertical="center"/>
      <protection hidden="1"/>
    </xf>
    <xf numFmtId="0" fontId="7" fillId="0" borderId="86" xfId="8" applyNumberFormat="1" applyFont="1" applyBorder="1" applyAlignment="1" applyProtection="1">
      <alignment horizontal="center"/>
      <protection hidden="1"/>
    </xf>
    <xf numFmtId="0" fontId="7" fillId="0" borderId="87" xfId="8" applyNumberFormat="1" applyFont="1" applyBorder="1" applyAlignment="1" applyProtection="1">
      <alignment horizontal="center" shrinkToFit="1"/>
      <protection hidden="1"/>
    </xf>
    <xf numFmtId="0" fontId="7" fillId="7" borderId="7" xfId="7" applyNumberFormat="1" applyFont="1" applyFill="1" applyBorder="1" applyAlignment="1" applyProtection="1">
      <alignment horizontal="center"/>
      <protection hidden="1"/>
    </xf>
    <xf numFmtId="0" fontId="7" fillId="0" borderId="65" xfId="7" applyFont="1" applyFill="1" applyBorder="1" applyAlignment="1" applyProtection="1">
      <alignment horizontal="center"/>
      <protection hidden="1"/>
    </xf>
    <xf numFmtId="0" fontId="11" fillId="10" borderId="49" xfId="7" applyFont="1" applyFill="1" applyBorder="1" applyAlignment="1" applyProtection="1">
      <alignment horizontal="center" vertical="center"/>
      <protection hidden="1"/>
    </xf>
    <xf numFmtId="0" fontId="11" fillId="10" borderId="88" xfId="7" applyFont="1" applyFill="1" applyBorder="1" applyAlignment="1" applyProtection="1">
      <alignment horizontal="left" vertical="center"/>
      <protection hidden="1"/>
    </xf>
    <xf numFmtId="0" fontId="11" fillId="7" borderId="88" xfId="7" applyFont="1" applyFill="1" applyBorder="1" applyAlignment="1" applyProtection="1">
      <alignment horizontal="left" vertical="center"/>
      <protection hidden="1"/>
    </xf>
    <xf numFmtId="0" fontId="11" fillId="7" borderId="49" xfId="7" applyFont="1" applyFill="1" applyBorder="1" applyAlignment="1" applyProtection="1">
      <alignment horizontal="left" vertical="center"/>
      <protection hidden="1"/>
    </xf>
    <xf numFmtId="0" fontId="7" fillId="0" borderId="47" xfId="7" applyFont="1" applyFill="1" applyBorder="1" applyAlignment="1" applyProtection="1">
      <alignment horizontal="center"/>
      <protection hidden="1"/>
    </xf>
    <xf numFmtId="0" fontId="11" fillId="10" borderId="89" xfId="7" applyFont="1" applyFill="1" applyBorder="1" applyAlignment="1" applyProtection="1">
      <alignment horizontal="left" vertical="center"/>
      <protection hidden="1"/>
    </xf>
    <xf numFmtId="0" fontId="11" fillId="7" borderId="90" xfId="7" applyFont="1" applyFill="1" applyBorder="1" applyAlignment="1" applyProtection="1">
      <alignment horizontal="center" vertical="center"/>
      <protection hidden="1"/>
    </xf>
    <xf numFmtId="49" fontId="7" fillId="0" borderId="1" xfId="7" applyNumberFormat="1" applyFont="1" applyFill="1" applyBorder="1" applyAlignment="1" applyProtection="1">
      <alignment horizontal="right" shrinkToFit="1"/>
      <protection locked="0" hidden="1"/>
    </xf>
    <xf numFmtId="49" fontId="7" fillId="0" borderId="4" xfId="7" applyNumberFormat="1" applyFont="1" applyFill="1" applyBorder="1" applyAlignment="1" applyProtection="1">
      <alignment shrinkToFit="1"/>
      <protection locked="0" hidden="1"/>
    </xf>
    <xf numFmtId="49" fontId="7" fillId="0" borderId="2" xfId="7" applyNumberFormat="1" applyFont="1" applyFill="1" applyBorder="1" applyAlignment="1" applyProtection="1">
      <alignment horizontal="right" shrinkToFit="1"/>
      <protection locked="0" hidden="1"/>
    </xf>
    <xf numFmtId="49" fontId="7" fillId="0" borderId="43" xfId="7" applyNumberFormat="1" applyFont="1" applyFill="1" applyBorder="1" applyAlignment="1" applyProtection="1">
      <alignment shrinkToFit="1"/>
      <protection locked="0" hidden="1"/>
    </xf>
    <xf numFmtId="49" fontId="7" fillId="0" borderId="3" xfId="7" applyNumberFormat="1" applyFont="1" applyFill="1" applyBorder="1" applyAlignment="1" applyProtection="1">
      <alignment horizontal="right" shrinkToFit="1"/>
      <protection locked="0" hidden="1"/>
    </xf>
    <xf numFmtId="49" fontId="7" fillId="0" borderId="37" xfId="7" applyNumberFormat="1" applyFont="1" applyFill="1" applyBorder="1" applyAlignment="1" applyProtection="1">
      <alignment shrinkToFit="1"/>
      <protection locked="0" hidden="1"/>
    </xf>
    <xf numFmtId="49" fontId="11" fillId="3" borderId="34" xfId="7" applyNumberFormat="1" applyFont="1" applyFill="1" applyBorder="1" applyAlignment="1" applyProtection="1">
      <alignment horizontal="center" vertical="center" shrinkToFit="1"/>
      <protection hidden="1"/>
    </xf>
    <xf numFmtId="49" fontId="7" fillId="0" borderId="17" xfId="7" applyNumberFormat="1" applyFont="1" applyFill="1" applyBorder="1" applyAlignment="1" applyProtection="1">
      <alignment shrinkToFit="1"/>
      <protection locked="0" hidden="1"/>
    </xf>
    <xf numFmtId="0" fontId="11" fillId="3" borderId="33" xfId="7" applyFont="1" applyFill="1" applyBorder="1" applyAlignment="1" applyProtection="1">
      <alignment horizontal="center" vertical="center" shrinkToFit="1"/>
      <protection hidden="1"/>
    </xf>
    <xf numFmtId="0" fontId="7" fillId="0" borderId="17" xfId="7" applyFont="1" applyBorder="1" applyAlignment="1" applyProtection="1">
      <alignment shrinkToFit="1"/>
      <protection hidden="1"/>
    </xf>
    <xf numFmtId="0" fontId="7" fillId="0" borderId="45" xfId="7" applyFont="1" applyBorder="1" applyAlignment="1" applyProtection="1">
      <alignment shrinkToFit="1"/>
      <protection hidden="1"/>
    </xf>
    <xf numFmtId="0" fontId="7" fillId="0" borderId="46" xfId="7" applyFont="1" applyBorder="1" applyAlignment="1" applyProtection="1">
      <alignment shrinkToFit="1"/>
      <protection hidden="1"/>
    </xf>
    <xf numFmtId="49" fontId="11" fillId="3" borderId="32" xfId="7" applyNumberFormat="1" applyFont="1" applyFill="1" applyBorder="1" applyAlignment="1" applyProtection="1">
      <alignment horizontal="center" vertical="center" shrinkToFit="1"/>
      <protection hidden="1"/>
    </xf>
    <xf numFmtId="49" fontId="7" fillId="0" borderId="91" xfId="7" applyNumberFormat="1" applyFont="1" applyFill="1" applyBorder="1" applyAlignment="1" applyProtection="1">
      <alignment shrinkToFit="1"/>
      <protection locked="0" hidden="1"/>
    </xf>
    <xf numFmtId="49" fontId="7" fillId="0" borderId="50" xfId="7" applyNumberFormat="1" applyFont="1" applyFill="1" applyBorder="1" applyAlignment="1" applyProtection="1">
      <alignment shrinkToFit="1"/>
      <protection locked="0" hidden="1"/>
    </xf>
    <xf numFmtId="49" fontId="7" fillId="0" borderId="51" xfId="7" applyNumberFormat="1" applyFont="1" applyFill="1" applyBorder="1" applyAlignment="1" applyProtection="1">
      <alignment shrinkToFit="1"/>
      <protection locked="0" hidden="1"/>
    </xf>
    <xf numFmtId="0" fontId="7" fillId="6" borderId="0" xfId="7" applyFont="1" applyFill="1" applyBorder="1" applyAlignment="1" applyProtection="1">
      <alignment horizontal="right"/>
      <protection hidden="1"/>
    </xf>
    <xf numFmtId="0" fontId="7" fillId="0" borderId="0" xfId="9" applyFont="1" applyFill="1" applyProtection="1">
      <protection hidden="1"/>
    </xf>
    <xf numFmtId="0" fontId="7" fillId="0" borderId="0" xfId="9" applyFont="1" applyFill="1" applyAlignment="1" applyProtection="1">
      <alignment horizontal="left"/>
      <protection hidden="1"/>
    </xf>
    <xf numFmtId="0" fontId="7" fillId="0" borderId="0" xfId="9" applyFont="1" applyFill="1" applyAlignment="1" applyProtection="1">
      <alignment horizontal="center"/>
      <protection hidden="1"/>
    </xf>
    <xf numFmtId="0" fontId="7" fillId="0" borderId="0" xfId="9" applyFont="1" applyFill="1" applyAlignment="1" applyProtection="1">
      <alignment horizontal="right"/>
      <protection hidden="1"/>
    </xf>
    <xf numFmtId="0" fontId="22" fillId="6" borderId="0" xfId="9" applyFont="1" applyFill="1" applyProtection="1">
      <protection hidden="1"/>
    </xf>
    <xf numFmtId="5" fontId="16" fillId="6" borderId="0" xfId="9" applyNumberFormat="1" applyFont="1" applyFill="1" applyAlignment="1" applyProtection="1">
      <alignment horizontal="left"/>
      <protection hidden="1"/>
    </xf>
    <xf numFmtId="49" fontId="7" fillId="0" borderId="25" xfId="7" applyNumberFormat="1" applyFont="1" applyFill="1" applyBorder="1" applyAlignment="1" applyProtection="1">
      <alignment shrinkToFit="1"/>
      <protection locked="0" hidden="1"/>
    </xf>
    <xf numFmtId="49" fontId="7" fillId="0" borderId="94" xfId="7" applyNumberFormat="1" applyFont="1" applyFill="1" applyBorder="1" applyAlignment="1" applyProtection="1">
      <alignment shrinkToFit="1"/>
      <protection locked="0" hidden="1"/>
    </xf>
    <xf numFmtId="0" fontId="7" fillId="0" borderId="25" xfId="0" applyFont="1" applyBorder="1" applyAlignment="1" applyProtection="1">
      <alignment horizontal="right" vertical="center"/>
      <protection hidden="1"/>
    </xf>
    <xf numFmtId="0" fontId="7" fillId="0" borderId="23" xfId="0" applyFont="1" applyBorder="1" applyAlignment="1" applyProtection="1">
      <alignment horizontal="right" vertical="center"/>
      <protection hidden="1"/>
    </xf>
    <xf numFmtId="0" fontId="7" fillId="6" borderId="22" xfId="6" applyFont="1" applyFill="1" applyBorder="1"/>
    <xf numFmtId="0" fontId="47" fillId="0" borderId="1" xfId="0" applyFont="1" applyFill="1" applyBorder="1" applyProtection="1">
      <alignment vertical="center"/>
      <protection locked="0"/>
    </xf>
    <xf numFmtId="1" fontId="47" fillId="0" borderId="1" xfId="0" applyNumberFormat="1" applyFont="1" applyFill="1" applyBorder="1" applyAlignment="1" applyProtection="1">
      <alignment horizontal="center" vertical="center"/>
      <protection locked="0"/>
    </xf>
    <xf numFmtId="0" fontId="47" fillId="0" borderId="1" xfId="0" applyFont="1" applyFill="1" applyBorder="1" applyAlignment="1" applyProtection="1">
      <alignment vertical="center" shrinkToFit="1"/>
      <protection locked="0"/>
    </xf>
    <xf numFmtId="0" fontId="47" fillId="0" borderId="3" xfId="0" applyFont="1" applyFill="1" applyBorder="1" applyProtection="1">
      <alignment vertical="center"/>
      <protection locked="0"/>
    </xf>
    <xf numFmtId="1" fontId="47" fillId="0" borderId="3" xfId="0" applyNumberFormat="1" applyFont="1" applyFill="1" applyBorder="1" applyAlignment="1" applyProtection="1">
      <alignment horizontal="center" vertical="center"/>
      <protection locked="0"/>
    </xf>
    <xf numFmtId="49" fontId="47" fillId="0" borderId="3" xfId="0" applyNumberFormat="1" applyFont="1" applyFill="1" applyBorder="1" applyAlignment="1" applyProtection="1">
      <alignment horizontal="center" vertical="center"/>
      <protection locked="0"/>
    </xf>
    <xf numFmtId="0" fontId="51" fillId="11" borderId="95" xfId="0" quotePrefix="1" applyFont="1" applyFill="1" applyBorder="1" applyAlignment="1" applyProtection="1">
      <alignment horizontal="centerContinuous" vertical="center" shrinkToFit="1"/>
      <protection hidden="1"/>
    </xf>
    <xf numFmtId="0" fontId="11" fillId="11" borderId="95" xfId="0" applyFont="1" applyFill="1" applyBorder="1" applyAlignment="1" applyProtection="1">
      <alignment horizontal="center" vertical="center" shrinkToFit="1"/>
      <protection hidden="1"/>
    </xf>
    <xf numFmtId="0" fontId="7" fillId="6" borderId="96" xfId="0" applyFont="1" applyFill="1" applyBorder="1" applyAlignment="1">
      <alignment horizontal="left" shrinkToFit="1"/>
    </xf>
    <xf numFmtId="0" fontId="11" fillId="6" borderId="59" xfId="0" applyFont="1" applyFill="1" applyBorder="1" applyAlignment="1" applyProtection="1">
      <alignment horizontal="right"/>
      <protection hidden="1"/>
    </xf>
    <xf numFmtId="0" fontId="50" fillId="0" borderId="5" xfId="0" applyFont="1" applyFill="1" applyBorder="1" applyAlignment="1" applyProtection="1">
      <alignment horizontal="center" vertical="center"/>
      <protection hidden="1"/>
    </xf>
    <xf numFmtId="178" fontId="47" fillId="0" borderId="3" xfId="0" applyNumberFormat="1" applyFont="1" applyFill="1" applyBorder="1" applyAlignment="1" applyProtection="1">
      <alignment horizontal="center" vertical="center"/>
      <protection locked="0"/>
    </xf>
    <xf numFmtId="0" fontId="47" fillId="0" borderId="3" xfId="0" applyFont="1" applyFill="1" applyBorder="1" applyAlignment="1" applyProtection="1">
      <alignment horizontal="center" vertical="center"/>
      <protection locked="0"/>
    </xf>
    <xf numFmtId="0" fontId="47" fillId="0" borderId="3" xfId="0" applyFont="1" applyFill="1" applyBorder="1" applyAlignment="1" applyProtection="1">
      <alignment vertical="center" shrinkToFit="1"/>
      <protection locked="0"/>
    </xf>
    <xf numFmtId="0" fontId="7" fillId="6" borderId="97" xfId="0" applyNumberFormat="1" applyFont="1" applyFill="1" applyBorder="1" applyAlignment="1" applyProtection="1">
      <alignment horizontal="center"/>
      <protection hidden="1"/>
    </xf>
    <xf numFmtId="0" fontId="50" fillId="0" borderId="8" xfId="0" applyFont="1" applyFill="1" applyBorder="1" applyAlignment="1" applyProtection="1">
      <alignment horizontal="center" vertical="center"/>
      <protection hidden="1"/>
    </xf>
    <xf numFmtId="178" fontId="47" fillId="0" borderId="1" xfId="0" applyNumberFormat="1" applyFont="1" applyFill="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0" fontId="7" fillId="6" borderId="98" xfId="0" applyNumberFormat="1" applyFont="1" applyFill="1" applyBorder="1" applyAlignment="1" applyProtection="1">
      <alignment horizontal="center"/>
      <protection hidden="1"/>
    </xf>
    <xf numFmtId="0" fontId="7" fillId="0" borderId="8" xfId="6" applyFont="1" applyFill="1" applyBorder="1" applyAlignment="1" applyProtection="1">
      <alignment horizontal="center"/>
      <protection hidden="1"/>
    </xf>
    <xf numFmtId="0" fontId="7" fillId="0" borderId="1" xfId="6" applyFont="1" applyFill="1" applyBorder="1" applyAlignment="1" applyProtection="1">
      <alignment horizontal="center"/>
      <protection hidden="1"/>
    </xf>
    <xf numFmtId="0" fontId="52" fillId="0" borderId="1" xfId="2" applyFont="1" applyFill="1" applyBorder="1" applyAlignment="1" applyProtection="1">
      <alignment horizontal="left" vertical="center"/>
      <protection locked="0" hidden="1"/>
    </xf>
    <xf numFmtId="0" fontId="52" fillId="0" borderId="1" xfId="2" applyFont="1" applyFill="1" applyBorder="1" applyAlignment="1" applyProtection="1">
      <alignment horizontal="left" vertical="center" shrinkToFit="1"/>
      <protection locked="0" hidden="1"/>
    </xf>
    <xf numFmtId="177" fontId="52" fillId="0" borderId="1" xfId="2" applyNumberFormat="1" applyFont="1" applyFill="1" applyBorder="1" applyAlignment="1" applyProtection="1">
      <alignment horizontal="center" vertical="center"/>
      <protection locked="0" hidden="1"/>
    </xf>
    <xf numFmtId="0" fontId="51" fillId="11" borderId="99" xfId="0" applyFont="1" applyFill="1" applyBorder="1" applyAlignment="1" applyProtection="1">
      <alignment horizontal="distributed" vertical="center" justifyLastLine="1"/>
      <protection hidden="1"/>
    </xf>
    <xf numFmtId="0" fontId="11" fillId="11" borderId="100" xfId="0" applyFont="1" applyFill="1" applyBorder="1" applyAlignment="1" applyProtection="1">
      <alignment horizontal="center" vertical="center" shrinkToFit="1"/>
      <protection hidden="1"/>
    </xf>
    <xf numFmtId="0" fontId="7" fillId="6" borderId="0" xfId="0" applyNumberFormat="1" applyFont="1" applyFill="1" applyBorder="1" applyAlignment="1">
      <alignment horizontal="left"/>
    </xf>
    <xf numFmtId="0" fontId="7" fillId="6" borderId="0" xfId="0" applyNumberFormat="1" applyFont="1" applyFill="1" applyAlignment="1">
      <alignment horizontal="left"/>
    </xf>
    <xf numFmtId="0" fontId="31" fillId="6" borderId="0" xfId="0" applyNumberFormat="1" applyFont="1" applyFill="1" applyAlignment="1">
      <alignment horizontal="left"/>
    </xf>
    <xf numFmtId="0" fontId="7" fillId="0" borderId="9" xfId="0" applyFont="1" applyBorder="1" applyAlignment="1" applyProtection="1">
      <alignment horizontal="right" vertical="center"/>
      <protection hidden="1"/>
    </xf>
    <xf numFmtId="5" fontId="37" fillId="6" borderId="0" xfId="7" applyNumberFormat="1" applyFont="1" applyFill="1" applyBorder="1" applyAlignment="1" applyProtection="1">
      <alignment horizontal="right"/>
      <protection hidden="1"/>
    </xf>
    <xf numFmtId="0" fontId="11" fillId="6" borderId="89" xfId="0" applyFont="1" applyFill="1" applyBorder="1" applyAlignment="1" applyProtection="1">
      <alignment horizontal="right" vertical="center" shrinkToFit="1"/>
      <protection hidden="1"/>
    </xf>
    <xf numFmtId="0" fontId="11" fillId="6" borderId="85" xfId="0" applyFont="1" applyFill="1" applyBorder="1" applyAlignment="1" applyProtection="1">
      <alignment vertical="center" shrinkToFit="1"/>
      <protection hidden="1"/>
    </xf>
    <xf numFmtId="0" fontId="11" fillId="6" borderId="84" xfId="0" applyFont="1" applyFill="1" applyBorder="1" applyAlignment="1" applyProtection="1">
      <alignment horizontal="right" vertical="center" shrinkToFit="1"/>
      <protection hidden="1"/>
    </xf>
    <xf numFmtId="0" fontId="11" fillId="6" borderId="90" xfId="0" applyFont="1" applyFill="1" applyBorder="1" applyAlignment="1" applyProtection="1">
      <alignment vertical="center" shrinkToFit="1"/>
      <protection hidden="1"/>
    </xf>
    <xf numFmtId="0" fontId="11" fillId="6" borderId="8" xfId="0" applyFont="1" applyFill="1" applyBorder="1" applyAlignment="1" applyProtection="1">
      <alignment horizontal="right" vertical="center" shrinkToFit="1"/>
      <protection hidden="1"/>
    </xf>
    <xf numFmtId="0" fontId="11" fillId="6" borderId="50" xfId="0" applyFont="1" applyFill="1" applyBorder="1" applyAlignment="1" applyProtection="1">
      <alignment vertical="center" shrinkToFit="1"/>
      <protection hidden="1"/>
    </xf>
    <xf numFmtId="0" fontId="11" fillId="6" borderId="40" xfId="0" applyFont="1" applyFill="1" applyBorder="1" applyAlignment="1" applyProtection="1">
      <alignment horizontal="right" vertical="center" shrinkToFit="1"/>
      <protection hidden="1"/>
    </xf>
    <xf numFmtId="0" fontId="11" fillId="6" borderId="4" xfId="0" applyFont="1" applyFill="1" applyBorder="1" applyAlignment="1" applyProtection="1">
      <alignment vertical="center" shrinkToFit="1"/>
      <protection hidden="1"/>
    </xf>
    <xf numFmtId="0" fontId="11" fillId="6" borderId="101" xfId="0" applyFont="1" applyFill="1" applyBorder="1" applyAlignment="1" applyProtection="1">
      <alignment horizontal="right" vertical="center" shrinkToFit="1"/>
      <protection hidden="1"/>
    </xf>
    <xf numFmtId="0" fontId="11" fillId="6" borderId="64" xfId="0" applyFont="1" applyFill="1" applyBorder="1" applyAlignment="1" applyProtection="1">
      <alignment vertical="center" shrinkToFit="1"/>
      <protection hidden="1"/>
    </xf>
    <xf numFmtId="0" fontId="11" fillId="6" borderId="62" xfId="0" applyFont="1" applyFill="1" applyBorder="1" applyAlignment="1" applyProtection="1">
      <alignment horizontal="right" vertical="center" shrinkToFit="1"/>
      <protection hidden="1"/>
    </xf>
    <xf numFmtId="0" fontId="11" fillId="6" borderId="102" xfId="0" applyFont="1" applyFill="1" applyBorder="1" applyAlignment="1" applyProtection="1">
      <alignment vertical="center" shrinkToFit="1"/>
      <protection hidden="1"/>
    </xf>
    <xf numFmtId="0" fontId="11" fillId="6" borderId="9" xfId="0" applyFont="1" applyFill="1" applyBorder="1" applyAlignment="1" applyProtection="1">
      <alignment horizontal="right" vertical="center" shrinkToFit="1"/>
      <protection hidden="1"/>
    </xf>
    <xf numFmtId="0" fontId="11" fillId="6" borderId="51" xfId="0" applyFont="1" applyFill="1" applyBorder="1" applyAlignment="1" applyProtection="1">
      <alignment vertical="center" shrinkToFit="1"/>
      <protection hidden="1"/>
    </xf>
    <xf numFmtId="0" fontId="11" fillId="6" borderId="41" xfId="0" applyFont="1" applyFill="1" applyBorder="1" applyAlignment="1" applyProtection="1">
      <alignment horizontal="right" vertical="center" shrinkToFit="1"/>
      <protection hidden="1"/>
    </xf>
    <xf numFmtId="0" fontId="11" fillId="6" borderId="43" xfId="0" applyFont="1" applyFill="1" applyBorder="1" applyAlignment="1" applyProtection="1">
      <alignment vertical="center" shrinkToFit="1"/>
      <protection hidden="1"/>
    </xf>
    <xf numFmtId="0" fontId="48" fillId="3" borderId="0" xfId="3" applyFont="1" applyFill="1">
      <alignment vertical="center"/>
    </xf>
    <xf numFmtId="0" fontId="37" fillId="3" borderId="0" xfId="3" applyFont="1" applyFill="1">
      <alignment vertical="center"/>
    </xf>
    <xf numFmtId="0" fontId="24" fillId="3" borderId="0" xfId="3" applyFont="1" applyFill="1">
      <alignment vertical="center"/>
    </xf>
    <xf numFmtId="0" fontId="24" fillId="3" borderId="0" xfId="3" applyFill="1">
      <alignment vertical="center"/>
    </xf>
    <xf numFmtId="0" fontId="47" fillId="0" borderId="3" xfId="0" applyNumberFormat="1" applyFont="1" applyFill="1" applyBorder="1" applyAlignment="1" applyProtection="1">
      <alignment horizontal="center" vertical="center"/>
      <protection locked="0"/>
    </xf>
    <xf numFmtId="0" fontId="31" fillId="2" borderId="59" xfId="6" applyFont="1" applyFill="1" applyBorder="1" applyAlignment="1" applyProtection="1">
      <alignment horizontal="center"/>
    </xf>
    <xf numFmtId="49" fontId="31" fillId="2" borderId="59" xfId="6" applyNumberFormat="1" applyFont="1" applyFill="1" applyBorder="1" applyAlignment="1" applyProtection="1">
      <alignment horizontal="right"/>
      <protection hidden="1"/>
    </xf>
    <xf numFmtId="0" fontId="31" fillId="4" borderId="103" xfId="6" applyFont="1" applyFill="1" applyBorder="1" applyAlignment="1" applyProtection="1">
      <alignment horizontal="right" vertical="center"/>
    </xf>
    <xf numFmtId="49" fontId="0" fillId="2" borderId="104" xfId="0" applyNumberFormat="1" applyFill="1" applyBorder="1" applyAlignment="1">
      <alignment horizontal="left" vertical="center" shrinkToFit="1"/>
    </xf>
    <xf numFmtId="49" fontId="31" fillId="2" borderId="66" xfId="6" applyNumberFormat="1" applyFont="1" applyFill="1" applyBorder="1" applyAlignment="1" applyProtection="1">
      <alignment horizontal="right"/>
      <protection hidden="1"/>
    </xf>
    <xf numFmtId="0" fontId="31" fillId="6" borderId="0" xfId="6" applyFont="1" applyFill="1" applyBorder="1" applyAlignment="1">
      <alignment horizontal="left"/>
    </xf>
    <xf numFmtId="49" fontId="31" fillId="2" borderId="26" xfId="6" applyNumberFormat="1" applyFont="1" applyFill="1" applyBorder="1" applyAlignment="1" applyProtection="1">
      <alignment horizontal="center"/>
      <protection locked="0" hidden="1"/>
    </xf>
    <xf numFmtId="49" fontId="31" fillId="2" borderId="66" xfId="6" applyNumberFormat="1" applyFont="1" applyFill="1" applyBorder="1" applyAlignment="1" applyProtection="1">
      <alignment horizontal="center"/>
      <protection locked="0" hidden="1"/>
    </xf>
    <xf numFmtId="49" fontId="16" fillId="6" borderId="0" xfId="7" applyNumberFormat="1" applyFont="1" applyFill="1" applyBorder="1" applyAlignment="1" applyProtection="1">
      <alignment horizontal="right"/>
      <protection hidden="1"/>
    </xf>
    <xf numFmtId="0" fontId="31" fillId="6" borderId="0" xfId="6" applyFont="1" applyFill="1" applyBorder="1" applyAlignment="1" applyProtection="1">
      <alignment horizontal="center"/>
    </xf>
    <xf numFmtId="0" fontId="31" fillId="4" borderId="105" xfId="6" applyFont="1" applyFill="1" applyBorder="1" applyAlignment="1">
      <alignment horizontal="center" vertical="center"/>
    </xf>
    <xf numFmtId="0" fontId="31" fillId="4" borderId="73" xfId="6" applyFont="1" applyFill="1" applyBorder="1" applyAlignment="1">
      <alignment horizontal="center" vertical="center"/>
    </xf>
    <xf numFmtId="0" fontId="31" fillId="4" borderId="106" xfId="6" applyFont="1" applyFill="1" applyBorder="1" applyAlignment="1">
      <alignment horizontal="center" vertical="center"/>
    </xf>
    <xf numFmtId="49" fontId="31" fillId="2" borderId="67" xfId="6" applyNumberFormat="1" applyFont="1" applyFill="1" applyBorder="1" applyAlignment="1" applyProtection="1">
      <alignment horizontal="center"/>
      <protection locked="0" hidden="1"/>
    </xf>
    <xf numFmtId="0" fontId="31" fillId="0" borderId="0" xfId="6" applyFont="1" applyFill="1" applyBorder="1" applyAlignment="1" applyProtection="1">
      <alignment horizontal="center"/>
    </xf>
    <xf numFmtId="0" fontId="7" fillId="0" borderId="26" xfId="0" applyFont="1" applyFill="1" applyBorder="1" applyProtection="1">
      <alignment vertical="center"/>
      <protection hidden="1"/>
    </xf>
    <xf numFmtId="0" fontId="7" fillId="0" borderId="26" xfId="7" applyFont="1" applyFill="1" applyBorder="1" applyProtection="1">
      <protection hidden="1"/>
    </xf>
    <xf numFmtId="0" fontId="7" fillId="0" borderId="26" xfId="7" applyFont="1" applyFill="1" applyBorder="1" applyAlignment="1" applyProtection="1">
      <alignment horizontal="left"/>
      <protection hidden="1"/>
    </xf>
    <xf numFmtId="0" fontId="7" fillId="0" borderId="26" xfId="0" applyFont="1" applyBorder="1" applyProtection="1">
      <alignment vertical="center"/>
      <protection hidden="1"/>
    </xf>
    <xf numFmtId="0" fontId="7" fillId="0" borderId="26" xfId="7" applyFont="1" applyBorder="1" applyProtection="1">
      <protection hidden="1"/>
    </xf>
    <xf numFmtId="0" fontId="7" fillId="0" borderId="26" xfId="7" applyFont="1" applyBorder="1" applyAlignment="1" applyProtection="1">
      <alignment horizontal="left"/>
      <protection hidden="1"/>
    </xf>
    <xf numFmtId="0" fontId="16" fillId="6" borderId="0" xfId="7" applyFont="1" applyFill="1" applyBorder="1" applyAlignment="1" applyProtection="1">
      <alignment horizontal="center" shrinkToFit="1"/>
      <protection hidden="1"/>
    </xf>
    <xf numFmtId="176" fontId="47" fillId="0" borderId="5" xfId="0" applyNumberFormat="1" applyFont="1" applyFill="1" applyBorder="1" applyAlignment="1" applyProtection="1">
      <alignment horizontal="right" vertical="center"/>
      <protection locked="0"/>
    </xf>
    <xf numFmtId="176" fontId="47" fillId="0" borderId="8" xfId="0" applyNumberFormat="1" applyFont="1" applyFill="1" applyBorder="1" applyAlignment="1" applyProtection="1">
      <alignment horizontal="right" vertical="center"/>
      <protection locked="0"/>
    </xf>
    <xf numFmtId="176" fontId="52" fillId="0" borderId="8" xfId="2" applyNumberFormat="1" applyFont="1" applyFill="1" applyBorder="1" applyAlignment="1" applyProtection="1">
      <alignment horizontal="right" vertical="center"/>
      <protection locked="0" hidden="1"/>
    </xf>
    <xf numFmtId="176" fontId="52" fillId="0" borderId="101" xfId="2" applyNumberFormat="1" applyFont="1" applyFill="1" applyBorder="1" applyAlignment="1" applyProtection="1">
      <alignment horizontal="right" vertical="center"/>
      <protection locked="0" hidden="1"/>
    </xf>
    <xf numFmtId="0" fontId="52" fillId="0" borderId="63" xfId="2" applyFont="1" applyFill="1" applyBorder="1" applyAlignment="1" applyProtection="1">
      <alignment horizontal="left" vertical="center"/>
      <protection locked="0" hidden="1"/>
    </xf>
    <xf numFmtId="0" fontId="52" fillId="0" borderId="63" xfId="2" applyFont="1" applyFill="1" applyBorder="1" applyAlignment="1" applyProtection="1">
      <alignment vertical="center" shrinkToFit="1"/>
      <protection locked="0" hidden="1"/>
    </xf>
    <xf numFmtId="177" fontId="52" fillId="0" borderId="63" xfId="2" applyNumberFormat="1" applyFont="1" applyFill="1" applyBorder="1" applyAlignment="1" applyProtection="1">
      <alignment horizontal="center" vertical="center"/>
      <protection locked="0" hidden="1"/>
    </xf>
    <xf numFmtId="0" fontId="47" fillId="0" borderId="16" xfId="0" applyNumberFormat="1" applyFont="1" applyBorder="1" applyAlignment="1" applyProtection="1">
      <alignment horizontal="center" vertical="center"/>
      <protection locked="0" hidden="1"/>
    </xf>
    <xf numFmtId="0" fontId="7" fillId="6" borderId="107" xfId="0" applyNumberFormat="1" applyFont="1" applyFill="1" applyBorder="1" applyAlignment="1" applyProtection="1">
      <alignment horizontal="center"/>
      <protection hidden="1"/>
    </xf>
    <xf numFmtId="0" fontId="31" fillId="6" borderId="108" xfId="6" applyFont="1" applyFill="1" applyBorder="1" applyAlignment="1" applyProtection="1">
      <alignment horizontal="center"/>
      <protection locked="0"/>
    </xf>
    <xf numFmtId="0" fontId="31" fillId="6" borderId="16" xfId="6" applyFont="1" applyFill="1" applyBorder="1"/>
    <xf numFmtId="0" fontId="31" fillId="6" borderId="16" xfId="6" applyFont="1" applyFill="1" applyBorder="1" applyAlignment="1">
      <alignment horizontal="center"/>
    </xf>
    <xf numFmtId="49" fontId="7" fillId="2" borderId="109" xfId="7" applyNumberFormat="1" applyFont="1" applyFill="1" applyBorder="1" applyAlignment="1" applyProtection="1">
      <alignment horizontal="right" shrinkToFit="1"/>
      <protection locked="0" hidden="1"/>
    </xf>
    <xf numFmtId="0" fontId="7" fillId="0" borderId="35" xfId="0" applyFont="1" applyBorder="1" applyProtection="1">
      <alignment vertical="center"/>
      <protection hidden="1"/>
    </xf>
    <xf numFmtId="0" fontId="7" fillId="0" borderId="35" xfId="7" applyFont="1" applyBorder="1" applyProtection="1">
      <protection hidden="1"/>
    </xf>
    <xf numFmtId="0" fontId="7" fillId="0" borderId="35" xfId="7" applyFont="1" applyBorder="1" applyAlignment="1" applyProtection="1">
      <alignment horizontal="left"/>
      <protection hidden="1"/>
    </xf>
    <xf numFmtId="0" fontId="7" fillId="0" borderId="35" xfId="7" applyFont="1" applyBorder="1"/>
    <xf numFmtId="0" fontId="7" fillId="0" borderId="35" xfId="0" applyNumberFormat="1" applyFont="1" applyBorder="1">
      <alignment vertical="center"/>
    </xf>
    <xf numFmtId="0" fontId="16" fillId="6" borderId="52" xfId="7" applyFont="1" applyFill="1" applyBorder="1" applyAlignment="1" applyProtection="1">
      <alignment horizontal="center" shrinkToFit="1"/>
      <protection hidden="1"/>
    </xf>
    <xf numFmtId="5" fontId="27" fillId="6" borderId="52" xfId="7" applyNumberFormat="1" applyFont="1" applyFill="1" applyBorder="1" applyAlignment="1" applyProtection="1">
      <alignment horizontal="center" shrinkToFit="1"/>
      <protection hidden="1"/>
    </xf>
    <xf numFmtId="49" fontId="16" fillId="6" borderId="0" xfId="7" applyNumberFormat="1" applyFont="1" applyFill="1" applyBorder="1" applyAlignment="1" applyProtection="1">
      <alignment horizontal="right" shrinkToFit="1"/>
      <protection locked="0" hidden="1"/>
    </xf>
    <xf numFmtId="179" fontId="16" fillId="6" borderId="0" xfId="7" applyNumberFormat="1" applyFont="1" applyFill="1" applyBorder="1" applyAlignment="1" applyProtection="1">
      <alignment horizontal="right" shrinkToFit="1"/>
      <protection hidden="1"/>
    </xf>
    <xf numFmtId="5" fontId="16" fillId="6" borderId="0" xfId="7" applyNumberFormat="1" applyFont="1" applyFill="1" applyBorder="1" applyAlignment="1" applyProtection="1">
      <alignment horizontal="right"/>
      <protection hidden="1"/>
    </xf>
    <xf numFmtId="0" fontId="16" fillId="6" borderId="59" xfId="7" applyFont="1" applyFill="1" applyBorder="1" applyAlignment="1" applyProtection="1">
      <alignment horizontal="center" shrinkToFit="1"/>
      <protection hidden="1"/>
    </xf>
    <xf numFmtId="5" fontId="27" fillId="6" borderId="59" xfId="7" applyNumberFormat="1" applyFont="1" applyFill="1" applyBorder="1" applyAlignment="1" applyProtection="1">
      <alignment horizontal="right" shrinkToFit="1"/>
      <protection hidden="1"/>
    </xf>
    <xf numFmtId="49" fontId="7" fillId="6" borderId="0" xfId="7" applyNumberFormat="1" applyFont="1" applyFill="1" applyBorder="1" applyAlignment="1" applyProtection="1">
      <alignment horizontal="right" shrinkToFit="1"/>
      <protection locked="0" hidden="1"/>
    </xf>
    <xf numFmtId="49" fontId="7" fillId="6" borderId="0" xfId="7" applyNumberFormat="1" applyFont="1" applyFill="1" applyBorder="1" applyAlignment="1" applyProtection="1">
      <alignment shrinkToFit="1"/>
      <protection locked="0" hidden="1"/>
    </xf>
    <xf numFmtId="180" fontId="37" fillId="6" borderId="0" xfId="7" applyNumberFormat="1" applyFont="1" applyFill="1" applyBorder="1" applyAlignment="1" applyProtection="1">
      <alignment horizontal="left" shrinkToFit="1"/>
      <protection hidden="1"/>
    </xf>
    <xf numFmtId="0" fontId="31" fillId="6" borderId="0" xfId="6" applyFont="1" applyFill="1" applyBorder="1" applyAlignment="1">
      <alignment shrinkToFit="1"/>
    </xf>
    <xf numFmtId="0" fontId="7" fillId="0" borderId="42" xfId="0" applyFont="1" applyFill="1" applyBorder="1" applyAlignment="1" applyProtection="1">
      <alignment vertical="center" shrinkToFit="1"/>
      <protection locked="0" hidden="1"/>
    </xf>
    <xf numFmtId="0" fontId="7" fillId="6" borderId="4" xfId="0" applyFont="1" applyFill="1" applyBorder="1" applyAlignment="1" applyProtection="1">
      <alignment vertical="center" shrinkToFit="1"/>
      <protection hidden="1"/>
    </xf>
    <xf numFmtId="0" fontId="7" fillId="6" borderId="102" xfId="0" applyFont="1" applyFill="1" applyBorder="1" applyAlignment="1" applyProtection="1">
      <alignment vertical="center" shrinkToFit="1"/>
      <protection hidden="1"/>
    </xf>
    <xf numFmtId="0" fontId="31" fillId="0" borderId="0" xfId="6" applyFont="1" applyFill="1" applyBorder="1" applyAlignment="1">
      <alignment shrinkToFit="1"/>
    </xf>
    <xf numFmtId="0" fontId="7" fillId="0" borderId="110" xfId="7" applyFont="1" applyFill="1" applyBorder="1" applyAlignment="1" applyProtection="1">
      <alignment horizontal="center"/>
      <protection locked="0" hidden="1"/>
    </xf>
    <xf numFmtId="0" fontId="7" fillId="0" borderId="111" xfId="7" applyFont="1" applyFill="1" applyBorder="1" applyAlignment="1" applyProtection="1">
      <alignment horizontal="center"/>
      <protection locked="0" hidden="1"/>
    </xf>
    <xf numFmtId="0" fontId="7" fillId="6" borderId="0" xfId="9" applyFont="1" applyFill="1" applyProtection="1">
      <protection hidden="1"/>
    </xf>
    <xf numFmtId="0" fontId="7" fillId="0" borderId="0" xfId="9" applyFont="1" applyFill="1" applyAlignment="1" applyProtection="1">
      <alignment shrinkToFit="1"/>
      <protection hidden="1"/>
    </xf>
    <xf numFmtId="49" fontId="7" fillId="0" borderId="0" xfId="9" applyNumberFormat="1" applyFont="1" applyFill="1" applyAlignment="1" applyProtection="1">
      <alignment horizontal="right" shrinkToFit="1"/>
      <protection hidden="1"/>
    </xf>
    <xf numFmtId="0" fontId="55" fillId="5" borderId="0" xfId="0" applyFont="1" applyFill="1">
      <alignment vertical="center"/>
    </xf>
    <xf numFmtId="0" fontId="43" fillId="0" borderId="0" xfId="9" applyFont="1" applyFill="1" applyAlignment="1" applyProtection="1">
      <alignment vertical="center"/>
      <protection locked="0" hidden="1"/>
    </xf>
    <xf numFmtId="49" fontId="20" fillId="0" borderId="0" xfId="4" applyNumberFormat="1" applyFont="1" applyFill="1" applyAlignment="1" applyProtection="1">
      <alignment horizontal="left" vertical="center"/>
      <protection locked="0"/>
    </xf>
    <xf numFmtId="0" fontId="7" fillId="0" borderId="77" xfId="9" applyNumberFormat="1" applyFont="1" applyFill="1" applyBorder="1" applyAlignment="1" applyProtection="1">
      <alignment shrinkToFit="1"/>
      <protection locked="0" hidden="1"/>
    </xf>
    <xf numFmtId="0" fontId="7" fillId="0" borderId="35" xfId="9" applyNumberFormat="1" applyFont="1" applyFill="1" applyBorder="1" applyAlignment="1" applyProtection="1">
      <alignment horizontal="left"/>
      <protection locked="0" hidden="1"/>
    </xf>
    <xf numFmtId="0" fontId="7" fillId="0" borderId="0" xfId="9" applyFont="1" applyFill="1" applyBorder="1" applyProtection="1">
      <protection locked="0" hidden="1"/>
    </xf>
    <xf numFmtId="0" fontId="7" fillId="0" borderId="0" xfId="9" applyFont="1" applyFill="1" applyBorder="1" applyAlignment="1" applyProtection="1">
      <alignment horizontal="left" shrinkToFit="1"/>
      <protection locked="0" hidden="1"/>
    </xf>
    <xf numFmtId="0" fontId="7" fillId="0" borderId="0" xfId="0" applyFont="1" applyFill="1" applyBorder="1" applyProtection="1">
      <alignment vertical="center"/>
      <protection locked="0" hidden="1"/>
    </xf>
    <xf numFmtId="49" fontId="18" fillId="0" borderId="0" xfId="9" applyNumberFormat="1" applyFont="1" applyFill="1" applyBorder="1" applyAlignment="1" applyProtection="1">
      <alignment shrinkToFit="1"/>
      <protection locked="0" hidden="1"/>
    </xf>
    <xf numFmtId="5" fontId="18" fillId="0" borderId="0" xfId="9" applyNumberFormat="1" applyFont="1" applyFill="1" applyBorder="1" applyAlignment="1" applyProtection="1">
      <alignment horizontal="center" shrinkToFit="1"/>
      <protection locked="0" hidden="1"/>
    </xf>
    <xf numFmtId="0" fontId="7" fillId="0" borderId="112" xfId="9" applyFont="1" applyFill="1" applyBorder="1" applyAlignment="1" applyProtection="1">
      <alignment shrinkToFit="1"/>
      <protection locked="0" hidden="1"/>
    </xf>
    <xf numFmtId="0" fontId="7" fillId="0" borderId="35" xfId="9" applyFont="1" applyFill="1" applyBorder="1" applyProtection="1">
      <protection locked="0" hidden="1"/>
    </xf>
    <xf numFmtId="0" fontId="7" fillId="0" borderId="35" xfId="9" applyFont="1" applyFill="1" applyBorder="1" applyAlignment="1" applyProtection="1">
      <alignment horizontal="left" shrinkToFit="1"/>
      <protection locked="0" hidden="1"/>
    </xf>
    <xf numFmtId="0" fontId="7" fillId="0" borderId="35" xfId="0" applyFont="1" applyFill="1" applyBorder="1" applyProtection="1">
      <alignment vertical="center"/>
      <protection locked="0" hidden="1"/>
    </xf>
    <xf numFmtId="49" fontId="18" fillId="0" borderId="35" xfId="9" applyNumberFormat="1" applyFont="1" applyFill="1" applyBorder="1" applyAlignment="1" applyProtection="1">
      <alignment shrinkToFit="1"/>
      <protection locked="0" hidden="1"/>
    </xf>
    <xf numFmtId="5" fontId="18" fillId="0" borderId="35" xfId="9" applyNumberFormat="1" applyFont="1" applyFill="1" applyBorder="1" applyAlignment="1" applyProtection="1">
      <alignment horizontal="center" shrinkToFit="1"/>
      <protection locked="0" hidden="1"/>
    </xf>
    <xf numFmtId="0" fontId="7" fillId="0" borderId="69" xfId="9" applyFont="1" applyFill="1" applyBorder="1" applyAlignment="1" applyProtection="1">
      <alignment shrinkToFit="1"/>
      <protection locked="0" hidden="1"/>
    </xf>
    <xf numFmtId="0" fontId="7" fillId="0" borderId="68" xfId="9" applyNumberFormat="1" applyFont="1" applyFill="1" applyBorder="1" applyAlignment="1" applyProtection="1">
      <alignment shrinkToFit="1"/>
      <protection locked="0" hidden="1"/>
    </xf>
    <xf numFmtId="0" fontId="7" fillId="0" borderId="7" xfId="9" applyNumberFormat="1" applyFont="1" applyFill="1" applyBorder="1" applyAlignment="1" applyProtection="1">
      <alignment horizontal="left"/>
      <protection locked="0" hidden="1"/>
    </xf>
    <xf numFmtId="0" fontId="7" fillId="0" borderId="7" xfId="9" applyFont="1" applyFill="1" applyBorder="1" applyProtection="1">
      <protection locked="0" hidden="1"/>
    </xf>
    <xf numFmtId="0" fontId="47" fillId="0" borderId="63" xfId="0" applyNumberFormat="1" applyFont="1" applyFill="1" applyBorder="1" applyAlignment="1" applyProtection="1">
      <alignment horizontal="center" vertical="center"/>
      <protection locked="0"/>
    </xf>
    <xf numFmtId="0" fontId="53" fillId="0" borderId="31" xfId="0" applyFont="1" applyBorder="1" applyAlignment="1">
      <alignment horizontal="center" vertical="center" wrapText="1"/>
    </xf>
    <xf numFmtId="0" fontId="53" fillId="0" borderId="34" xfId="7" applyFont="1" applyBorder="1" applyAlignment="1" applyProtection="1">
      <alignment horizontal="center" vertical="center" wrapText="1"/>
      <protection hidden="1"/>
    </xf>
    <xf numFmtId="49" fontId="47" fillId="0" borderId="113" xfId="0" applyNumberFormat="1" applyFont="1" applyFill="1" applyBorder="1" applyAlignment="1" applyProtection="1">
      <alignment horizontal="center" vertical="center"/>
      <protection locked="0"/>
    </xf>
    <xf numFmtId="0" fontId="11" fillId="6" borderId="0" xfId="0" applyFont="1" applyFill="1" applyBorder="1" applyAlignment="1" applyProtection="1">
      <alignment vertical="center" shrinkToFit="1"/>
      <protection hidden="1"/>
    </xf>
    <xf numFmtId="0" fontId="11" fillId="6" borderId="58" xfId="7" applyFont="1" applyFill="1" applyBorder="1" applyAlignment="1" applyProtection="1">
      <alignment horizontal="center" vertical="center"/>
      <protection hidden="1"/>
    </xf>
    <xf numFmtId="0" fontId="11" fillId="6" borderId="58" xfId="7" applyFont="1" applyFill="1" applyBorder="1" applyAlignment="1" applyProtection="1">
      <alignment horizontal="left" vertical="center"/>
      <protection hidden="1"/>
    </xf>
    <xf numFmtId="0" fontId="7" fillId="6" borderId="0" xfId="7" applyFont="1" applyFill="1" applyBorder="1" applyAlignment="1" applyProtection="1">
      <alignment horizontal="center"/>
      <protection locked="0" hidden="1"/>
    </xf>
    <xf numFmtId="0" fontId="7" fillId="6" borderId="0" xfId="7" applyFont="1" applyFill="1" applyBorder="1" applyAlignment="1" applyProtection="1">
      <alignment horizontal="center"/>
      <protection hidden="1"/>
    </xf>
    <xf numFmtId="0" fontId="11" fillId="6" borderId="0" xfId="0" applyFont="1" applyFill="1" applyBorder="1" applyAlignment="1" applyProtection="1">
      <alignment horizontal="right" vertical="center" shrinkToFit="1"/>
      <protection hidden="1"/>
    </xf>
    <xf numFmtId="0" fontId="11" fillId="6" borderId="0" xfId="7" applyFont="1" applyFill="1" applyBorder="1" applyAlignment="1" applyProtection="1">
      <alignment horizontal="center" vertical="center"/>
      <protection hidden="1"/>
    </xf>
    <xf numFmtId="0" fontId="11" fillId="6" borderId="0" xfId="7" applyFont="1" applyFill="1" applyBorder="1" applyAlignment="1" applyProtection="1">
      <alignment horizontal="left" vertical="center"/>
      <protection hidden="1"/>
    </xf>
    <xf numFmtId="0" fontId="7" fillId="6" borderId="0" xfId="7" applyFont="1" applyFill="1" applyBorder="1" applyAlignment="1" applyProtection="1">
      <alignment horizontal="right"/>
      <protection hidden="1"/>
    </xf>
    <xf numFmtId="0" fontId="7" fillId="6" borderId="0" xfId="7" applyFont="1" applyFill="1" applyBorder="1" applyProtection="1">
      <protection hidden="1"/>
    </xf>
    <xf numFmtId="0" fontId="7" fillId="6" borderId="0" xfId="7" applyFont="1" applyFill="1" applyAlignment="1" applyProtection="1">
      <alignment horizontal="right"/>
      <protection hidden="1"/>
    </xf>
    <xf numFmtId="0" fontId="7" fillId="6" borderId="0" xfId="7" applyFont="1" applyFill="1" applyProtection="1">
      <protection hidden="1"/>
    </xf>
    <xf numFmtId="0" fontId="11" fillId="6" borderId="0" xfId="7" applyFont="1" applyFill="1" applyBorder="1" applyAlignment="1" applyProtection="1">
      <alignment horizontal="right" vertical="center"/>
      <protection hidden="1"/>
    </xf>
    <xf numFmtId="0" fontId="11" fillId="0" borderId="78" xfId="7" applyFont="1" applyBorder="1" applyAlignment="1" applyProtection="1">
      <alignment horizontal="center" vertical="center"/>
      <protection hidden="1"/>
    </xf>
    <xf numFmtId="49" fontId="7" fillId="0" borderId="82" xfId="7" applyNumberFormat="1" applyFont="1" applyFill="1" applyBorder="1" applyAlignment="1" applyProtection="1">
      <alignment shrinkToFit="1"/>
      <protection locked="0" hidden="1"/>
    </xf>
    <xf numFmtId="49" fontId="0" fillId="0" borderId="0" xfId="0" applyNumberFormat="1" applyBorder="1" applyAlignment="1">
      <alignment horizontal="left" vertical="center"/>
    </xf>
    <xf numFmtId="0" fontId="7" fillId="0" borderId="23" xfId="7" applyNumberFormat="1" applyFont="1" applyFill="1" applyBorder="1" applyAlignment="1" applyProtection="1">
      <alignment horizontal="right"/>
      <protection locked="0" hidden="1"/>
    </xf>
    <xf numFmtId="49" fontId="7" fillId="0" borderId="23" xfId="7" applyNumberFormat="1" applyFont="1" applyFill="1" applyBorder="1" applyAlignment="1" applyProtection="1">
      <alignment shrinkToFit="1"/>
      <protection locked="0" hidden="1"/>
    </xf>
    <xf numFmtId="0" fontId="7" fillId="0" borderId="23" xfId="7" applyFont="1" applyBorder="1" applyAlignment="1" applyProtection="1">
      <alignment shrinkToFit="1"/>
      <protection hidden="1"/>
    </xf>
    <xf numFmtId="49" fontId="7" fillId="0" borderId="23" xfId="7" applyNumberFormat="1" applyFont="1" applyFill="1" applyBorder="1" applyAlignment="1" applyProtection="1">
      <alignment horizontal="right" shrinkToFit="1"/>
      <protection locked="0" hidden="1"/>
    </xf>
    <xf numFmtId="0" fontId="7" fillId="0" borderId="114" xfId="7" applyNumberFormat="1" applyFont="1" applyFill="1" applyBorder="1" applyAlignment="1" applyProtection="1">
      <alignment horizontal="right"/>
      <protection locked="0" hidden="1"/>
    </xf>
    <xf numFmtId="0" fontId="7" fillId="0" borderId="0" xfId="4" applyFont="1" applyFill="1" applyBorder="1" applyAlignment="1" applyProtection="1">
      <alignment vertical="center"/>
      <protection locked="0"/>
    </xf>
    <xf numFmtId="0" fontId="7" fillId="0" borderId="0" xfId="4" applyFont="1" applyFill="1" applyAlignment="1">
      <alignment vertical="center"/>
    </xf>
    <xf numFmtId="0" fontId="54" fillId="4" borderId="0" xfId="0" applyFont="1" applyFill="1">
      <alignment vertical="center"/>
    </xf>
    <xf numFmtId="0" fontId="4" fillId="0" borderId="0" xfId="0" applyFont="1" applyFill="1" applyBorder="1">
      <alignment vertical="center"/>
    </xf>
    <xf numFmtId="0" fontId="4" fillId="0" borderId="0" xfId="5" applyFont="1" applyFill="1" applyBorder="1" applyAlignment="1">
      <alignment horizontal="center"/>
    </xf>
    <xf numFmtId="0" fontId="4" fillId="0" borderId="0" xfId="0" applyFont="1" applyBorder="1">
      <alignment vertical="center"/>
    </xf>
    <xf numFmtId="0" fontId="4" fillId="0" borderId="0" xfId="5" applyFont="1" applyFill="1" applyBorder="1"/>
    <xf numFmtId="49" fontId="4" fillId="0" borderId="0" xfId="0" applyNumberFormat="1" applyFont="1" applyFill="1" applyBorder="1" applyAlignment="1">
      <alignment horizontal="left"/>
    </xf>
    <xf numFmtId="49" fontId="4" fillId="0" borderId="0" xfId="0" applyNumberFormat="1" applyFont="1" applyBorder="1" applyAlignment="1">
      <alignment horizontal="left"/>
    </xf>
    <xf numFmtId="49" fontId="4" fillId="0" borderId="0" xfId="0" applyNumberFormat="1" applyFont="1" applyBorder="1" applyAlignment="1"/>
    <xf numFmtId="0" fontId="31" fillId="0" borderId="0" xfId="7" applyFont="1" applyFill="1" applyBorder="1"/>
    <xf numFmtId="0" fontId="6" fillId="0" borderId="0" xfId="0" applyFont="1" applyFill="1" applyBorder="1" applyAlignment="1">
      <alignment horizontal="left"/>
    </xf>
    <xf numFmtId="0" fontId="11" fillId="7" borderId="93" xfId="7" applyFont="1" applyFill="1" applyBorder="1" applyAlignment="1" applyProtection="1">
      <alignment horizontal="left" vertical="center"/>
      <protection hidden="1"/>
    </xf>
    <xf numFmtId="0" fontId="7" fillId="0" borderId="115" xfId="7" applyFont="1" applyFill="1" applyBorder="1" applyAlignment="1" applyProtection="1">
      <alignment horizontal="center"/>
      <protection hidden="1"/>
    </xf>
    <xf numFmtId="0" fontId="11" fillId="6" borderId="116" xfId="0" applyFont="1" applyFill="1" applyBorder="1" applyAlignment="1" applyProtection="1">
      <alignment horizontal="right" vertical="center" shrinkToFit="1"/>
      <protection hidden="1"/>
    </xf>
    <xf numFmtId="0" fontId="11" fillId="6" borderId="45" xfId="0" applyFont="1" applyFill="1" applyBorder="1" applyAlignment="1" applyProtection="1">
      <alignment horizontal="right" vertical="center" shrinkToFit="1"/>
      <protection hidden="1"/>
    </xf>
    <xf numFmtId="0" fontId="11" fillId="6" borderId="117" xfId="0" applyFont="1" applyFill="1" applyBorder="1" applyAlignment="1" applyProtection="1">
      <alignment horizontal="right" vertical="center" shrinkToFit="1"/>
      <protection hidden="1"/>
    </xf>
    <xf numFmtId="0" fontId="11" fillId="6" borderId="77" xfId="7" applyFont="1" applyFill="1" applyBorder="1" applyAlignment="1" applyProtection="1">
      <alignment horizontal="left" vertical="center"/>
      <protection hidden="1"/>
    </xf>
    <xf numFmtId="0" fontId="11" fillId="7" borderId="42" xfId="7" applyFont="1" applyFill="1" applyBorder="1" applyAlignment="1" applyProtection="1">
      <alignment horizontal="left" vertical="center"/>
      <protection hidden="1"/>
    </xf>
    <xf numFmtId="0" fontId="7" fillId="10" borderId="48" xfId="7" applyFont="1" applyFill="1" applyBorder="1" applyAlignment="1" applyProtection="1">
      <alignment horizontal="center"/>
      <protection hidden="1"/>
    </xf>
    <xf numFmtId="0" fontId="7" fillId="10" borderId="6" xfId="7" applyFont="1" applyFill="1" applyBorder="1" applyAlignment="1" applyProtection="1">
      <alignment horizontal="center"/>
      <protection hidden="1"/>
    </xf>
    <xf numFmtId="0" fontId="7" fillId="10" borderId="53" xfId="0" applyNumberFormat="1" applyFont="1" applyFill="1" applyBorder="1" applyAlignment="1">
      <alignment horizontal="left" vertical="center" shrinkToFit="1"/>
    </xf>
    <xf numFmtId="0" fontId="7" fillId="0" borderId="27" xfId="8" applyNumberFormat="1" applyFont="1" applyBorder="1" applyAlignment="1" applyProtection="1">
      <alignment horizontal="center"/>
      <protection hidden="1"/>
    </xf>
    <xf numFmtId="0" fontId="7" fillId="10" borderId="54" xfId="0" applyNumberFormat="1" applyFont="1" applyFill="1" applyBorder="1" applyAlignment="1">
      <alignment horizontal="left" vertical="center" shrinkToFit="1"/>
    </xf>
    <xf numFmtId="0" fontId="7" fillId="0" borderId="21" xfId="8" applyNumberFormat="1" applyFont="1" applyBorder="1" applyAlignment="1" applyProtection="1">
      <alignment horizontal="center" shrinkToFit="1"/>
      <protection hidden="1"/>
    </xf>
    <xf numFmtId="0" fontId="7" fillId="7" borderId="6" xfId="7" applyNumberFormat="1" applyFont="1" applyFill="1" applyBorder="1" applyAlignment="1" applyProtection="1">
      <alignment horizontal="center"/>
      <protection hidden="1"/>
    </xf>
    <xf numFmtId="0" fontId="7" fillId="7" borderId="57" xfId="0" applyNumberFormat="1" applyFont="1" applyFill="1" applyBorder="1" applyAlignment="1">
      <alignment horizontal="left" vertical="center" shrinkToFit="1"/>
    </xf>
    <xf numFmtId="0" fontId="7" fillId="7" borderId="54" xfId="0" applyNumberFormat="1" applyFont="1" applyFill="1" applyBorder="1" applyAlignment="1">
      <alignment horizontal="left" vertical="center" shrinkToFit="1"/>
    </xf>
    <xf numFmtId="0" fontId="7" fillId="6" borderId="26" xfId="7" applyFont="1" applyFill="1" applyBorder="1" applyAlignment="1" applyProtection="1">
      <alignment horizontal="center"/>
      <protection hidden="1"/>
    </xf>
    <xf numFmtId="0" fontId="7" fillId="6" borderId="26" xfId="7" applyFont="1" applyFill="1" applyBorder="1" applyAlignment="1" applyProtection="1">
      <alignment horizontal="right"/>
      <protection hidden="1"/>
    </xf>
    <xf numFmtId="49" fontId="7" fillId="6" borderId="26" xfId="7" applyNumberFormat="1" applyFont="1" applyFill="1" applyBorder="1" applyAlignment="1" applyProtection="1">
      <alignment horizontal="right"/>
      <protection hidden="1"/>
    </xf>
    <xf numFmtId="49" fontId="7" fillId="6" borderId="118" xfId="7" applyNumberFormat="1" applyFont="1" applyFill="1" applyBorder="1" applyAlignment="1" applyProtection="1">
      <alignment horizontal="right"/>
      <protection hidden="1"/>
    </xf>
    <xf numFmtId="49" fontId="7" fillId="12" borderId="26" xfId="7" applyNumberFormat="1" applyFont="1" applyFill="1" applyBorder="1" applyAlignment="1" applyProtection="1">
      <alignment horizontal="right"/>
      <protection hidden="1"/>
    </xf>
    <xf numFmtId="0" fontId="7" fillId="6" borderId="26" xfId="7" applyFont="1" applyFill="1" applyBorder="1" applyAlignment="1" applyProtection="1">
      <alignment horizontal="right"/>
      <protection hidden="1"/>
    </xf>
    <xf numFmtId="49" fontId="7" fillId="6" borderId="26" xfId="7" applyNumberFormat="1" applyFont="1" applyFill="1" applyBorder="1" applyAlignment="1" applyProtection="1">
      <alignment horizontal="right"/>
      <protection hidden="1"/>
    </xf>
    <xf numFmtId="49" fontId="4" fillId="0" borderId="0" xfId="0" applyNumberFormat="1" applyFont="1" applyFill="1" applyBorder="1" applyAlignment="1">
      <alignment horizontal="right"/>
    </xf>
    <xf numFmtId="0" fontId="4" fillId="0" borderId="0" xfId="0" applyNumberFormat="1" applyFont="1" applyBorder="1" applyAlignment="1">
      <alignment horizontal="right"/>
    </xf>
    <xf numFmtId="49" fontId="4" fillId="0" borderId="0" xfId="0" applyNumberFormat="1" applyFont="1" applyBorder="1" applyAlignment="1">
      <alignment horizontal="right"/>
    </xf>
    <xf numFmtId="0" fontId="6" fillId="0" borderId="0" xfId="6" applyNumberFormat="1" applyFont="1" applyFill="1" applyBorder="1" applyAlignment="1">
      <alignment horizontal="right" vertical="center"/>
    </xf>
    <xf numFmtId="0" fontId="47" fillId="0" borderId="37" xfId="0" applyNumberFormat="1" applyFont="1" applyFill="1" applyBorder="1" applyAlignment="1" applyProtection="1">
      <alignment horizontal="center" vertical="center"/>
      <protection locked="0"/>
    </xf>
    <xf numFmtId="0" fontId="47" fillId="0" borderId="102" xfId="0" applyNumberFormat="1" applyFont="1" applyFill="1" applyBorder="1" applyAlignment="1" applyProtection="1">
      <alignment horizontal="center" vertical="center"/>
      <protection locked="0"/>
    </xf>
    <xf numFmtId="0" fontId="7" fillId="0" borderId="23" xfId="7" applyFont="1" applyFill="1" applyBorder="1" applyAlignment="1" applyProtection="1">
      <alignment horizontal="center"/>
      <protection hidden="1"/>
    </xf>
    <xf numFmtId="0" fontId="7" fillId="0" borderId="42" xfId="7" applyFont="1" applyFill="1" applyBorder="1" applyAlignment="1" applyProtection="1">
      <alignment horizontal="center"/>
      <protection hidden="1"/>
    </xf>
    <xf numFmtId="49" fontId="56" fillId="13" borderId="0" xfId="7" applyNumberFormat="1" applyFont="1" applyFill="1" applyBorder="1" applyAlignment="1" applyProtection="1">
      <alignment horizontal="left"/>
      <protection hidden="1"/>
    </xf>
    <xf numFmtId="49" fontId="56" fillId="13" borderId="0" xfId="7" applyNumberFormat="1" applyFont="1" applyFill="1" applyBorder="1" applyAlignment="1" applyProtection="1">
      <alignment horizontal="right" shrinkToFit="1"/>
      <protection hidden="1"/>
    </xf>
    <xf numFmtId="0" fontId="7" fillId="0" borderId="8" xfId="0" applyFont="1" applyBorder="1" applyAlignment="1" applyProtection="1">
      <alignment horizontal="right" vertical="center"/>
      <protection hidden="1"/>
    </xf>
    <xf numFmtId="0" fontId="57" fillId="13" borderId="0" xfId="7" applyFont="1" applyFill="1" applyAlignment="1" applyProtection="1">
      <alignment horizontal="left"/>
      <protection hidden="1"/>
    </xf>
    <xf numFmtId="0" fontId="58" fillId="13" borderId="0" xfId="7" applyFont="1" applyFill="1" applyProtection="1">
      <protection hidden="1"/>
    </xf>
    <xf numFmtId="49" fontId="56" fillId="13" borderId="0" xfId="7" applyNumberFormat="1" applyFont="1" applyFill="1" applyProtection="1">
      <protection hidden="1"/>
    </xf>
    <xf numFmtId="0" fontId="7" fillId="0" borderId="42" xfId="7" applyFont="1" applyFill="1" applyBorder="1" applyProtection="1">
      <protection hidden="1"/>
    </xf>
    <xf numFmtId="0" fontId="7" fillId="0" borderId="4" xfId="7" applyFont="1" applyFill="1" applyBorder="1" applyProtection="1">
      <protection hidden="1"/>
    </xf>
    <xf numFmtId="0" fontId="7" fillId="0" borderId="43" xfId="7" applyFont="1" applyFill="1" applyBorder="1" applyProtection="1">
      <protection hidden="1"/>
    </xf>
    <xf numFmtId="0" fontId="60" fillId="13" borderId="0" xfId="0" applyNumberFormat="1" applyFont="1" applyFill="1" applyAlignment="1">
      <alignment horizontal="left"/>
    </xf>
    <xf numFmtId="0" fontId="60" fillId="13" borderId="0" xfId="0" applyNumberFormat="1" applyFont="1" applyFill="1" applyAlignment="1">
      <alignment horizontal="center"/>
    </xf>
    <xf numFmtId="0" fontId="60" fillId="13" borderId="0" xfId="0" applyFont="1" applyFill="1" applyAlignment="1">
      <alignment horizontal="center"/>
    </xf>
    <xf numFmtId="0" fontId="7" fillId="14" borderId="0" xfId="7" applyFont="1" applyFill="1" applyProtection="1">
      <protection hidden="1"/>
    </xf>
    <xf numFmtId="0" fontId="7" fillId="14" borderId="0" xfId="7" applyFont="1" applyFill="1" applyBorder="1" applyProtection="1">
      <protection hidden="1"/>
    </xf>
    <xf numFmtId="0" fontId="11" fillId="14" borderId="0" xfId="7" applyFont="1" applyFill="1" applyAlignment="1" applyProtection="1">
      <alignment horizontal="center" vertical="center"/>
      <protection hidden="1"/>
    </xf>
    <xf numFmtId="49" fontId="7" fillId="14" borderId="0" xfId="7" applyNumberFormat="1" applyFont="1" applyFill="1" applyProtection="1">
      <protection hidden="1"/>
    </xf>
    <xf numFmtId="0" fontId="7" fillId="14" borderId="0" xfId="7" applyFont="1" applyFill="1" applyAlignment="1" applyProtection="1">
      <alignment horizontal="center"/>
      <protection hidden="1"/>
    </xf>
    <xf numFmtId="0" fontId="7" fillId="14" borderId="0" xfId="0" applyFont="1" applyFill="1" applyProtection="1">
      <alignment vertical="center"/>
      <protection hidden="1"/>
    </xf>
    <xf numFmtId="49" fontId="7" fillId="14" borderId="0" xfId="7" applyNumberFormat="1" applyFont="1" applyFill="1" applyAlignment="1" applyProtection="1">
      <alignment shrinkToFit="1"/>
      <protection hidden="1"/>
    </xf>
    <xf numFmtId="0" fontId="7" fillId="14" borderId="0" xfId="7" applyFont="1" applyFill="1" applyAlignment="1" applyProtection="1">
      <alignment horizontal="center" shrinkToFit="1"/>
      <protection hidden="1"/>
    </xf>
    <xf numFmtId="49" fontId="7" fillId="14" borderId="0" xfId="7" applyNumberFormat="1" applyFont="1" applyFill="1" applyAlignment="1" applyProtection="1">
      <alignment horizontal="right" shrinkToFit="1"/>
      <protection hidden="1"/>
    </xf>
    <xf numFmtId="0" fontId="7" fillId="14" borderId="0" xfId="7" applyFont="1" applyFill="1" applyAlignment="1" applyProtection="1">
      <alignment shrinkToFit="1"/>
      <protection hidden="1"/>
    </xf>
    <xf numFmtId="49" fontId="7" fillId="14" borderId="0" xfId="7" applyNumberFormat="1" applyFont="1" applyFill="1" applyAlignment="1" applyProtection="1">
      <alignment horizontal="center" shrinkToFit="1"/>
      <protection hidden="1"/>
    </xf>
    <xf numFmtId="0" fontId="7" fillId="14" borderId="0" xfId="7" applyFont="1" applyFill="1" applyAlignment="1" applyProtection="1">
      <alignment horizontal="left"/>
      <protection hidden="1"/>
    </xf>
    <xf numFmtId="0" fontId="7" fillId="14" borderId="0" xfId="7" applyFont="1" applyFill="1"/>
    <xf numFmtId="0" fontId="7" fillId="14" borderId="0" xfId="7" applyFont="1" applyFill="1" applyBorder="1" applyAlignment="1" applyProtection="1">
      <alignment horizontal="left"/>
      <protection hidden="1"/>
    </xf>
    <xf numFmtId="5" fontId="27" fillId="6" borderId="0" xfId="7" applyNumberFormat="1" applyFont="1" applyFill="1" applyBorder="1" applyAlignment="1" applyProtection="1">
      <alignment horizontal="left" shrinkToFit="1"/>
      <protection hidden="1"/>
    </xf>
    <xf numFmtId="0" fontId="0" fillId="0" borderId="0" xfId="0" applyAlignment="1">
      <alignment horizontal="center" vertical="center"/>
    </xf>
    <xf numFmtId="0" fontId="31" fillId="0" borderId="0" xfId="0" applyFont="1" applyFill="1" applyBorder="1" applyProtection="1">
      <alignment vertical="center"/>
      <protection locked="0" hidden="1"/>
    </xf>
    <xf numFmtId="0" fontId="37" fillId="0" borderId="26" xfId="0" applyFont="1" applyBorder="1">
      <alignment vertical="center"/>
    </xf>
    <xf numFmtId="5" fontId="0" fillId="0" borderId="26" xfId="0" applyNumberFormat="1" applyBorder="1">
      <alignment vertical="center"/>
    </xf>
    <xf numFmtId="0" fontId="61" fillId="0" borderId="0" xfId="0" applyFont="1">
      <alignment vertical="center"/>
    </xf>
    <xf numFmtId="0" fontId="62" fillId="0" borderId="0" xfId="0" applyFont="1" applyAlignment="1">
      <alignment horizontal="justify" vertical="center"/>
    </xf>
    <xf numFmtId="49" fontId="63" fillId="6" borderId="0" xfId="9" applyNumberFormat="1" applyFont="1" applyFill="1" applyBorder="1" applyAlignment="1" applyProtection="1">
      <alignment shrinkToFit="1"/>
      <protection hidden="1"/>
    </xf>
    <xf numFmtId="5" fontId="64" fillId="6" borderId="0" xfId="9" applyNumberFormat="1" applyFont="1" applyFill="1" applyBorder="1" applyAlignment="1" applyProtection="1">
      <alignment horizontal="left"/>
      <protection hidden="1"/>
    </xf>
    <xf numFmtId="0" fontId="59" fillId="14" borderId="7" xfId="9" applyNumberFormat="1" applyFont="1" applyFill="1" applyBorder="1" applyAlignment="1" applyProtection="1">
      <alignment vertical="center" wrapText="1"/>
      <protection hidden="1"/>
    </xf>
    <xf numFmtId="0" fontId="59" fillId="14" borderId="0" xfId="9" applyNumberFormat="1" applyFont="1" applyFill="1" applyBorder="1" applyAlignment="1" applyProtection="1">
      <alignment vertical="center" wrapText="1"/>
      <protection hidden="1"/>
    </xf>
    <xf numFmtId="0" fontId="7" fillId="14" borderId="0" xfId="9" applyFont="1" applyFill="1" applyProtection="1">
      <protection hidden="1"/>
    </xf>
    <xf numFmtId="0" fontId="7" fillId="14" borderId="0" xfId="9" applyFont="1" applyFill="1" applyAlignment="1" applyProtection="1">
      <alignment horizontal="center"/>
      <protection hidden="1"/>
    </xf>
    <xf numFmtId="0" fontId="7" fillId="14" borderId="0" xfId="9" applyFont="1" applyFill="1" applyAlignment="1" applyProtection="1">
      <alignment horizontal="right"/>
      <protection hidden="1"/>
    </xf>
    <xf numFmtId="0" fontId="31" fillId="0" borderId="26" xfId="0" applyFont="1" applyBorder="1" applyProtection="1">
      <alignment vertical="center"/>
      <protection locked="0" hidden="1"/>
    </xf>
    <xf numFmtId="0" fontId="31" fillId="0" borderId="26" xfId="0" applyFont="1" applyBorder="1" applyAlignment="1" applyProtection="1">
      <alignment horizontal="center" vertical="center"/>
      <protection locked="0" hidden="1"/>
    </xf>
    <xf numFmtId="0" fontId="31" fillId="0" borderId="26" xfId="0" applyFont="1" applyBorder="1" applyAlignment="1" applyProtection="1">
      <alignment vertical="center" shrinkToFit="1"/>
      <protection locked="0" hidden="1"/>
    </xf>
    <xf numFmtId="0" fontId="31" fillId="0" borderId="26" xfId="0" applyFont="1" applyBorder="1" applyAlignment="1" applyProtection="1">
      <alignment vertical="center" wrapText="1"/>
      <protection locked="0" hidden="1"/>
    </xf>
    <xf numFmtId="0" fontId="31" fillId="0" borderId="66" xfId="0" applyFont="1" applyBorder="1" applyProtection="1">
      <alignment vertical="center"/>
      <protection locked="0" hidden="1"/>
    </xf>
    <xf numFmtId="0" fontId="31" fillId="0" borderId="130" xfId="0" applyFont="1" applyBorder="1" applyProtection="1">
      <alignment vertical="center"/>
      <protection locked="0" hidden="1"/>
    </xf>
    <xf numFmtId="0" fontId="31" fillId="0" borderId="130" xfId="0" applyFont="1" applyBorder="1" applyAlignment="1" applyProtection="1">
      <alignment horizontal="center" vertical="center"/>
      <protection locked="0" hidden="1"/>
    </xf>
    <xf numFmtId="0" fontId="31" fillId="0" borderId="130" xfId="0" applyFont="1" applyBorder="1" applyAlignment="1" applyProtection="1">
      <alignment vertical="center" shrinkToFit="1"/>
      <protection locked="0" hidden="1"/>
    </xf>
    <xf numFmtId="0" fontId="31" fillId="0" borderId="130" xfId="0" applyFont="1" applyBorder="1" applyAlignment="1" applyProtection="1">
      <alignment vertical="center" wrapText="1"/>
      <protection locked="0" hidden="1"/>
    </xf>
    <xf numFmtId="0" fontId="31" fillId="0" borderId="21" xfId="0" applyFont="1" applyBorder="1" applyProtection="1">
      <alignment vertical="center"/>
      <protection locked="0" hidden="1"/>
    </xf>
    <xf numFmtId="0" fontId="11" fillId="0" borderId="119" xfId="9" applyNumberFormat="1" applyFont="1" applyFill="1" applyBorder="1" applyAlignment="1" applyProtection="1">
      <protection locked="0" hidden="1"/>
    </xf>
    <xf numFmtId="0" fontId="7" fillId="0" borderId="18" xfId="9" applyNumberFormat="1" applyFont="1" applyFill="1" applyBorder="1" applyAlignment="1" applyProtection="1">
      <protection locked="0" hidden="1"/>
    </xf>
    <xf numFmtId="0" fontId="7" fillId="0" borderId="24" xfId="9" applyNumberFormat="1" applyFont="1" applyFill="1" applyBorder="1" applyAlignment="1" applyProtection="1">
      <protection locked="0" hidden="1"/>
    </xf>
    <xf numFmtId="0" fontId="7" fillId="0" borderId="0" xfId="0" applyFont="1" applyFill="1" applyBorder="1" applyAlignment="1" applyProtection="1">
      <alignment shrinkToFit="1"/>
      <protection locked="0" hidden="1"/>
    </xf>
    <xf numFmtId="0" fontId="7" fillId="0" borderId="35" xfId="0" applyFont="1" applyFill="1" applyBorder="1" applyAlignment="1" applyProtection="1">
      <alignment shrinkToFit="1"/>
      <protection locked="0" hidden="1"/>
    </xf>
    <xf numFmtId="0" fontId="11" fillId="0" borderId="0" xfId="7" applyFont="1" applyFill="1" applyBorder="1" applyAlignment="1" applyProtection="1">
      <alignment horizontal="left"/>
      <protection locked="0" hidden="1"/>
    </xf>
    <xf numFmtId="0" fontId="31" fillId="14" borderId="67" xfId="0" applyFont="1" applyFill="1" applyBorder="1" applyProtection="1">
      <alignment vertical="center"/>
      <protection hidden="1"/>
    </xf>
    <xf numFmtId="0" fontId="31" fillId="14" borderId="26" xfId="0" applyFont="1" applyFill="1" applyBorder="1" applyProtection="1">
      <alignment vertical="center"/>
      <protection hidden="1"/>
    </xf>
    <xf numFmtId="0" fontId="31" fillId="14" borderId="130" xfId="0" applyFont="1" applyFill="1" applyBorder="1" applyProtection="1">
      <alignment vertical="center"/>
      <protection hidden="1"/>
    </xf>
    <xf numFmtId="0" fontId="31" fillId="14" borderId="131" xfId="0" applyFont="1" applyFill="1" applyBorder="1">
      <alignment vertical="center"/>
    </xf>
    <xf numFmtId="0" fontId="31" fillId="14" borderId="132" xfId="0" applyFont="1" applyFill="1" applyBorder="1">
      <alignment vertical="center"/>
    </xf>
    <xf numFmtId="0" fontId="31" fillId="14" borderId="132" xfId="0" applyFont="1" applyFill="1" applyBorder="1" applyAlignment="1">
      <alignment horizontal="center" vertical="center" wrapText="1"/>
    </xf>
    <xf numFmtId="0" fontId="31" fillId="14" borderId="133" xfId="0" applyFont="1" applyFill="1" applyBorder="1" applyAlignment="1">
      <alignment horizontal="center" vertical="center"/>
    </xf>
    <xf numFmtId="0" fontId="31" fillId="14" borderId="52" xfId="0" applyFont="1" applyFill="1" applyBorder="1" applyAlignment="1" applyProtection="1">
      <alignment horizontal="center" vertical="center"/>
      <protection hidden="1"/>
    </xf>
    <xf numFmtId="0" fontId="31" fillId="14" borderId="87" xfId="0" applyFont="1" applyFill="1" applyBorder="1" applyAlignment="1" applyProtection="1">
      <alignment horizontal="center" vertical="center"/>
      <protection hidden="1"/>
    </xf>
    <xf numFmtId="0" fontId="31" fillId="14" borderId="134" xfId="0" applyFont="1" applyFill="1" applyBorder="1" applyAlignment="1">
      <alignment horizontal="center" vertical="center" wrapText="1"/>
    </xf>
    <xf numFmtId="5" fontId="27" fillId="6" borderId="0" xfId="7" applyNumberFormat="1" applyFont="1" applyFill="1" applyBorder="1" applyAlignment="1" applyProtection="1">
      <alignment horizontal="right"/>
      <protection hidden="1"/>
    </xf>
    <xf numFmtId="0" fontId="11" fillId="6" borderId="46" xfId="0" applyFont="1" applyFill="1" applyBorder="1" applyAlignment="1" applyProtection="1">
      <alignment horizontal="right" vertical="center" shrinkToFit="1"/>
      <protection hidden="1"/>
    </xf>
    <xf numFmtId="0" fontId="7" fillId="6" borderId="59" xfId="7" applyFont="1" applyFill="1" applyBorder="1" applyAlignment="1" applyProtection="1">
      <alignment horizontal="center" shrinkToFit="1"/>
      <protection hidden="1"/>
    </xf>
    <xf numFmtId="0" fontId="7" fillId="6" borderId="59" xfId="7" applyFont="1" applyFill="1" applyBorder="1" applyAlignment="1" applyProtection="1">
      <alignment horizontal="right"/>
      <protection hidden="1"/>
    </xf>
    <xf numFmtId="0" fontId="7" fillId="7" borderId="53" xfId="0" applyNumberFormat="1" applyFont="1" applyFill="1" applyBorder="1" applyAlignment="1">
      <alignment horizontal="left" vertical="center" shrinkToFit="1"/>
    </xf>
    <xf numFmtId="49" fontId="7" fillId="7" borderId="54" xfId="0" applyNumberFormat="1" applyFont="1" applyFill="1" applyBorder="1" applyAlignment="1">
      <alignment horizontal="left" vertical="center" shrinkToFit="1"/>
    </xf>
    <xf numFmtId="49" fontId="7" fillId="7" borderId="55" xfId="0" applyNumberFormat="1" applyFont="1" applyFill="1" applyBorder="1" applyAlignment="1">
      <alignment horizontal="left" vertical="center" shrinkToFit="1"/>
    </xf>
    <xf numFmtId="5" fontId="37" fillId="6" borderId="35" xfId="7" applyNumberFormat="1" applyFont="1" applyFill="1" applyBorder="1" applyAlignment="1" applyProtection="1">
      <alignment horizontal="left" shrinkToFit="1"/>
      <protection hidden="1"/>
    </xf>
    <xf numFmtId="0" fontId="31" fillId="0" borderId="135" xfId="0" applyFont="1" applyBorder="1" applyAlignment="1" applyProtection="1">
      <alignment horizontal="right" vertical="center"/>
      <protection locked="0" hidden="1"/>
    </xf>
    <xf numFmtId="0" fontId="31" fillId="0" borderId="136" xfId="0" applyFont="1" applyBorder="1" applyAlignment="1" applyProtection="1">
      <alignment horizontal="right" vertical="center"/>
      <protection locked="0" hidden="1"/>
    </xf>
    <xf numFmtId="0" fontId="31" fillId="0" borderId="137" xfId="0" applyFont="1" applyBorder="1" applyAlignment="1" applyProtection="1">
      <alignment horizontal="right" vertical="center"/>
      <protection locked="0" hidden="1"/>
    </xf>
    <xf numFmtId="0" fontId="27" fillId="6" borderId="0" xfId="7" applyFont="1" applyFill="1" applyAlignment="1" applyProtection="1">
      <alignment horizontal="right"/>
      <protection hidden="1"/>
    </xf>
    <xf numFmtId="0" fontId="27" fillId="6" borderId="0" xfId="0" applyFont="1" applyFill="1" applyAlignment="1" applyProtection="1">
      <protection hidden="1"/>
    </xf>
    <xf numFmtId="0" fontId="27" fillId="6" borderId="0" xfId="7" applyFont="1" applyFill="1" applyAlignment="1" applyProtection="1">
      <protection hidden="1"/>
    </xf>
    <xf numFmtId="5" fontId="37" fillId="6" borderId="35" xfId="7" applyNumberFormat="1" applyFont="1" applyFill="1" applyBorder="1" applyAlignment="1" applyProtection="1">
      <alignment horizontal="center"/>
      <protection hidden="1"/>
    </xf>
    <xf numFmtId="5" fontId="37" fillId="6" borderId="35" xfId="7" applyNumberFormat="1" applyFont="1" applyFill="1" applyBorder="1" applyAlignment="1" applyProtection="1">
      <alignment horizontal="left"/>
      <protection hidden="1"/>
    </xf>
    <xf numFmtId="0" fontId="62" fillId="0" borderId="0" xfId="0" applyFont="1" applyAlignment="1">
      <alignment horizontal="justify" vertical="center"/>
    </xf>
    <xf numFmtId="49" fontId="47" fillId="0" borderId="63" xfId="0" applyNumberFormat="1" applyFont="1" applyFill="1" applyBorder="1" applyAlignment="1" applyProtection="1">
      <alignment horizontal="center" vertical="center"/>
      <protection locked="0"/>
    </xf>
    <xf numFmtId="0" fontId="31" fillId="14" borderId="0" xfId="6" applyFont="1" applyFill="1" applyBorder="1"/>
    <xf numFmtId="0" fontId="37" fillId="14" borderId="0" xfId="6" applyFont="1" applyFill="1" applyBorder="1" applyAlignment="1">
      <alignment horizontal="left"/>
    </xf>
    <xf numFmtId="0" fontId="50" fillId="0" borderId="79" xfId="0" applyFont="1" applyFill="1" applyBorder="1" applyAlignment="1" applyProtection="1">
      <alignment horizontal="right" vertical="center"/>
      <protection locked="0" hidden="1"/>
    </xf>
    <xf numFmtId="0" fontId="50" fillId="0" borderId="80" xfId="0" applyFont="1" applyFill="1" applyBorder="1" applyAlignment="1" applyProtection="1">
      <alignment horizontal="right" vertical="center"/>
      <protection locked="0" hidden="1"/>
    </xf>
    <xf numFmtId="0" fontId="7" fillId="0" borderId="80" xfId="6" applyFont="1" applyFill="1" applyBorder="1" applyAlignment="1" applyProtection="1">
      <alignment horizontal="right"/>
      <protection locked="0" hidden="1"/>
    </xf>
    <xf numFmtId="0" fontId="7" fillId="0" borderId="142" xfId="6" applyFont="1" applyFill="1" applyBorder="1" applyAlignment="1" applyProtection="1">
      <alignment horizontal="right"/>
      <protection locked="0" hidden="1"/>
    </xf>
    <xf numFmtId="0" fontId="11" fillId="0" borderId="31" xfId="7" applyFont="1" applyBorder="1" applyAlignment="1" applyProtection="1">
      <alignment horizontal="center" vertical="center" wrapText="1"/>
      <protection hidden="1"/>
    </xf>
    <xf numFmtId="0" fontId="7" fillId="0" borderId="3" xfId="7" applyFont="1" applyFill="1" applyBorder="1" applyAlignment="1" applyProtection="1">
      <alignment horizontal="right"/>
      <protection hidden="1"/>
    </xf>
    <xf numFmtId="0" fontId="7" fillId="0" borderId="25" xfId="7" applyNumberFormat="1" applyFont="1" applyBorder="1" applyAlignment="1" applyProtection="1">
      <alignment horizontal="right"/>
      <protection hidden="1"/>
    </xf>
    <xf numFmtId="0" fontId="7" fillId="0" borderId="23" xfId="7" applyFont="1" applyFill="1" applyBorder="1" applyAlignment="1" applyProtection="1">
      <alignment horizontal="right"/>
      <protection hidden="1"/>
    </xf>
    <xf numFmtId="0" fontId="7" fillId="0" borderId="8" xfId="7" applyNumberFormat="1" applyFont="1" applyBorder="1" applyAlignment="1" applyProtection="1">
      <alignment horizontal="right"/>
      <protection hidden="1"/>
    </xf>
    <xf numFmtId="0" fontId="7" fillId="0" borderId="9" xfId="7" applyNumberFormat="1" applyFont="1" applyBorder="1" applyAlignment="1" applyProtection="1">
      <alignment horizontal="right"/>
      <protection hidden="1"/>
    </xf>
    <xf numFmtId="0" fontId="31" fillId="0" borderId="143" xfId="0" applyFont="1" applyBorder="1" applyAlignment="1" applyProtection="1">
      <alignment horizontal="right" vertical="center"/>
      <protection locked="0" hidden="1"/>
    </xf>
    <xf numFmtId="0" fontId="31" fillId="0" borderId="144" xfId="0" applyFont="1" applyBorder="1" applyAlignment="1" applyProtection="1">
      <alignment horizontal="right" vertical="center"/>
      <protection locked="0" hidden="1"/>
    </xf>
    <xf numFmtId="0" fontId="31" fillId="14" borderId="56" xfId="0" applyFont="1" applyFill="1" applyBorder="1" applyProtection="1">
      <alignment vertical="center"/>
      <protection hidden="1"/>
    </xf>
    <xf numFmtId="0" fontId="22" fillId="6" borderId="0" xfId="7" applyFont="1" applyFill="1" applyAlignment="1" applyProtection="1">
      <alignment horizontal="left" shrinkToFit="1"/>
      <protection hidden="1"/>
    </xf>
    <xf numFmtId="0" fontId="7" fillId="0" borderId="23" xfId="7" applyFont="1" applyFill="1" applyBorder="1" applyAlignment="1" applyProtection="1">
      <alignment shrinkToFit="1"/>
      <protection hidden="1"/>
    </xf>
    <xf numFmtId="0" fontId="7" fillId="0" borderId="23" xfId="7" applyFont="1" applyBorder="1" applyProtection="1">
      <protection hidden="1"/>
    </xf>
    <xf numFmtId="0" fontId="11" fillId="14" borderId="0" xfId="7" applyFont="1" applyFill="1" applyAlignment="1" applyProtection="1">
      <alignment horizontal="left"/>
      <protection hidden="1"/>
    </xf>
    <xf numFmtId="0" fontId="11" fillId="14" borderId="0" xfId="7" applyFont="1" applyFill="1" applyBorder="1" applyAlignment="1" applyProtection="1">
      <alignment horizontal="left"/>
      <protection hidden="1"/>
    </xf>
    <xf numFmtId="0" fontId="37" fillId="0" borderId="96" xfId="7" applyFont="1" applyFill="1" applyBorder="1" applyAlignment="1" applyProtection="1">
      <alignment horizontal="center" shrinkToFit="1"/>
      <protection locked="0" hidden="1"/>
    </xf>
    <xf numFmtId="0" fontId="37" fillId="0" borderId="96" xfId="7" applyNumberFormat="1" applyFont="1" applyFill="1" applyBorder="1" applyAlignment="1" applyProtection="1">
      <alignment horizontal="center" vertical="center"/>
      <protection locked="0" hidden="1"/>
    </xf>
    <xf numFmtId="0" fontId="37" fillId="0" borderId="96" xfId="7" applyNumberFormat="1" applyFont="1" applyFill="1" applyBorder="1" applyAlignment="1" applyProtection="1">
      <alignment horizontal="center"/>
      <protection locked="0" hidden="1"/>
    </xf>
    <xf numFmtId="0" fontId="7" fillId="0" borderId="119" xfId="7" applyFont="1" applyFill="1" applyBorder="1" applyProtection="1">
      <protection hidden="1"/>
    </xf>
    <xf numFmtId="0" fontId="7" fillId="0" borderId="18" xfId="7" applyFont="1" applyFill="1" applyBorder="1" applyProtection="1">
      <protection hidden="1"/>
    </xf>
    <xf numFmtId="0" fontId="7" fillId="0" borderId="24" xfId="7" applyFont="1" applyFill="1" applyBorder="1" applyProtection="1">
      <protection hidden="1"/>
    </xf>
    <xf numFmtId="0" fontId="7" fillId="0" borderId="77" xfId="7" applyFont="1" applyFill="1" applyBorder="1" applyProtection="1">
      <protection hidden="1"/>
    </xf>
    <xf numFmtId="0" fontId="7" fillId="0" borderId="112" xfId="7" applyFont="1" applyFill="1" applyBorder="1" applyProtection="1">
      <protection hidden="1"/>
    </xf>
    <xf numFmtId="0" fontId="7" fillId="0" borderId="68" xfId="7" applyFont="1" applyFill="1" applyBorder="1" applyProtection="1">
      <protection hidden="1"/>
    </xf>
    <xf numFmtId="0" fontId="7" fillId="0" borderId="35" xfId="7" applyFont="1" applyFill="1" applyBorder="1" applyProtection="1">
      <protection hidden="1"/>
    </xf>
    <xf numFmtId="0" fontId="7" fillId="0" borderId="69" xfId="7" applyFont="1" applyFill="1" applyBorder="1" applyProtection="1">
      <protection hidden="1"/>
    </xf>
    <xf numFmtId="49" fontId="11" fillId="0" borderId="31" xfId="7" applyNumberFormat="1" applyFont="1" applyBorder="1" applyAlignment="1" applyProtection="1">
      <alignment horizontal="center" vertical="center" wrapText="1"/>
      <protection hidden="1"/>
    </xf>
    <xf numFmtId="0" fontId="11" fillId="0" borderId="38" xfId="7" applyFont="1" applyBorder="1" applyAlignment="1" applyProtection="1">
      <alignment horizontal="center" vertical="center" wrapText="1"/>
      <protection hidden="1"/>
    </xf>
    <xf numFmtId="0" fontId="7" fillId="0" borderId="5" xfId="7" applyFont="1" applyFill="1" applyBorder="1" applyAlignment="1" applyProtection="1">
      <alignment horizontal="right"/>
      <protection hidden="1"/>
    </xf>
    <xf numFmtId="0" fontId="7" fillId="0" borderId="94" xfId="7" applyFont="1" applyFill="1" applyBorder="1" applyAlignment="1" applyProtection="1">
      <alignment horizontal="right"/>
      <protection hidden="1"/>
    </xf>
    <xf numFmtId="0" fontId="7" fillId="0" borderId="145" xfId="7" applyFont="1" applyFill="1" applyBorder="1" applyProtection="1">
      <protection hidden="1"/>
    </xf>
    <xf numFmtId="49" fontId="27" fillId="14" borderId="0" xfId="7" applyNumberFormat="1" applyFont="1" applyFill="1" applyBorder="1" applyAlignment="1" applyProtection="1">
      <alignment horizontal="left" shrinkToFit="1"/>
      <protection hidden="1"/>
    </xf>
    <xf numFmtId="49" fontId="25" fillId="14" borderId="0" xfId="7" applyNumberFormat="1" applyFont="1" applyFill="1" applyAlignment="1" applyProtection="1">
      <alignment horizontal="right" shrinkToFit="1"/>
      <protection hidden="1"/>
    </xf>
    <xf numFmtId="0" fontId="27" fillId="14" borderId="0" xfId="7" applyFont="1" applyFill="1" applyAlignment="1" applyProtection="1">
      <alignment shrinkToFit="1"/>
      <protection hidden="1"/>
    </xf>
    <xf numFmtId="0" fontId="11" fillId="0" borderId="34" xfId="7" applyFont="1" applyBorder="1" applyAlignment="1" applyProtection="1">
      <alignment horizontal="center" vertical="center"/>
      <protection hidden="1"/>
    </xf>
    <xf numFmtId="0" fontId="7" fillId="0" borderId="93" xfId="0" applyFont="1" applyBorder="1" applyAlignment="1" applyProtection="1">
      <alignment horizontal="right" vertical="center"/>
      <protection hidden="1"/>
    </xf>
    <xf numFmtId="0" fontId="7" fillId="0" borderId="45" xfId="0" applyFont="1" applyBorder="1" applyAlignment="1" applyProtection="1">
      <alignment horizontal="right" vertical="center"/>
      <protection hidden="1"/>
    </xf>
    <xf numFmtId="0" fontId="7" fillId="0" borderId="46" xfId="0" applyFont="1" applyBorder="1" applyAlignment="1" applyProtection="1">
      <alignment horizontal="right" vertical="center"/>
      <protection hidden="1"/>
    </xf>
    <xf numFmtId="0" fontId="53" fillId="0" borderId="31" xfId="7" applyFont="1" applyBorder="1" applyAlignment="1" applyProtection="1">
      <alignment horizontal="center" vertical="center" wrapText="1"/>
      <protection hidden="1"/>
    </xf>
    <xf numFmtId="0" fontId="50" fillId="0" borderId="3" xfId="0" applyFont="1" applyFill="1" applyBorder="1" applyAlignment="1" applyProtection="1">
      <alignment horizontal="center" vertical="center"/>
      <protection locked="0" hidden="1"/>
    </xf>
    <xf numFmtId="0" fontId="50" fillId="0" borderId="1" xfId="0" applyFont="1" applyFill="1" applyBorder="1" applyAlignment="1" applyProtection="1">
      <alignment horizontal="center" vertical="center"/>
      <protection locked="0" hidden="1"/>
    </xf>
    <xf numFmtId="0" fontId="7" fillId="0" borderId="1" xfId="6" applyFont="1" applyFill="1" applyBorder="1" applyAlignment="1" applyProtection="1">
      <alignment horizontal="center"/>
      <protection locked="0" hidden="1"/>
    </xf>
    <xf numFmtId="0" fontId="42" fillId="0" borderId="16" xfId="0" applyFont="1" applyBorder="1" applyAlignment="1">
      <alignment horizontal="center" vertical="center"/>
    </xf>
    <xf numFmtId="0" fontId="32" fillId="5" borderId="0" xfId="0" applyFont="1" applyFill="1" applyAlignment="1">
      <alignment horizontal="center" vertical="center"/>
    </xf>
    <xf numFmtId="0" fontId="10" fillId="5" borderId="0" xfId="0" applyFont="1" applyFill="1" applyAlignment="1">
      <alignment horizontal="center" vertical="center"/>
    </xf>
    <xf numFmtId="0" fontId="31" fillId="4" borderId="122" xfId="6" applyFont="1" applyFill="1" applyBorder="1" applyAlignment="1">
      <alignment horizontal="center" vertical="center" shrinkToFit="1"/>
    </xf>
    <xf numFmtId="0" fontId="31" fillId="4" borderId="103" xfId="6" applyFont="1" applyFill="1" applyBorder="1" applyAlignment="1">
      <alignment horizontal="center" vertical="center" shrinkToFit="1"/>
    </xf>
    <xf numFmtId="0" fontId="11" fillId="11" borderId="123" xfId="6" applyFont="1" applyFill="1" applyBorder="1" applyAlignment="1" applyProtection="1">
      <alignment horizontal="center" vertical="center" shrinkToFit="1"/>
      <protection locked="0" hidden="1"/>
    </xf>
    <xf numFmtId="0" fontId="11" fillId="11" borderId="124" xfId="6" applyFont="1" applyFill="1" applyBorder="1" applyAlignment="1" applyProtection="1">
      <alignment horizontal="center" vertical="center" shrinkToFit="1"/>
      <protection locked="0" hidden="1"/>
    </xf>
    <xf numFmtId="0" fontId="53" fillId="11" borderId="125" xfId="0" applyFont="1" applyFill="1" applyBorder="1" applyAlignment="1">
      <alignment horizontal="center" vertical="center" wrapText="1"/>
    </xf>
    <xf numFmtId="0" fontId="53" fillId="11" borderId="126" xfId="0" applyFont="1" applyFill="1" applyBorder="1" applyAlignment="1">
      <alignment horizontal="center" vertical="center" wrapText="1"/>
    </xf>
    <xf numFmtId="0" fontId="11" fillId="11" borderId="99" xfId="0" applyFont="1" applyFill="1" applyBorder="1" applyAlignment="1" applyProtection="1">
      <alignment horizontal="center" vertical="center" shrinkToFit="1"/>
      <protection hidden="1"/>
    </xf>
    <xf numFmtId="0" fontId="11" fillId="11" borderId="95" xfId="0" applyFont="1" applyFill="1" applyBorder="1" applyAlignment="1" applyProtection="1">
      <alignment horizontal="center" vertical="center" shrinkToFit="1"/>
      <protection hidden="1"/>
    </xf>
    <xf numFmtId="0" fontId="11" fillId="11" borderId="127" xfId="0" applyFont="1" applyFill="1" applyBorder="1" applyAlignment="1" applyProtection="1">
      <alignment horizontal="center" vertical="center" shrinkToFit="1"/>
      <protection hidden="1"/>
    </xf>
    <xf numFmtId="0" fontId="41" fillId="6" borderId="0" xfId="0" applyFont="1" applyFill="1" applyBorder="1" applyAlignment="1">
      <alignment horizontal="center"/>
    </xf>
    <xf numFmtId="0" fontId="49" fillId="11" borderId="128" xfId="0" applyFont="1" applyFill="1" applyBorder="1" applyAlignment="1" applyProtection="1">
      <alignment vertical="center" textRotation="255"/>
      <protection hidden="1"/>
    </xf>
    <xf numFmtId="0" fontId="49" fillId="11" borderId="129" xfId="0" applyFont="1" applyFill="1" applyBorder="1" applyAlignment="1" applyProtection="1">
      <alignment vertical="center" textRotation="255"/>
      <protection hidden="1"/>
    </xf>
    <xf numFmtId="0" fontId="41" fillId="6" borderId="0" xfId="6" applyFont="1" applyFill="1" applyBorder="1" applyAlignment="1">
      <alignment vertical="top" textRotation="255"/>
    </xf>
    <xf numFmtId="0" fontId="41" fillId="6" borderId="16" xfId="6" applyFont="1" applyFill="1" applyBorder="1" applyAlignment="1">
      <alignment vertical="top" textRotation="255"/>
    </xf>
    <xf numFmtId="0" fontId="21" fillId="0" borderId="22" xfId="0" applyNumberFormat="1" applyFont="1" applyFill="1" applyBorder="1" applyAlignment="1" applyProtection="1">
      <alignment horizontal="left" shrinkToFit="1"/>
      <protection locked="0"/>
    </xf>
    <xf numFmtId="49" fontId="21" fillId="0" borderId="59" xfId="0" applyNumberFormat="1" applyFont="1" applyFill="1" applyBorder="1" applyAlignment="1" applyProtection="1">
      <alignment horizontal="left" shrinkToFit="1"/>
      <protection locked="0" hidden="1"/>
    </xf>
    <xf numFmtId="49" fontId="21" fillId="0" borderId="26" xfId="0" applyNumberFormat="1" applyFont="1" applyFill="1" applyBorder="1" applyAlignment="1" applyProtection="1">
      <alignment horizontal="left" shrinkToFit="1"/>
      <protection locked="0" hidden="1"/>
    </xf>
    <xf numFmtId="0" fontId="11" fillId="11" borderId="99" xfId="0" applyNumberFormat="1" applyFont="1" applyFill="1" applyBorder="1" applyAlignment="1">
      <alignment horizontal="center" vertical="center" shrinkToFit="1"/>
    </xf>
    <xf numFmtId="0" fontId="11" fillId="11" borderId="95" xfId="0" applyNumberFormat="1" applyFont="1" applyFill="1" applyBorder="1" applyAlignment="1">
      <alignment horizontal="center" vertical="center" shrinkToFit="1"/>
    </xf>
    <xf numFmtId="0" fontId="11" fillId="11" borderId="138" xfId="0" applyNumberFormat="1" applyFont="1" applyFill="1" applyBorder="1" applyAlignment="1">
      <alignment horizontal="center" vertical="center" wrapText="1"/>
    </xf>
    <xf numFmtId="0" fontId="11" fillId="11" borderId="139" xfId="0" applyNumberFormat="1" applyFont="1" applyFill="1" applyBorder="1" applyAlignment="1">
      <alignment horizontal="center" vertical="center" wrapText="1"/>
    </xf>
    <xf numFmtId="0" fontId="11" fillId="11" borderId="123" xfId="0" applyFont="1" applyFill="1" applyBorder="1" applyAlignment="1" applyProtection="1">
      <alignment horizontal="center" vertical="center" shrinkToFit="1"/>
      <protection locked="0" hidden="1"/>
    </xf>
    <xf numFmtId="0" fontId="11" fillId="11" borderId="82" xfId="0" applyFont="1" applyFill="1" applyBorder="1" applyAlignment="1" applyProtection="1">
      <alignment horizontal="center" vertical="center" shrinkToFit="1"/>
      <protection locked="0" hidden="1"/>
    </xf>
    <xf numFmtId="0" fontId="11" fillId="11" borderId="92" xfId="0" applyFont="1" applyFill="1" applyBorder="1" applyAlignment="1" applyProtection="1">
      <alignment vertical="center" shrinkToFit="1"/>
      <protection locked="0" hidden="1"/>
    </xf>
    <xf numFmtId="0" fontId="11" fillId="11" borderId="121" xfId="0" applyFont="1" applyFill="1" applyBorder="1" applyAlignment="1" applyProtection="1">
      <alignment vertical="center" shrinkToFit="1"/>
      <protection locked="0" hidden="1"/>
    </xf>
    <xf numFmtId="0" fontId="11" fillId="11" borderId="99" xfId="0" applyFont="1" applyFill="1" applyBorder="1" applyAlignment="1">
      <alignment horizontal="center" vertical="center" shrinkToFit="1"/>
    </xf>
    <xf numFmtId="0" fontId="11" fillId="11" borderId="95" xfId="0" applyFont="1" applyFill="1" applyBorder="1" applyAlignment="1">
      <alignment horizontal="center" vertical="center" shrinkToFit="1"/>
    </xf>
    <xf numFmtId="0" fontId="11" fillId="11" borderId="140" xfId="6" applyFont="1" applyFill="1" applyBorder="1" applyAlignment="1">
      <alignment horizontal="center" vertical="center" wrapText="1"/>
    </xf>
    <xf numFmtId="0" fontId="11" fillId="11" borderId="141" xfId="6" applyFont="1" applyFill="1" applyBorder="1" applyAlignment="1">
      <alignment horizontal="center" vertical="center" wrapText="1"/>
    </xf>
    <xf numFmtId="0" fontId="11" fillId="11" borderId="125" xfId="6" applyFont="1" applyFill="1" applyBorder="1" applyAlignment="1">
      <alignment horizontal="center" vertical="center" shrinkToFit="1"/>
    </xf>
    <xf numFmtId="0" fontId="11" fillId="11" borderId="126" xfId="6" applyFont="1" applyFill="1" applyBorder="1" applyAlignment="1">
      <alignment horizontal="center" vertical="center" shrinkToFit="1"/>
    </xf>
    <xf numFmtId="0" fontId="32" fillId="4" borderId="0" xfId="0" applyFont="1" applyFill="1" applyAlignment="1">
      <alignment horizontal="center" vertical="center"/>
    </xf>
    <xf numFmtId="0" fontId="0" fillId="4" borderId="0" xfId="0" applyFill="1" applyAlignment="1">
      <alignment horizontal="center" vertical="center"/>
    </xf>
    <xf numFmtId="179" fontId="27" fillId="6" borderId="0" xfId="7" applyNumberFormat="1" applyFont="1" applyFill="1" applyBorder="1" applyAlignment="1" applyProtection="1">
      <alignment horizontal="right" shrinkToFit="1"/>
      <protection hidden="1"/>
    </xf>
    <xf numFmtId="5" fontId="27" fillId="6" borderId="0" xfId="7" applyNumberFormat="1" applyFont="1" applyFill="1" applyBorder="1" applyAlignment="1" applyProtection="1">
      <alignment horizontal="right" shrinkToFit="1"/>
      <protection hidden="1"/>
    </xf>
    <xf numFmtId="5" fontId="27" fillId="6" borderId="0" xfId="7" applyNumberFormat="1" applyFont="1" applyFill="1" applyBorder="1" applyAlignment="1" applyProtection="1">
      <alignment horizontal="left" shrinkToFit="1"/>
      <protection hidden="1"/>
    </xf>
    <xf numFmtId="0" fontId="7" fillId="6" borderId="0" xfId="7" applyFont="1" applyFill="1" applyBorder="1" applyAlignment="1" applyProtection="1">
      <alignment horizontal="center"/>
      <protection hidden="1"/>
    </xf>
    <xf numFmtId="0" fontId="7" fillId="0" borderId="7" xfId="7" applyFont="1" applyBorder="1" applyAlignment="1" applyProtection="1">
      <alignment horizontal="center" vertical="center" shrinkToFit="1"/>
      <protection hidden="1"/>
    </xf>
    <xf numFmtId="0" fontId="7" fillId="0" borderId="6" xfId="7" applyFont="1" applyBorder="1" applyAlignment="1" applyProtection="1">
      <alignment horizontal="center" vertical="center" shrinkToFit="1"/>
      <protection hidden="1"/>
    </xf>
    <xf numFmtId="5" fontId="16" fillId="6" borderId="39" xfId="7" applyNumberFormat="1" applyFont="1" applyFill="1" applyBorder="1" applyAlignment="1" applyProtection="1">
      <alignment shrinkToFit="1"/>
      <protection hidden="1"/>
    </xf>
    <xf numFmtId="0" fontId="16" fillId="6" borderId="120" xfId="7" applyFont="1" applyFill="1" applyBorder="1" applyAlignment="1" applyProtection="1">
      <alignment horizontal="center"/>
      <protection hidden="1"/>
    </xf>
    <xf numFmtId="0" fontId="11" fillId="0" borderId="31"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6" fillId="6" borderId="0" xfId="7" applyFont="1" applyFill="1" applyBorder="1" applyAlignment="1" applyProtection="1">
      <alignment horizontal="center" shrinkToFit="1"/>
      <protection hidden="1"/>
    </xf>
    <xf numFmtId="0" fontId="7" fillId="0" borderId="48" xfId="7" applyFont="1" applyBorder="1" applyAlignment="1" applyProtection="1">
      <alignment horizontal="center"/>
      <protection hidden="1"/>
    </xf>
    <xf numFmtId="0" fontId="7" fillId="0" borderId="7" xfId="7" applyFont="1" applyBorder="1" applyAlignment="1" applyProtection="1">
      <alignment horizontal="center"/>
      <protection hidden="1"/>
    </xf>
    <xf numFmtId="5" fontId="37" fillId="6" borderId="0" xfId="7" applyNumberFormat="1" applyFont="1" applyFill="1" applyBorder="1" applyAlignment="1" applyProtection="1">
      <alignment horizontal="left" shrinkToFit="1"/>
      <protection hidden="1"/>
    </xf>
    <xf numFmtId="0" fontId="62" fillId="0" borderId="0" xfId="0" applyFont="1" applyAlignment="1">
      <alignment horizontal="justify" vertical="center"/>
    </xf>
    <xf numFmtId="49" fontId="18" fillId="6" borderId="0" xfId="9" applyNumberFormat="1" applyFont="1" applyFill="1" applyBorder="1" applyAlignment="1" applyProtection="1">
      <alignment shrinkToFit="1"/>
      <protection hidden="1"/>
    </xf>
    <xf numFmtId="0" fontId="7" fillId="6" borderId="0" xfId="9" applyFont="1" applyFill="1" applyBorder="1" applyAlignment="1" applyProtection="1">
      <alignment horizontal="left" vertical="top" shrinkToFit="1"/>
      <protection hidden="1"/>
    </xf>
    <xf numFmtId="0" fontId="7" fillId="6" borderId="0" xfId="0" applyFont="1" applyFill="1" applyBorder="1" applyAlignment="1">
      <alignment vertical="top" shrinkToFit="1"/>
    </xf>
    <xf numFmtId="5" fontId="18" fillId="6" borderId="0" xfId="9" applyNumberFormat="1" applyFont="1" applyFill="1" applyBorder="1" applyAlignment="1" applyProtection="1">
      <alignment horizontal="center" shrinkToFit="1"/>
      <protection hidden="1"/>
    </xf>
    <xf numFmtId="0" fontId="59" fillId="13" borderId="7" xfId="9" applyNumberFormat="1" applyFont="1" applyFill="1" applyBorder="1" applyAlignment="1" applyProtection="1">
      <alignment vertical="center" wrapText="1"/>
      <protection hidden="1"/>
    </xf>
    <xf numFmtId="0" fontId="59" fillId="13" borderId="6" xfId="9" applyNumberFormat="1" applyFont="1" applyFill="1" applyBorder="1" applyAlignment="1" applyProtection="1">
      <alignment vertical="center" wrapText="1"/>
      <protection hidden="1"/>
    </xf>
    <xf numFmtId="0" fontId="65" fillId="14" borderId="48" xfId="9" applyNumberFormat="1" applyFont="1" applyFill="1" applyBorder="1" applyAlignment="1" applyProtection="1">
      <alignment vertical="center" wrapText="1"/>
      <protection hidden="1"/>
    </xf>
    <xf numFmtId="0" fontId="65" fillId="14" borderId="7" xfId="9" applyNumberFormat="1" applyFont="1" applyFill="1" applyBorder="1" applyAlignment="1" applyProtection="1">
      <alignment vertical="center" wrapText="1"/>
      <protection hidden="1"/>
    </xf>
    <xf numFmtId="0" fontId="7" fillId="0" borderId="48" xfId="7" applyFont="1" applyBorder="1" applyAlignment="1" applyProtection="1">
      <alignment horizontal="center" vertical="center"/>
      <protection hidden="1"/>
    </xf>
    <xf numFmtId="0" fontId="7" fillId="0" borderId="6" xfId="7" applyFont="1" applyBorder="1" applyAlignment="1" applyProtection="1">
      <alignment horizontal="center" vertical="center"/>
      <protection hidden="1"/>
    </xf>
    <xf numFmtId="0" fontId="43" fillId="6" borderId="0" xfId="7" applyFont="1" applyFill="1" applyAlignment="1" applyProtection="1">
      <alignment horizontal="right" shrinkToFit="1"/>
      <protection hidden="1"/>
    </xf>
    <xf numFmtId="0" fontId="16" fillId="0" borderId="0" xfId="0" applyFont="1" applyAlignment="1">
      <alignment vertical="top" textRotation="255"/>
    </xf>
    <xf numFmtId="0" fontId="43" fillId="6" borderId="0" xfId="4" applyFont="1" applyFill="1" applyAlignment="1" applyProtection="1">
      <alignment horizontal="center" vertical="center"/>
      <protection locked="0"/>
    </xf>
    <xf numFmtId="0" fontId="23" fillId="6" borderId="0" xfId="4" applyFont="1" applyFill="1" applyAlignment="1">
      <alignment horizontal="center" vertical="center"/>
    </xf>
    <xf numFmtId="0" fontId="23" fillId="6" borderId="0" xfId="4" applyFont="1" applyFill="1">
      <alignment vertical="center"/>
    </xf>
  </cellXfs>
  <cellStyles count="10">
    <cellStyle name="ハイパーリンク" xfId="1" builtinId="8"/>
    <cellStyle name="標準" xfId="0" builtinId="0"/>
    <cellStyle name="標準 2" xfId="2"/>
    <cellStyle name="標準_AB男" xfId="3"/>
    <cellStyle name="標準_furikomiyousi" xfId="4"/>
    <cellStyle name="標準_H14高校名簿" xfId="5"/>
    <cellStyle name="標準_H14高校名簿_入力表" xfId="6"/>
    <cellStyle name="標準_競技者" xfId="7"/>
    <cellStyle name="標準_競技者_hs" xfId="8"/>
    <cellStyle name="標準_競技者_高校" xfId="9"/>
  </cellStyles>
  <dxfs count="1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bgColor indexed="10"/>
        </patternFill>
      </fill>
    </dxf>
    <dxf>
      <fill>
        <patternFill>
          <bgColor indexed="10"/>
        </patternFill>
      </fill>
    </dxf>
    <dxf>
      <fill>
        <patternFill>
          <bgColor indexed="10"/>
        </patternFill>
      </fill>
    </dxf>
    <dxf>
      <fill>
        <patternFill patternType="mediumGray">
          <fgColor indexed="9"/>
          <bgColor indexed="22"/>
        </patternFill>
      </fill>
    </dxf>
    <dxf>
      <fill>
        <patternFill>
          <bgColor theme="0" tint="-0.14996795556505021"/>
        </patternFill>
      </fill>
    </dxf>
    <dxf>
      <fill>
        <patternFill>
          <bgColor theme="0" tint="-0.14996795556505021"/>
        </patternFill>
      </fill>
    </dxf>
    <dxf>
      <fill>
        <patternFill patternType="mediumGray">
          <fgColor indexed="9"/>
          <bgColor indexed="22"/>
        </patternFill>
      </fill>
    </dxf>
    <dxf>
      <fill>
        <patternFill>
          <bgColor indexed="10"/>
        </patternFill>
      </fill>
    </dxf>
    <dxf>
      <fill>
        <patternFill patternType="mediumGray">
          <fgColor indexed="9"/>
          <bgColor indexed="22"/>
        </patternFill>
      </fill>
    </dxf>
    <dxf>
      <fill>
        <patternFill>
          <bgColor indexed="10"/>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bgColor indexed="10"/>
        </patternFill>
      </fill>
    </dxf>
    <dxf>
      <fill>
        <patternFill>
          <bgColor indexed="10"/>
        </patternFill>
      </fill>
    </dxf>
    <dxf>
      <fill>
        <patternFill>
          <bgColor indexed="10"/>
        </patternFill>
      </fill>
    </dxf>
    <dxf>
      <fill>
        <patternFill patternType="mediumGray">
          <fgColor indexed="9"/>
          <bgColor indexed="22"/>
        </patternFill>
      </fill>
    </dxf>
    <dxf>
      <fill>
        <patternFill>
          <bgColor theme="0" tint="-0.14996795556505021"/>
        </patternFill>
      </fill>
    </dxf>
    <dxf>
      <fill>
        <patternFill>
          <bgColor theme="0" tint="-0.14996795556505021"/>
        </patternFill>
      </fill>
    </dxf>
    <dxf>
      <fill>
        <patternFill patternType="mediumGray">
          <fgColor indexed="9"/>
          <bgColor indexed="22"/>
        </patternFill>
      </fill>
    </dxf>
    <dxf>
      <fill>
        <patternFill>
          <bgColor indexed="10"/>
        </patternFill>
      </fill>
    </dxf>
    <dxf>
      <fill>
        <patternFill patternType="mediumGray">
          <fgColor indexed="9"/>
          <bgColor indexed="22"/>
        </patternFill>
      </fill>
    </dxf>
    <dxf>
      <fill>
        <patternFill>
          <bgColor indexed="10"/>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patternType="mediumGray">
          <fgColor indexed="9"/>
          <bgColor indexed="22"/>
        </patternFill>
      </fill>
    </dxf>
    <dxf>
      <fill>
        <patternFill patternType="mediumGray">
          <fgColor indexed="9"/>
          <bgColor indexed="22"/>
        </patternFill>
      </fill>
    </dxf>
    <dxf>
      <fill>
        <patternFill>
          <bgColor indexed="10"/>
        </patternFill>
      </fill>
    </dxf>
    <dxf>
      <fill>
        <patternFill patternType="mediumGray">
          <fgColor indexed="9"/>
          <bgColor indexed="22"/>
        </patternFill>
      </fill>
    </dxf>
    <dxf>
      <fill>
        <patternFill>
          <bgColor indexed="10"/>
        </patternFill>
      </fill>
    </dxf>
    <dxf>
      <fill>
        <patternFill patternType="mediumGray">
          <fgColor indexed="9"/>
          <bgColor indexed="22"/>
        </patternFill>
      </fill>
    </dxf>
    <dxf>
      <fill>
        <patternFill patternType="mediumGray">
          <fgColor indexed="9"/>
          <bgColor indexed="22"/>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patternType="mediumGray">
          <fgColor indexed="9"/>
          <bgColor indexed="22"/>
        </patternFill>
      </fill>
    </dxf>
    <dxf>
      <fill>
        <patternFill patternType="mediumGray">
          <fgColor indexed="9"/>
          <bgColor indexed="22"/>
        </patternFill>
      </fill>
    </dxf>
    <dxf>
      <fill>
        <patternFill>
          <bgColor indexed="10"/>
        </patternFill>
      </fill>
    </dxf>
    <dxf>
      <font>
        <condense val="0"/>
        <extend val="0"/>
        <color rgb="FF9C0006"/>
      </font>
      <fill>
        <patternFill>
          <bgColor rgb="FFFFC7CE"/>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mierk.jp/information/mail.ph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8</xdr:row>
      <xdr:rowOff>295275</xdr:rowOff>
    </xdr:from>
    <xdr:to>
      <xdr:col>11</xdr:col>
      <xdr:colOff>257175</xdr:colOff>
      <xdr:row>34</xdr:row>
      <xdr:rowOff>38100</xdr:rowOff>
    </xdr:to>
    <xdr:pic>
      <xdr:nvPicPr>
        <xdr:cNvPr id="442369" name="Picture 1"/>
        <xdr:cNvPicPr>
          <a:picLocks noChangeAspect="1" noChangeArrowheads="1"/>
        </xdr:cNvPicPr>
      </xdr:nvPicPr>
      <xdr:blipFill>
        <a:blip xmlns:r="http://schemas.openxmlformats.org/officeDocument/2006/relationships" r:embed="rId1" cstate="print"/>
        <a:srcRect r="24121" b="34505"/>
        <a:stretch>
          <a:fillRect/>
        </a:stretch>
      </xdr:blipFill>
      <xdr:spPr bwMode="auto">
        <a:xfrm>
          <a:off x="400050" y="3495675"/>
          <a:ext cx="7400925" cy="4791075"/>
        </a:xfrm>
        <a:prstGeom prst="rect">
          <a:avLst/>
        </a:prstGeom>
        <a:noFill/>
        <a:ln w="9525">
          <a:noFill/>
          <a:miter lim="800000"/>
          <a:headEnd/>
          <a:tailEnd/>
        </a:ln>
      </xdr:spPr>
    </xdr:pic>
    <xdr:clientData/>
  </xdr:twoCellAnchor>
  <xdr:twoCellAnchor editAs="oneCell">
    <xdr:from>
      <xdr:col>0</xdr:col>
      <xdr:colOff>428625</xdr:colOff>
      <xdr:row>36</xdr:row>
      <xdr:rowOff>38100</xdr:rowOff>
    </xdr:from>
    <xdr:to>
      <xdr:col>6</xdr:col>
      <xdr:colOff>295275</xdr:colOff>
      <xdr:row>54</xdr:row>
      <xdr:rowOff>19050</xdr:rowOff>
    </xdr:to>
    <xdr:pic>
      <xdr:nvPicPr>
        <xdr:cNvPr id="442370" name="Picture 2"/>
        <xdr:cNvPicPr>
          <a:picLocks noChangeAspect="1" noChangeArrowheads="1"/>
        </xdr:cNvPicPr>
      </xdr:nvPicPr>
      <xdr:blipFill>
        <a:blip xmlns:r="http://schemas.openxmlformats.org/officeDocument/2006/relationships" r:embed="rId2" cstate="print"/>
        <a:srcRect l="30762" t="25000" r="28418" b="30730"/>
        <a:stretch>
          <a:fillRect/>
        </a:stretch>
      </xdr:blipFill>
      <xdr:spPr bwMode="auto">
        <a:xfrm>
          <a:off x="428625" y="8772525"/>
          <a:ext cx="3981450" cy="3238500"/>
        </a:xfrm>
        <a:prstGeom prst="rect">
          <a:avLst/>
        </a:prstGeom>
        <a:noFill/>
        <a:ln w="9525">
          <a:noFill/>
          <a:miter lim="800000"/>
          <a:headEnd/>
          <a:tailEnd/>
        </a:ln>
      </xdr:spPr>
    </xdr:pic>
    <xdr:clientData/>
  </xdr:twoCellAnchor>
  <xdr:twoCellAnchor editAs="oneCell">
    <xdr:from>
      <xdr:col>0</xdr:col>
      <xdr:colOff>361950</xdr:colOff>
      <xdr:row>57</xdr:row>
      <xdr:rowOff>28575</xdr:rowOff>
    </xdr:from>
    <xdr:to>
      <xdr:col>6</xdr:col>
      <xdr:colOff>342900</xdr:colOff>
      <xdr:row>66</xdr:row>
      <xdr:rowOff>47625</xdr:rowOff>
    </xdr:to>
    <xdr:pic>
      <xdr:nvPicPr>
        <xdr:cNvPr id="442371" name="Picture 3"/>
        <xdr:cNvPicPr>
          <a:picLocks noChangeAspect="1" noChangeArrowheads="1"/>
        </xdr:cNvPicPr>
      </xdr:nvPicPr>
      <xdr:blipFill>
        <a:blip xmlns:r="http://schemas.openxmlformats.org/officeDocument/2006/relationships" r:embed="rId3" cstate="print"/>
        <a:srcRect l="29980" t="36067" r="28027" b="41406"/>
        <a:stretch>
          <a:fillRect/>
        </a:stretch>
      </xdr:blipFill>
      <xdr:spPr bwMode="auto">
        <a:xfrm>
          <a:off x="361950" y="12811125"/>
          <a:ext cx="4095750" cy="1647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85725</xdr:colOff>
      <xdr:row>0</xdr:row>
      <xdr:rowOff>133350</xdr:rowOff>
    </xdr:from>
    <xdr:to>
      <xdr:col>11</xdr:col>
      <xdr:colOff>381000</xdr:colOff>
      <xdr:row>2</xdr:row>
      <xdr:rowOff>104775</xdr:rowOff>
    </xdr:to>
    <xdr:sp macro="[0]!メニューへ移動" textlink="">
      <xdr:nvSpPr>
        <xdr:cNvPr id="12308" name="Rectangle 20"/>
        <xdr:cNvSpPr>
          <a:spLocks noChangeArrowheads="1"/>
        </xdr:cNvSpPr>
      </xdr:nvSpPr>
      <xdr:spPr bwMode="auto">
        <a:xfrm>
          <a:off x="6553200" y="133350"/>
          <a:ext cx="1666875" cy="323850"/>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メニューへ戻る</a:t>
          </a:r>
        </a:p>
      </xdr:txBody>
    </xdr:sp>
    <xdr:clientData/>
  </xdr:twoCellAnchor>
  <xdr:twoCellAnchor>
    <xdr:from>
      <xdr:col>9</xdr:col>
      <xdr:colOff>85725</xdr:colOff>
      <xdr:row>65</xdr:row>
      <xdr:rowOff>133350</xdr:rowOff>
    </xdr:from>
    <xdr:to>
      <xdr:col>11</xdr:col>
      <xdr:colOff>381000</xdr:colOff>
      <xdr:row>68</xdr:row>
      <xdr:rowOff>123825</xdr:rowOff>
    </xdr:to>
    <xdr:sp macro="[0]!メニューへ移動" textlink="">
      <xdr:nvSpPr>
        <xdr:cNvPr id="12309" name="Rectangle 21"/>
        <xdr:cNvSpPr>
          <a:spLocks noChangeArrowheads="1"/>
        </xdr:cNvSpPr>
      </xdr:nvSpPr>
      <xdr:spPr bwMode="auto">
        <a:xfrm>
          <a:off x="6553200" y="14401800"/>
          <a:ext cx="1666875" cy="50482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メニューへ戻る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609600</xdr:colOff>
      <xdr:row>4</xdr:row>
      <xdr:rowOff>142875</xdr:rowOff>
    </xdr:from>
    <xdr:to>
      <xdr:col>9</xdr:col>
      <xdr:colOff>314325</xdr:colOff>
      <xdr:row>9</xdr:row>
      <xdr:rowOff>47625</xdr:rowOff>
    </xdr:to>
    <xdr:sp macro="" textlink="">
      <xdr:nvSpPr>
        <xdr:cNvPr id="29709" name="AutoShape 13"/>
        <xdr:cNvSpPr>
          <a:spLocks noChangeArrowheads="1"/>
        </xdr:cNvSpPr>
      </xdr:nvSpPr>
      <xdr:spPr bwMode="auto">
        <a:xfrm>
          <a:off x="4724400" y="828675"/>
          <a:ext cx="1762125" cy="762000"/>
        </a:xfrm>
        <a:prstGeom prst="irregularSeal1">
          <a:avLst/>
        </a:prstGeom>
        <a:solidFill>
          <a:srgbClr val="FF00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FFFFFF"/>
              </a:solidFill>
              <a:latin typeface="ＭＳ Ｐゴシック"/>
              <a:ea typeface="ＭＳ Ｐゴシック"/>
            </a:rPr>
            <a:t>まずは注意事項へ</a:t>
          </a:r>
        </a:p>
      </xdr:txBody>
    </xdr:sp>
    <xdr:clientData/>
  </xdr:twoCellAnchor>
  <xdr:twoCellAnchor>
    <xdr:from>
      <xdr:col>1</xdr:col>
      <xdr:colOff>200025</xdr:colOff>
      <xdr:row>5</xdr:row>
      <xdr:rowOff>142875</xdr:rowOff>
    </xdr:from>
    <xdr:to>
      <xdr:col>2</xdr:col>
      <xdr:colOff>609600</xdr:colOff>
      <xdr:row>8</xdr:row>
      <xdr:rowOff>95250</xdr:rowOff>
    </xdr:to>
    <xdr:sp macro="[0]!注意事項へ移動" textlink="">
      <xdr:nvSpPr>
        <xdr:cNvPr id="29710" name="AutoShape 14"/>
        <xdr:cNvSpPr>
          <a:spLocks noChangeArrowheads="1"/>
        </xdr:cNvSpPr>
      </xdr:nvSpPr>
      <xdr:spPr bwMode="auto">
        <a:xfrm>
          <a:off x="885825" y="1000125"/>
          <a:ext cx="1095375" cy="466725"/>
        </a:xfrm>
        <a:prstGeom prst="wave">
          <a:avLst>
            <a:gd name="adj1" fmla="val 13005"/>
            <a:gd name="adj2" fmla="val 0"/>
          </a:avLst>
        </a:prstGeom>
        <a:solidFill>
          <a:srgbClr val="FF00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100" b="1" i="0" strike="noStrike">
              <a:solidFill>
                <a:srgbClr val="FFFFFF"/>
              </a:solidFill>
              <a:latin typeface="ＭＳ Ｐゴシック"/>
              <a:ea typeface="ＭＳ Ｐゴシック"/>
            </a:rPr>
            <a:t>注意事項</a:t>
          </a:r>
        </a:p>
      </xdr:txBody>
    </xdr:sp>
    <xdr:clientData/>
  </xdr:twoCellAnchor>
  <xdr:twoCellAnchor>
    <xdr:from>
      <xdr:col>4</xdr:col>
      <xdr:colOff>200025</xdr:colOff>
      <xdr:row>5</xdr:row>
      <xdr:rowOff>133350</xdr:rowOff>
    </xdr:from>
    <xdr:to>
      <xdr:col>5</xdr:col>
      <xdr:colOff>590550</xdr:colOff>
      <xdr:row>8</xdr:row>
      <xdr:rowOff>142875</xdr:rowOff>
    </xdr:to>
    <xdr:sp macro="[0]!名簿へ移動" textlink="">
      <xdr:nvSpPr>
        <xdr:cNvPr id="29711" name="AutoShape 15"/>
        <xdr:cNvSpPr>
          <a:spLocks noChangeArrowheads="1"/>
        </xdr:cNvSpPr>
      </xdr:nvSpPr>
      <xdr:spPr bwMode="auto">
        <a:xfrm>
          <a:off x="2943225" y="990600"/>
          <a:ext cx="1076325" cy="523875"/>
        </a:xfrm>
        <a:prstGeom prst="horizontalScroll">
          <a:avLst>
            <a:gd name="adj" fmla="val 12500"/>
          </a:avLst>
        </a:prstGeom>
        <a:solidFill>
          <a:srgbClr val="00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選手名入力</a:t>
          </a:r>
        </a:p>
      </xdr:txBody>
    </xdr:sp>
    <xdr:clientData/>
  </xdr:twoCellAnchor>
  <xdr:twoCellAnchor>
    <xdr:from>
      <xdr:col>3</xdr:col>
      <xdr:colOff>285750</xdr:colOff>
      <xdr:row>7</xdr:row>
      <xdr:rowOff>38100</xdr:rowOff>
    </xdr:from>
    <xdr:to>
      <xdr:col>3</xdr:col>
      <xdr:colOff>523875</xdr:colOff>
      <xdr:row>7</xdr:row>
      <xdr:rowOff>38100</xdr:rowOff>
    </xdr:to>
    <xdr:sp macro="" textlink="">
      <xdr:nvSpPr>
        <xdr:cNvPr id="443396" name="Line 22"/>
        <xdr:cNvSpPr>
          <a:spLocks noChangeShapeType="1"/>
        </xdr:cNvSpPr>
      </xdr:nvSpPr>
      <xdr:spPr bwMode="auto">
        <a:xfrm>
          <a:off x="2343150" y="1238250"/>
          <a:ext cx="238125" cy="0"/>
        </a:xfrm>
        <a:prstGeom prst="line">
          <a:avLst/>
        </a:prstGeom>
        <a:noFill/>
        <a:ln w="9525">
          <a:solidFill>
            <a:srgbClr val="FFFFFF"/>
          </a:solidFill>
          <a:round/>
          <a:headEnd/>
          <a:tailEnd type="triangle" w="med" len="med"/>
        </a:ln>
      </xdr:spPr>
    </xdr:sp>
    <xdr:clientData/>
  </xdr:twoCellAnchor>
  <xdr:twoCellAnchor>
    <xdr:from>
      <xdr:col>5</xdr:col>
      <xdr:colOff>9525</xdr:colOff>
      <xdr:row>9</xdr:row>
      <xdr:rowOff>28575</xdr:rowOff>
    </xdr:from>
    <xdr:to>
      <xdr:col>5</xdr:col>
      <xdr:colOff>9525</xdr:colOff>
      <xdr:row>10</xdr:row>
      <xdr:rowOff>57150</xdr:rowOff>
    </xdr:to>
    <xdr:sp macro="" textlink="">
      <xdr:nvSpPr>
        <xdr:cNvPr id="443397" name="Line 23"/>
        <xdr:cNvSpPr>
          <a:spLocks noChangeShapeType="1"/>
        </xdr:cNvSpPr>
      </xdr:nvSpPr>
      <xdr:spPr bwMode="auto">
        <a:xfrm>
          <a:off x="3438525" y="1571625"/>
          <a:ext cx="0" cy="200025"/>
        </a:xfrm>
        <a:prstGeom prst="line">
          <a:avLst/>
        </a:prstGeom>
        <a:noFill/>
        <a:ln w="9525">
          <a:solidFill>
            <a:srgbClr val="FFFFFF"/>
          </a:solidFill>
          <a:round/>
          <a:headEnd/>
          <a:tailEnd type="triangle" w="med" len="med"/>
        </a:ln>
      </xdr:spPr>
    </xdr:sp>
    <xdr:clientData/>
  </xdr:twoCellAnchor>
  <xdr:twoCellAnchor>
    <xdr:from>
      <xdr:col>5</xdr:col>
      <xdr:colOff>19050</xdr:colOff>
      <xdr:row>15</xdr:row>
      <xdr:rowOff>19050</xdr:rowOff>
    </xdr:from>
    <xdr:to>
      <xdr:col>5</xdr:col>
      <xdr:colOff>19050</xdr:colOff>
      <xdr:row>16</xdr:row>
      <xdr:rowOff>47625</xdr:rowOff>
    </xdr:to>
    <xdr:sp macro="" textlink="">
      <xdr:nvSpPr>
        <xdr:cNvPr id="443398" name="Line 24"/>
        <xdr:cNvSpPr>
          <a:spLocks noChangeShapeType="1"/>
        </xdr:cNvSpPr>
      </xdr:nvSpPr>
      <xdr:spPr bwMode="auto">
        <a:xfrm>
          <a:off x="3448050" y="2590800"/>
          <a:ext cx="0" cy="200025"/>
        </a:xfrm>
        <a:prstGeom prst="line">
          <a:avLst/>
        </a:prstGeom>
        <a:noFill/>
        <a:ln w="9525">
          <a:solidFill>
            <a:srgbClr val="FFFFFF"/>
          </a:solidFill>
          <a:round/>
          <a:headEnd/>
          <a:tailEnd type="triangle" w="med" len="med"/>
        </a:ln>
      </xdr:spPr>
    </xdr:sp>
    <xdr:clientData/>
  </xdr:twoCellAnchor>
  <xdr:twoCellAnchor>
    <xdr:from>
      <xdr:col>6</xdr:col>
      <xdr:colOff>533400</xdr:colOff>
      <xdr:row>13</xdr:row>
      <xdr:rowOff>19050</xdr:rowOff>
    </xdr:from>
    <xdr:to>
      <xdr:col>7</xdr:col>
      <xdr:colOff>66675</xdr:colOff>
      <xdr:row>13</xdr:row>
      <xdr:rowOff>19050</xdr:rowOff>
    </xdr:to>
    <xdr:sp macro="" textlink="">
      <xdr:nvSpPr>
        <xdr:cNvPr id="443399" name="Line 25"/>
        <xdr:cNvSpPr>
          <a:spLocks noChangeShapeType="1"/>
        </xdr:cNvSpPr>
      </xdr:nvSpPr>
      <xdr:spPr bwMode="auto">
        <a:xfrm>
          <a:off x="4648200" y="2247900"/>
          <a:ext cx="219075" cy="0"/>
        </a:xfrm>
        <a:prstGeom prst="line">
          <a:avLst/>
        </a:prstGeom>
        <a:noFill/>
        <a:ln w="9525">
          <a:solidFill>
            <a:srgbClr val="FFFFFF"/>
          </a:solidFill>
          <a:round/>
          <a:headEnd/>
          <a:tailEnd type="triangle" w="med" len="med"/>
        </a:ln>
      </xdr:spPr>
    </xdr:sp>
    <xdr:clientData/>
  </xdr:twoCellAnchor>
  <xdr:twoCellAnchor>
    <xdr:from>
      <xdr:col>3</xdr:col>
      <xdr:colOff>676275</xdr:colOff>
      <xdr:row>17</xdr:row>
      <xdr:rowOff>28575</xdr:rowOff>
    </xdr:from>
    <xdr:to>
      <xdr:col>6</xdr:col>
      <xdr:colOff>28575</xdr:colOff>
      <xdr:row>21</xdr:row>
      <xdr:rowOff>104775</xdr:rowOff>
    </xdr:to>
    <xdr:sp macro="[0]!上書保存" textlink="">
      <xdr:nvSpPr>
        <xdr:cNvPr id="29727" name="laptop"/>
        <xdr:cNvSpPr>
          <a:spLocks noEditPoints="1" noChangeArrowheads="1"/>
        </xdr:cNvSpPr>
      </xdr:nvSpPr>
      <xdr:spPr bwMode="auto">
        <a:xfrm>
          <a:off x="2733675" y="2943225"/>
          <a:ext cx="1409700" cy="762000"/>
        </a:xfrm>
        <a:custGeom>
          <a:avLst/>
          <a:gdLst>
            <a:gd name="T0" fmla="*/ 3362 w 21600"/>
            <a:gd name="T1" fmla="*/ 0 h 21600"/>
            <a:gd name="T2" fmla="*/ 3362 w 21600"/>
            <a:gd name="T3" fmla="*/ 7173 h 21600"/>
            <a:gd name="T4" fmla="*/ 18327 w 21600"/>
            <a:gd name="T5" fmla="*/ 0 h 21600"/>
            <a:gd name="T6" fmla="*/ 18327 w 21600"/>
            <a:gd name="T7" fmla="*/ 7173 h 21600"/>
            <a:gd name="T8" fmla="*/ 10800 w 21600"/>
            <a:gd name="T9" fmla="*/ 0 h 21600"/>
            <a:gd name="T10" fmla="*/ 10800 w 21600"/>
            <a:gd name="T11" fmla="*/ 21600 h 21600"/>
            <a:gd name="T12" fmla="*/ 0 w 21600"/>
            <a:gd name="T13" fmla="*/ 21600 h 21600"/>
            <a:gd name="T14" fmla="*/ 21600 w 21600"/>
            <a:gd name="T15" fmla="*/ 21600 h 21600"/>
            <a:gd name="T16" fmla="*/ 4445 w 21600"/>
            <a:gd name="T17" fmla="*/ 1858 h 21600"/>
            <a:gd name="T18" fmla="*/ 17311 w 21600"/>
            <a:gd name="T19" fmla="*/ 12323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3362" y="0"/>
              </a:moveTo>
              <a:lnTo>
                <a:pt x="18327" y="0"/>
              </a:lnTo>
              <a:lnTo>
                <a:pt x="18327" y="14347"/>
              </a:lnTo>
              <a:lnTo>
                <a:pt x="3362" y="14347"/>
              </a:lnTo>
              <a:lnTo>
                <a:pt x="3362" y="0"/>
              </a:lnTo>
              <a:close/>
            </a:path>
            <a:path w="21600" h="21600" extrusionOk="0">
              <a:moveTo>
                <a:pt x="3340" y="15068"/>
              </a:moveTo>
              <a:lnTo>
                <a:pt x="0" y="19877"/>
              </a:lnTo>
              <a:lnTo>
                <a:pt x="21600" y="19877"/>
              </a:lnTo>
              <a:lnTo>
                <a:pt x="18327" y="15068"/>
              </a:lnTo>
              <a:lnTo>
                <a:pt x="3340" y="15068"/>
              </a:lnTo>
              <a:close/>
            </a:path>
            <a:path w="21600" h="21600" extrusionOk="0">
              <a:moveTo>
                <a:pt x="0" y="19877"/>
              </a:moveTo>
              <a:lnTo>
                <a:pt x="0" y="21600"/>
              </a:lnTo>
              <a:lnTo>
                <a:pt x="21600" y="21600"/>
              </a:lnTo>
              <a:lnTo>
                <a:pt x="21600" y="19877"/>
              </a:lnTo>
              <a:lnTo>
                <a:pt x="0" y="19877"/>
              </a:lnTo>
              <a:close/>
            </a:path>
            <a:path w="21600" h="21600" extrusionOk="0">
              <a:moveTo>
                <a:pt x="4186" y="1523"/>
              </a:moveTo>
              <a:lnTo>
                <a:pt x="17547" y="1523"/>
              </a:lnTo>
              <a:lnTo>
                <a:pt x="17547" y="12744"/>
              </a:lnTo>
              <a:lnTo>
                <a:pt x="4186" y="12744"/>
              </a:lnTo>
              <a:lnTo>
                <a:pt x="4186" y="1523"/>
              </a:lnTo>
              <a:close/>
            </a:path>
            <a:path w="21600" h="21600" extrusionOk="0">
              <a:moveTo>
                <a:pt x="3318" y="15549"/>
              </a:moveTo>
              <a:lnTo>
                <a:pt x="2917" y="16110"/>
              </a:lnTo>
              <a:lnTo>
                <a:pt x="18727" y="16110"/>
              </a:lnTo>
              <a:lnTo>
                <a:pt x="18327" y="15549"/>
              </a:lnTo>
              <a:lnTo>
                <a:pt x="3318" y="15549"/>
              </a:lnTo>
              <a:close/>
            </a:path>
            <a:path w="21600" h="21600" extrusionOk="0">
              <a:moveTo>
                <a:pt x="6213" y="18314"/>
              </a:moveTo>
              <a:lnTo>
                <a:pt x="5946" y="18875"/>
              </a:lnTo>
              <a:lnTo>
                <a:pt x="15766" y="18875"/>
              </a:lnTo>
              <a:lnTo>
                <a:pt x="15499" y="18314"/>
              </a:lnTo>
              <a:lnTo>
                <a:pt x="6213" y="18314"/>
              </a:lnTo>
              <a:close/>
            </a:path>
            <a:path w="21600" h="21600" extrusionOk="0">
              <a:moveTo>
                <a:pt x="2828" y="16471"/>
              </a:moveTo>
              <a:lnTo>
                <a:pt x="2405" y="17072"/>
              </a:lnTo>
              <a:lnTo>
                <a:pt x="19284" y="17072"/>
              </a:lnTo>
              <a:lnTo>
                <a:pt x="18839" y="16471"/>
              </a:lnTo>
              <a:lnTo>
                <a:pt x="2828" y="16471"/>
              </a:lnTo>
              <a:close/>
            </a:path>
            <a:path w="21600" h="21600" extrusionOk="0">
              <a:moveTo>
                <a:pt x="2316" y="17352"/>
              </a:moveTo>
              <a:lnTo>
                <a:pt x="1871" y="17953"/>
              </a:lnTo>
              <a:lnTo>
                <a:pt x="19863" y="17953"/>
              </a:lnTo>
              <a:lnTo>
                <a:pt x="19395" y="17352"/>
              </a:lnTo>
              <a:lnTo>
                <a:pt x="2316" y="17352"/>
              </a:lnTo>
              <a:close/>
            </a:path>
          </a:pathLst>
        </a:cu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1" i="0" strike="noStrike">
              <a:solidFill>
                <a:srgbClr val="000000"/>
              </a:solidFill>
              <a:latin typeface="ＭＳ Ｐゴシック"/>
              <a:ea typeface="ＭＳ Ｐゴシック"/>
            </a:rPr>
            <a:t>上書き保存</a:t>
          </a:r>
        </a:p>
      </xdr:txBody>
    </xdr:sp>
    <xdr:clientData/>
  </xdr:twoCellAnchor>
  <xdr:twoCellAnchor>
    <xdr:from>
      <xdr:col>3</xdr:col>
      <xdr:colOff>628650</xdr:colOff>
      <xdr:row>11</xdr:row>
      <xdr:rowOff>47625</xdr:rowOff>
    </xdr:from>
    <xdr:to>
      <xdr:col>6</xdr:col>
      <xdr:colOff>114300</xdr:colOff>
      <xdr:row>14</xdr:row>
      <xdr:rowOff>9525</xdr:rowOff>
    </xdr:to>
    <xdr:sp macro="[0]!大会申込へ移動" textlink="">
      <xdr:nvSpPr>
        <xdr:cNvPr id="29728" name="Letter"/>
        <xdr:cNvSpPr>
          <a:spLocks noEditPoints="1" noChangeArrowheads="1"/>
        </xdr:cNvSpPr>
      </xdr:nvSpPr>
      <xdr:spPr bwMode="auto">
        <a:xfrm>
          <a:off x="2686050" y="1933575"/>
          <a:ext cx="1543050" cy="4762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5304 w 21600"/>
            <a:gd name="T17" fmla="*/ 9216 h 21600"/>
            <a:gd name="T18" fmla="*/ 17504 w 21600"/>
            <a:gd name="T19" fmla="*/ 1837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4" y="0"/>
              </a:moveTo>
              <a:lnTo>
                <a:pt x="21600" y="0"/>
              </a:lnTo>
              <a:lnTo>
                <a:pt x="21600" y="21628"/>
              </a:lnTo>
              <a:lnTo>
                <a:pt x="14" y="21628"/>
              </a:lnTo>
              <a:lnTo>
                <a:pt x="14" y="0"/>
              </a:lnTo>
              <a:close/>
            </a:path>
            <a:path w="21600" h="21600" extrusionOk="0">
              <a:moveTo>
                <a:pt x="18476" y="2035"/>
              </a:moveTo>
              <a:lnTo>
                <a:pt x="20539" y="2035"/>
              </a:lnTo>
              <a:lnTo>
                <a:pt x="20539" y="6559"/>
              </a:lnTo>
              <a:lnTo>
                <a:pt x="18476" y="6559"/>
              </a:lnTo>
              <a:lnTo>
                <a:pt x="18476" y="2035"/>
              </a:lnTo>
              <a:close/>
            </a:path>
            <a:path w="21600" h="21600" extrusionOk="0">
              <a:moveTo>
                <a:pt x="884" y="2092"/>
              </a:moveTo>
              <a:lnTo>
                <a:pt x="7425" y="2092"/>
              </a:lnTo>
              <a:lnTo>
                <a:pt x="7425" y="2770"/>
              </a:lnTo>
              <a:lnTo>
                <a:pt x="884" y="2770"/>
              </a:lnTo>
              <a:lnTo>
                <a:pt x="884" y="2092"/>
              </a:lnTo>
              <a:close/>
            </a:path>
            <a:path w="21600" h="21600" extrusionOk="0">
              <a:moveTo>
                <a:pt x="884" y="3109"/>
              </a:moveTo>
              <a:lnTo>
                <a:pt x="7425" y="3109"/>
              </a:lnTo>
              <a:lnTo>
                <a:pt x="7425" y="3788"/>
              </a:lnTo>
              <a:lnTo>
                <a:pt x="884" y="3788"/>
              </a:lnTo>
              <a:lnTo>
                <a:pt x="884" y="3109"/>
              </a:lnTo>
              <a:close/>
            </a:path>
            <a:path w="21600" h="21600" extrusionOk="0">
              <a:moveTo>
                <a:pt x="884" y="4127"/>
              </a:moveTo>
              <a:lnTo>
                <a:pt x="7425" y="4127"/>
              </a:lnTo>
              <a:lnTo>
                <a:pt x="7425" y="4806"/>
              </a:lnTo>
              <a:lnTo>
                <a:pt x="884" y="4806"/>
              </a:lnTo>
              <a:lnTo>
                <a:pt x="884" y="4127"/>
              </a:lnTo>
              <a:close/>
            </a:path>
            <a:path w="21600" h="21600" extrusionOk="0">
              <a:moveTo>
                <a:pt x="5127" y="5145"/>
              </a:moveTo>
              <a:lnTo>
                <a:pt x="7425" y="5145"/>
              </a:lnTo>
              <a:lnTo>
                <a:pt x="7425" y="5824"/>
              </a:lnTo>
              <a:lnTo>
                <a:pt x="5127" y="5824"/>
              </a:lnTo>
              <a:lnTo>
                <a:pt x="5127" y="5145"/>
              </a:lnTo>
              <a:close/>
            </a:path>
          </a:pathLst>
        </a:cu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ja-JP" altLang="en-US" sz="1100" b="1" i="0" strike="noStrike">
              <a:solidFill>
                <a:srgbClr val="000000"/>
              </a:solidFill>
              <a:latin typeface="ＭＳ Ｐゴシック"/>
              <a:ea typeface="ＭＳ Ｐゴシック"/>
            </a:rPr>
            <a:t>大会申込へ</a:t>
          </a:r>
        </a:p>
      </xdr:txBody>
    </xdr:sp>
    <xdr:clientData/>
  </xdr:twoCellAnchor>
  <xdr:twoCellAnchor>
    <xdr:from>
      <xdr:col>7</xdr:col>
      <xdr:colOff>400050</xdr:colOff>
      <xdr:row>11</xdr:row>
      <xdr:rowOff>161925</xdr:rowOff>
    </xdr:from>
    <xdr:to>
      <xdr:col>8</xdr:col>
      <xdr:colOff>657225</xdr:colOff>
      <xdr:row>14</xdr:row>
      <xdr:rowOff>142875</xdr:rowOff>
    </xdr:to>
    <xdr:sp macro="[0]!振込用紙へ移動" textlink="">
      <xdr:nvSpPr>
        <xdr:cNvPr id="29731" name="PC"/>
        <xdr:cNvSpPr>
          <a:spLocks noEditPoints="1" noChangeArrowheads="1"/>
        </xdr:cNvSpPr>
      </xdr:nvSpPr>
      <xdr:spPr bwMode="auto">
        <a:xfrm>
          <a:off x="5200650" y="2047875"/>
          <a:ext cx="942975" cy="495300"/>
        </a:xfrm>
        <a:custGeom>
          <a:avLst/>
          <a:gdLst>
            <a:gd name="T0" fmla="*/ 0 w 21600"/>
            <a:gd name="T1" fmla="*/ 0 h 21600"/>
            <a:gd name="T2" fmla="*/ 10800 w 21600"/>
            <a:gd name="T3" fmla="*/ 0 h 21600"/>
            <a:gd name="T4" fmla="*/ 21600 w 21600"/>
            <a:gd name="T5" fmla="*/ 0 h 21600"/>
            <a:gd name="T6" fmla="*/ 21600 w 21600"/>
            <a:gd name="T7" fmla="*/ 10800 h 21600"/>
            <a:gd name="T8" fmla="*/ 10800 w 21600"/>
            <a:gd name="T9" fmla="*/ 21600 h 21600"/>
            <a:gd name="T10" fmla="*/ 0 w 21600"/>
            <a:gd name="T11" fmla="*/ 10800 h 21600"/>
            <a:gd name="T12" fmla="*/ 2802 w 21600"/>
            <a:gd name="T13" fmla="*/ 3891 h 21600"/>
            <a:gd name="T14" fmla="*/ 19065 w 21600"/>
            <a:gd name="T15" fmla="*/ 14250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21600" y="10851"/>
              </a:moveTo>
              <a:lnTo>
                <a:pt x="21600" y="0"/>
              </a:lnTo>
              <a:lnTo>
                <a:pt x="10823" y="0"/>
              </a:lnTo>
              <a:lnTo>
                <a:pt x="0" y="0"/>
              </a:lnTo>
              <a:lnTo>
                <a:pt x="0" y="10919"/>
              </a:lnTo>
              <a:lnTo>
                <a:pt x="0" y="19328"/>
              </a:lnTo>
              <a:lnTo>
                <a:pt x="5924" y="19328"/>
              </a:lnTo>
              <a:lnTo>
                <a:pt x="6494" y="21600"/>
              </a:lnTo>
              <a:lnTo>
                <a:pt x="10663" y="21600"/>
              </a:lnTo>
              <a:lnTo>
                <a:pt x="15334" y="21600"/>
              </a:lnTo>
              <a:lnTo>
                <a:pt x="15904" y="19328"/>
              </a:lnTo>
              <a:lnTo>
                <a:pt x="21600" y="19328"/>
              </a:lnTo>
              <a:lnTo>
                <a:pt x="21600" y="10851"/>
              </a:lnTo>
              <a:close/>
            </a:path>
            <a:path w="21600" h="21600" extrusionOk="0">
              <a:moveTo>
                <a:pt x="15904" y="19328"/>
              </a:moveTo>
              <a:lnTo>
                <a:pt x="16861" y="14750"/>
              </a:lnTo>
              <a:lnTo>
                <a:pt x="19367" y="14750"/>
              </a:lnTo>
              <a:lnTo>
                <a:pt x="19367" y="3459"/>
              </a:lnTo>
              <a:lnTo>
                <a:pt x="2461" y="3459"/>
              </a:lnTo>
              <a:lnTo>
                <a:pt x="2461" y="14750"/>
              </a:lnTo>
              <a:lnTo>
                <a:pt x="4967" y="14750"/>
              </a:lnTo>
              <a:lnTo>
                <a:pt x="5924" y="19159"/>
              </a:lnTo>
              <a:moveTo>
                <a:pt x="15904" y="19328"/>
              </a:moveTo>
              <a:lnTo>
                <a:pt x="16861" y="14750"/>
              </a:lnTo>
              <a:lnTo>
                <a:pt x="2461" y="14750"/>
              </a:lnTo>
            </a:path>
          </a:pathLst>
        </a:custGeom>
        <a:solidFill>
          <a:srgbClr val="FFFFCC"/>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ＭＳ Ｐゴシック"/>
              <a:ea typeface="ＭＳ Ｐゴシック"/>
            </a:rPr>
            <a:t>振込用紙</a:t>
          </a:r>
        </a:p>
      </xdr:txBody>
    </xdr:sp>
    <xdr:clientData/>
  </xdr:twoCellAnchor>
  <xdr:twoCellAnchor>
    <xdr:from>
      <xdr:col>1</xdr:col>
      <xdr:colOff>381000</xdr:colOff>
      <xdr:row>0</xdr:row>
      <xdr:rowOff>95250</xdr:rowOff>
    </xdr:from>
    <xdr:to>
      <xdr:col>8</xdr:col>
      <xdr:colOff>285750</xdr:colOff>
      <xdr:row>2</xdr:row>
      <xdr:rowOff>95250</xdr:rowOff>
    </xdr:to>
    <xdr:sp macro="" textlink="">
      <xdr:nvSpPr>
        <xdr:cNvPr id="29735" name="UpRibbonSharp"/>
        <xdr:cNvSpPr>
          <a:spLocks noEditPoints="1" noChangeArrowheads="1"/>
        </xdr:cNvSpPr>
      </xdr:nvSpPr>
      <xdr:spPr bwMode="auto">
        <a:xfrm>
          <a:off x="1066800" y="95250"/>
          <a:ext cx="4705350" cy="342900"/>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ctr" upright="1"/>
        <a:lstStyle/>
        <a:p>
          <a:pPr algn="ctr" rtl="0">
            <a:defRPr sz="1000"/>
          </a:pPr>
          <a:r>
            <a:rPr lang="en-US" altLang="ja-JP" sz="1200" b="1" i="0" u="none" strike="noStrike" baseline="0">
              <a:solidFill>
                <a:srgbClr val="000000"/>
              </a:solidFill>
              <a:latin typeface="ＭＳ Ｐゴシック"/>
              <a:ea typeface="ＭＳ Ｐゴシック"/>
            </a:rPr>
            <a:t>2017 </a:t>
          </a:r>
          <a:r>
            <a:rPr lang="ja-JP" altLang="en-US" sz="1200" b="1" i="0" u="none" strike="noStrike" baseline="0">
              <a:solidFill>
                <a:srgbClr val="000000"/>
              </a:solidFill>
              <a:latin typeface="ＭＳ Ｐゴシック"/>
              <a:ea typeface="ＭＳ Ｐゴシック"/>
            </a:rPr>
            <a:t>大学生　申込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971549</xdr:colOff>
      <xdr:row>0</xdr:row>
      <xdr:rowOff>38099</xdr:rowOff>
    </xdr:from>
    <xdr:to>
      <xdr:col>29</xdr:col>
      <xdr:colOff>104774</xdr:colOff>
      <xdr:row>1</xdr:row>
      <xdr:rowOff>123824</xdr:rowOff>
    </xdr:to>
    <xdr:sp macro="[0]!メニューへ移動" textlink="">
      <xdr:nvSpPr>
        <xdr:cNvPr id="7251" name="Rectangle 83"/>
        <xdr:cNvSpPr>
          <a:spLocks noChangeArrowheads="1"/>
        </xdr:cNvSpPr>
      </xdr:nvSpPr>
      <xdr:spPr bwMode="auto">
        <a:xfrm flipH="1">
          <a:off x="7905749" y="38099"/>
          <a:ext cx="1133475" cy="27622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メニューへ戻る</a:t>
          </a:r>
        </a:p>
      </xdr:txBody>
    </xdr:sp>
    <xdr:clientData fPrintsWithSheet="0"/>
  </xdr:twoCellAnchor>
  <xdr:twoCellAnchor>
    <xdr:from>
      <xdr:col>29</xdr:col>
      <xdr:colOff>200026</xdr:colOff>
      <xdr:row>0</xdr:row>
      <xdr:rowOff>38100</xdr:rowOff>
    </xdr:from>
    <xdr:to>
      <xdr:col>32</xdr:col>
      <xdr:colOff>200026</xdr:colOff>
      <xdr:row>1</xdr:row>
      <xdr:rowOff>152400</xdr:rowOff>
    </xdr:to>
    <xdr:sp macro="[0]!印刷1" textlink="">
      <xdr:nvSpPr>
        <xdr:cNvPr id="7255" name="Rectangle 87"/>
        <xdr:cNvSpPr>
          <a:spLocks noChangeArrowheads="1"/>
        </xdr:cNvSpPr>
      </xdr:nvSpPr>
      <xdr:spPr bwMode="auto">
        <a:xfrm>
          <a:off x="9134476" y="38100"/>
          <a:ext cx="1714500" cy="304800"/>
        </a:xfrm>
        <a:prstGeom prst="rect">
          <a:avLst/>
        </a:prstGeom>
        <a:solidFill>
          <a:srgbClr val="00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既定のプリンターへ印刷</a:t>
          </a:r>
        </a:p>
      </xdr:txBody>
    </xdr:sp>
    <xdr:clientData fPrintsWithSheet="0"/>
  </xdr:twoCellAnchor>
  <xdr:twoCellAnchor>
    <xdr:from>
      <xdr:col>15</xdr:col>
      <xdr:colOff>971549</xdr:colOff>
      <xdr:row>2</xdr:row>
      <xdr:rowOff>133350</xdr:rowOff>
    </xdr:from>
    <xdr:to>
      <xdr:col>30</xdr:col>
      <xdr:colOff>142875</xdr:colOff>
      <xdr:row>4</xdr:row>
      <xdr:rowOff>238125</xdr:rowOff>
    </xdr:to>
    <xdr:sp macro="[0]!大会申込へ移動" textlink="">
      <xdr:nvSpPr>
        <xdr:cNvPr id="7280" name="Letter"/>
        <xdr:cNvSpPr>
          <a:spLocks noEditPoints="1" noChangeArrowheads="1"/>
        </xdr:cNvSpPr>
      </xdr:nvSpPr>
      <xdr:spPr bwMode="auto">
        <a:xfrm>
          <a:off x="7905749" y="514350"/>
          <a:ext cx="1743076" cy="4857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5304 w 21600"/>
            <a:gd name="T17" fmla="*/ 9216 h 21600"/>
            <a:gd name="T18" fmla="*/ 17504 w 21600"/>
            <a:gd name="T19" fmla="*/ 1837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4" y="0"/>
              </a:moveTo>
              <a:lnTo>
                <a:pt x="21600" y="0"/>
              </a:lnTo>
              <a:lnTo>
                <a:pt x="21600" y="21628"/>
              </a:lnTo>
              <a:lnTo>
                <a:pt x="14" y="21628"/>
              </a:lnTo>
              <a:lnTo>
                <a:pt x="14" y="0"/>
              </a:lnTo>
              <a:close/>
            </a:path>
            <a:path w="21600" h="21600" extrusionOk="0">
              <a:moveTo>
                <a:pt x="18476" y="2035"/>
              </a:moveTo>
              <a:lnTo>
                <a:pt x="20539" y="2035"/>
              </a:lnTo>
              <a:lnTo>
                <a:pt x="20539" y="6559"/>
              </a:lnTo>
              <a:lnTo>
                <a:pt x="18476" y="6559"/>
              </a:lnTo>
              <a:lnTo>
                <a:pt x="18476" y="2035"/>
              </a:lnTo>
              <a:close/>
            </a:path>
            <a:path w="21600" h="21600" extrusionOk="0">
              <a:moveTo>
                <a:pt x="884" y="2092"/>
              </a:moveTo>
              <a:lnTo>
                <a:pt x="7425" y="2092"/>
              </a:lnTo>
              <a:lnTo>
                <a:pt x="7425" y="2770"/>
              </a:lnTo>
              <a:lnTo>
                <a:pt x="884" y="2770"/>
              </a:lnTo>
              <a:lnTo>
                <a:pt x="884" y="2092"/>
              </a:lnTo>
              <a:close/>
            </a:path>
            <a:path w="21600" h="21600" extrusionOk="0">
              <a:moveTo>
                <a:pt x="884" y="3109"/>
              </a:moveTo>
              <a:lnTo>
                <a:pt x="7425" y="3109"/>
              </a:lnTo>
              <a:lnTo>
                <a:pt x="7425" y="3788"/>
              </a:lnTo>
              <a:lnTo>
                <a:pt x="884" y="3788"/>
              </a:lnTo>
              <a:lnTo>
                <a:pt x="884" y="3109"/>
              </a:lnTo>
              <a:close/>
            </a:path>
            <a:path w="21600" h="21600" extrusionOk="0">
              <a:moveTo>
                <a:pt x="884" y="4127"/>
              </a:moveTo>
              <a:lnTo>
                <a:pt x="7425" y="4127"/>
              </a:lnTo>
              <a:lnTo>
                <a:pt x="7425" y="4806"/>
              </a:lnTo>
              <a:lnTo>
                <a:pt x="884" y="4806"/>
              </a:lnTo>
              <a:lnTo>
                <a:pt x="884" y="4127"/>
              </a:lnTo>
              <a:close/>
            </a:path>
            <a:path w="21600" h="21600" extrusionOk="0">
              <a:moveTo>
                <a:pt x="5127" y="5145"/>
              </a:moveTo>
              <a:lnTo>
                <a:pt x="7425" y="5145"/>
              </a:lnTo>
              <a:lnTo>
                <a:pt x="7425" y="5824"/>
              </a:lnTo>
              <a:lnTo>
                <a:pt x="5127" y="5824"/>
              </a:lnTo>
              <a:lnTo>
                <a:pt x="5127" y="5145"/>
              </a:lnTo>
              <a:close/>
            </a:path>
          </a:pathLst>
        </a:cu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ja-JP" altLang="en-US" sz="1100" b="1" i="0" strike="noStrike">
              <a:solidFill>
                <a:srgbClr val="000000"/>
              </a:solidFill>
              <a:latin typeface="ＭＳ Ｐゴシック"/>
              <a:ea typeface="ＭＳ Ｐゴシック"/>
            </a:rPr>
            <a:t>大会申込へ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666750</xdr:colOff>
      <xdr:row>5</xdr:row>
      <xdr:rowOff>95250</xdr:rowOff>
    </xdr:from>
    <xdr:to>
      <xdr:col>5</xdr:col>
      <xdr:colOff>590550</xdr:colOff>
      <xdr:row>13</xdr:row>
      <xdr:rowOff>123825</xdr:rowOff>
    </xdr:to>
    <xdr:sp macro="" textlink="">
      <xdr:nvSpPr>
        <xdr:cNvPr id="30733" name="AutoShape 13"/>
        <xdr:cNvSpPr>
          <a:spLocks noChangeArrowheads="1"/>
        </xdr:cNvSpPr>
      </xdr:nvSpPr>
      <xdr:spPr bwMode="auto">
        <a:xfrm>
          <a:off x="1828800" y="952500"/>
          <a:ext cx="1981200" cy="1400175"/>
        </a:xfrm>
        <a:prstGeom prst="irregularSeal1">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ここは大会入力です</a:t>
          </a:r>
        </a:p>
      </xdr:txBody>
    </xdr:sp>
    <xdr:clientData/>
  </xdr:twoCellAnchor>
  <xdr:twoCellAnchor>
    <xdr:from>
      <xdr:col>9</xdr:col>
      <xdr:colOff>19050</xdr:colOff>
      <xdr:row>0</xdr:row>
      <xdr:rowOff>114300</xdr:rowOff>
    </xdr:from>
    <xdr:to>
      <xdr:col>12</xdr:col>
      <xdr:colOff>542925</xdr:colOff>
      <xdr:row>12</xdr:row>
      <xdr:rowOff>47625</xdr:rowOff>
    </xdr:to>
    <xdr:sp macro="" textlink="">
      <xdr:nvSpPr>
        <xdr:cNvPr id="30737" name="AutoShape 17"/>
        <xdr:cNvSpPr>
          <a:spLocks noChangeArrowheads="1"/>
        </xdr:cNvSpPr>
      </xdr:nvSpPr>
      <xdr:spPr bwMode="auto">
        <a:xfrm>
          <a:off x="5981700" y="114300"/>
          <a:ext cx="2581275" cy="1990725"/>
        </a:xfrm>
        <a:prstGeom prst="cloudCallout">
          <a:avLst>
            <a:gd name="adj1" fmla="val -43750"/>
            <a:gd name="adj2" fmla="val 700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大会名ボタンを押すと</a:t>
          </a:r>
        </a:p>
        <a:p>
          <a:pPr algn="ctr" rtl="0">
            <a:lnSpc>
              <a:spcPts val="1300"/>
            </a:lnSpc>
            <a:defRPr sz="1000"/>
          </a:pPr>
          <a:r>
            <a:rPr lang="ja-JP" altLang="en-US" sz="1100" b="0" i="0" strike="noStrike">
              <a:solidFill>
                <a:srgbClr val="000000"/>
              </a:solidFill>
              <a:latin typeface="ＭＳ Ｐゴシック"/>
              <a:ea typeface="ＭＳ Ｐゴシック"/>
            </a:rPr>
            <a:t>大会シートへ移ります。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入力後はメニューに戻り</a:t>
          </a:r>
        </a:p>
        <a:p>
          <a:pPr algn="ctr" rtl="0">
            <a:lnSpc>
              <a:spcPts val="1200"/>
            </a:lnSpc>
            <a:defRPr sz="1000"/>
          </a:pPr>
          <a:r>
            <a:rPr lang="ja-JP" altLang="en-US" sz="1100" b="0" i="0" strike="noStrike">
              <a:solidFill>
                <a:srgbClr val="000000"/>
              </a:solidFill>
              <a:latin typeface="ＭＳ Ｐゴシック"/>
              <a:ea typeface="ＭＳ Ｐゴシック"/>
            </a:rPr>
            <a:t>上書き保存しましょう。</a:t>
          </a:r>
        </a:p>
      </xdr:txBody>
    </xdr:sp>
    <xdr:clientData/>
  </xdr:twoCellAnchor>
  <xdr:twoCellAnchor>
    <xdr:from>
      <xdr:col>6</xdr:col>
      <xdr:colOff>0</xdr:colOff>
      <xdr:row>10</xdr:row>
      <xdr:rowOff>0</xdr:rowOff>
    </xdr:from>
    <xdr:to>
      <xdr:col>8</xdr:col>
      <xdr:colOff>114300</xdr:colOff>
      <xdr:row>13</xdr:row>
      <xdr:rowOff>66675</xdr:rowOff>
    </xdr:to>
    <xdr:sp macro="" textlink="">
      <xdr:nvSpPr>
        <xdr:cNvPr id="4" name="AutoShape 29">
          <a:hlinkClick xmlns:r="http://schemas.openxmlformats.org/officeDocument/2006/relationships" r:id="rId1"/>
        </xdr:cNvPr>
        <xdr:cNvSpPr>
          <a:spLocks noChangeArrowheads="1"/>
        </xdr:cNvSpPr>
      </xdr:nvSpPr>
      <xdr:spPr bwMode="auto">
        <a:xfrm>
          <a:off x="3905250" y="1714500"/>
          <a:ext cx="1485900" cy="581025"/>
        </a:xfrm>
        <a:prstGeom prst="star8">
          <a:avLst>
            <a:gd name="adj" fmla="val 38250"/>
          </a:avLst>
        </a:prstGeom>
        <a:solidFill>
          <a:srgbClr val="00B0F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インターネット　申込</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609600</xdr:colOff>
      <xdr:row>20</xdr:row>
      <xdr:rowOff>38100</xdr:rowOff>
    </xdr:from>
    <xdr:to>
      <xdr:col>7</xdr:col>
      <xdr:colOff>9525</xdr:colOff>
      <xdr:row>29</xdr:row>
      <xdr:rowOff>152400</xdr:rowOff>
    </xdr:to>
    <xdr:sp macro="" textlink="">
      <xdr:nvSpPr>
        <xdr:cNvPr id="39937" name="Text Box 1"/>
        <xdr:cNvSpPr txBox="1">
          <a:spLocks noChangeArrowheads="1"/>
        </xdr:cNvSpPr>
      </xdr:nvSpPr>
      <xdr:spPr bwMode="auto">
        <a:xfrm>
          <a:off x="1981200" y="4095750"/>
          <a:ext cx="2828925" cy="16573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lnSpc>
              <a:spcPts val="1300"/>
            </a:lnSpc>
            <a:defRPr sz="1000"/>
          </a:pPr>
          <a:r>
            <a:rPr lang="ja-JP" altLang="en-US" sz="1100" b="0" i="0" strike="noStrike">
              <a:solidFill>
                <a:srgbClr val="000000"/>
              </a:solidFill>
              <a:latin typeface="ＭＳ 明朝"/>
              <a:ea typeface="ＭＳ 明朝"/>
            </a:rPr>
            <a:t>下記までお送り下さい</a:t>
          </a:r>
        </a:p>
        <a:p>
          <a:pPr algn="ctr" rtl="0">
            <a:defRPr sz="1000"/>
          </a:pPr>
          <a:r>
            <a:rPr lang="ja-JP" altLang="en-US" sz="1100" b="1" i="0" strike="noStrike">
              <a:solidFill>
                <a:srgbClr val="FF0000"/>
              </a:solidFill>
              <a:latin typeface="ＭＳ 明朝"/>
              <a:ea typeface="ＭＳ 明朝"/>
            </a:rPr>
            <a:t>大会申込締切の翌日必着となります。</a:t>
          </a:r>
          <a:endParaRPr lang="ja-JP" altLang="en-US" sz="1100" b="0" i="0" strike="noStrike">
            <a:solidFill>
              <a:srgbClr val="000000"/>
            </a:solidFill>
            <a:latin typeface="ＭＳ 明朝"/>
            <a:ea typeface="ＭＳ 明朝"/>
          </a:endParaRPr>
        </a:p>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300"/>
            </a:lnSpc>
            <a:defRPr sz="1000"/>
          </a:pPr>
          <a:r>
            <a:rPr lang="en-US" altLang="ja-JP" sz="1100" b="0" i="0" strike="noStrike">
              <a:solidFill>
                <a:srgbClr val="000000"/>
              </a:solidFill>
              <a:latin typeface="ＭＳ 明朝"/>
              <a:ea typeface="ＭＳ 明朝"/>
            </a:rPr>
            <a:t>516-0023 </a:t>
          </a:r>
          <a:r>
            <a:rPr lang="ja-JP" altLang="en-US" sz="1100" b="0" i="0" strike="noStrike">
              <a:solidFill>
                <a:srgbClr val="000000"/>
              </a:solidFill>
              <a:latin typeface="ＭＳ 明朝"/>
              <a:ea typeface="ＭＳ 明朝"/>
            </a:rPr>
            <a:t>伊勢市宇治舘町</a:t>
          </a:r>
          <a:r>
            <a:rPr lang="en-US" altLang="ja-JP" sz="1100" b="0" i="0" strike="noStrike">
              <a:solidFill>
                <a:srgbClr val="000000"/>
              </a:solidFill>
              <a:latin typeface="ＭＳ 明朝"/>
              <a:ea typeface="ＭＳ 明朝"/>
            </a:rPr>
            <a:t>510</a:t>
          </a:r>
        </a:p>
        <a:p>
          <a:pPr algn="ctr" rtl="0">
            <a:defRPr sz="1000"/>
          </a:pPr>
          <a:r>
            <a:rPr lang="ja-JP" altLang="en-US" sz="1100" b="0" i="0" strike="noStrike">
              <a:solidFill>
                <a:srgbClr val="000000"/>
              </a:solidFill>
              <a:latin typeface="ＭＳ 明朝"/>
              <a:ea typeface="ＭＳ 明朝"/>
            </a:rPr>
            <a:t>三重交通Ｇスポーツの杜伊勢内</a:t>
          </a:r>
        </a:p>
        <a:p>
          <a:pPr algn="ctr" rtl="0">
            <a:lnSpc>
              <a:spcPts val="1300"/>
            </a:lnSpc>
            <a:defRPr sz="1000"/>
          </a:pPr>
          <a:r>
            <a:rPr lang="ja-JP" altLang="en-US" sz="1100" b="0" i="0" strike="noStrike">
              <a:solidFill>
                <a:srgbClr val="000000"/>
              </a:solidFill>
              <a:latin typeface="ＭＳ 明朝"/>
              <a:ea typeface="ＭＳ 明朝"/>
            </a:rPr>
            <a:t>三重陸上競技協会事務局　宛</a:t>
          </a:r>
        </a:p>
        <a:p>
          <a:pPr algn="ctr" rtl="0">
            <a:lnSpc>
              <a:spcPts val="13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1</xdr:col>
      <xdr:colOff>219075</xdr:colOff>
      <xdr:row>38</xdr:row>
      <xdr:rowOff>0</xdr:rowOff>
    </xdr:from>
    <xdr:to>
      <xdr:col>5</xdr:col>
      <xdr:colOff>304800</xdr:colOff>
      <xdr:row>38</xdr:row>
      <xdr:rowOff>0</xdr:rowOff>
    </xdr:to>
    <xdr:sp macro="" textlink="">
      <xdr:nvSpPr>
        <xdr:cNvPr id="39938" name="Text Box 2"/>
        <xdr:cNvSpPr txBox="1">
          <a:spLocks noChangeArrowheads="1"/>
        </xdr:cNvSpPr>
      </xdr:nvSpPr>
      <xdr:spPr bwMode="auto">
        <a:xfrm>
          <a:off x="904875" y="7143750"/>
          <a:ext cx="28289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defRPr sz="1000"/>
          </a:pPr>
          <a:r>
            <a:rPr lang="ja-JP" altLang="en-US" sz="1100" b="0" i="0" strike="noStrike">
              <a:solidFill>
                <a:srgbClr val="000000"/>
              </a:solidFill>
              <a:latin typeface="ＭＳ 明朝"/>
              <a:ea typeface="ＭＳ 明朝"/>
            </a:rPr>
            <a:t>三重陸協事務局までお送り下さい</a:t>
          </a:r>
        </a:p>
        <a:p>
          <a:pPr algn="ctr" rtl="0">
            <a:defRPr sz="1000"/>
          </a:pPr>
          <a:endParaRPr lang="ja-JP" altLang="en-US" sz="1100" b="0" i="0" strike="noStrike">
            <a:solidFill>
              <a:srgbClr val="000000"/>
            </a:solidFill>
            <a:latin typeface="ＭＳ 明朝"/>
            <a:ea typeface="ＭＳ 明朝"/>
          </a:endParaRPr>
        </a:p>
      </xdr:txBody>
    </xdr:sp>
    <xdr:clientData/>
  </xdr:twoCellAnchor>
  <xdr:twoCellAnchor>
    <xdr:from>
      <xdr:col>1</xdr:col>
      <xdr:colOff>219075</xdr:colOff>
      <xdr:row>38</xdr:row>
      <xdr:rowOff>0</xdr:rowOff>
    </xdr:from>
    <xdr:to>
      <xdr:col>5</xdr:col>
      <xdr:colOff>304800</xdr:colOff>
      <xdr:row>38</xdr:row>
      <xdr:rowOff>0</xdr:rowOff>
    </xdr:to>
    <xdr:sp macro="" textlink="">
      <xdr:nvSpPr>
        <xdr:cNvPr id="39939" name="Text Box 3"/>
        <xdr:cNvSpPr txBox="1">
          <a:spLocks noChangeArrowheads="1"/>
        </xdr:cNvSpPr>
      </xdr:nvSpPr>
      <xdr:spPr bwMode="auto">
        <a:xfrm>
          <a:off x="904875" y="7143750"/>
          <a:ext cx="28289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defRPr sz="1000"/>
          </a:pPr>
          <a:r>
            <a:rPr lang="ja-JP" altLang="en-US" sz="1100" b="0" i="0" strike="noStrike">
              <a:solidFill>
                <a:srgbClr val="000000"/>
              </a:solidFill>
              <a:latin typeface="ＭＳ 明朝"/>
              <a:ea typeface="ＭＳ 明朝"/>
            </a:rPr>
            <a:t>三重陸協事務局までお送り下さい</a:t>
          </a:r>
        </a:p>
        <a:p>
          <a:pPr algn="ctr" rtl="0">
            <a:defRPr sz="1000"/>
          </a:pPr>
          <a:endParaRPr lang="ja-JP" altLang="en-US" sz="1100" b="0" i="0" strike="noStrike">
            <a:solidFill>
              <a:srgbClr val="000000"/>
            </a:solidFill>
            <a:latin typeface="ＭＳ 明朝"/>
            <a:ea typeface="ＭＳ 明朝"/>
          </a:endParaRPr>
        </a:p>
      </xdr:txBody>
    </xdr:sp>
    <xdr:clientData/>
  </xdr:twoCellAnchor>
  <xdr:twoCellAnchor>
    <xdr:from>
      <xdr:col>7</xdr:col>
      <xdr:colOff>400050</xdr:colOff>
      <xdr:row>38</xdr:row>
      <xdr:rowOff>0</xdr:rowOff>
    </xdr:from>
    <xdr:to>
      <xdr:col>7</xdr:col>
      <xdr:colOff>409575</xdr:colOff>
      <xdr:row>38</xdr:row>
      <xdr:rowOff>0</xdr:rowOff>
    </xdr:to>
    <xdr:sp macro="" textlink="">
      <xdr:nvSpPr>
        <xdr:cNvPr id="404665" name="Line 4"/>
        <xdr:cNvSpPr>
          <a:spLocks noChangeShapeType="1"/>
        </xdr:cNvSpPr>
      </xdr:nvSpPr>
      <xdr:spPr bwMode="auto">
        <a:xfrm flipH="1">
          <a:off x="5200650" y="7143750"/>
          <a:ext cx="9525" cy="0"/>
        </a:xfrm>
        <a:prstGeom prst="line">
          <a:avLst/>
        </a:prstGeom>
        <a:noFill/>
        <a:ln w="9525">
          <a:solidFill>
            <a:srgbClr val="000000"/>
          </a:solidFill>
          <a:round/>
          <a:headEnd/>
          <a:tailEnd/>
        </a:ln>
      </xdr:spPr>
    </xdr:sp>
    <xdr:clientData/>
  </xdr:twoCellAnchor>
  <xdr:twoCellAnchor>
    <xdr:from>
      <xdr:col>7</xdr:col>
      <xdr:colOff>180975</xdr:colOff>
      <xdr:row>38</xdr:row>
      <xdr:rowOff>0</xdr:rowOff>
    </xdr:from>
    <xdr:to>
      <xdr:col>7</xdr:col>
      <xdr:colOff>504825</xdr:colOff>
      <xdr:row>38</xdr:row>
      <xdr:rowOff>0</xdr:rowOff>
    </xdr:to>
    <xdr:sp macro="" textlink="">
      <xdr:nvSpPr>
        <xdr:cNvPr id="39941" name="Text Box 5"/>
        <xdr:cNvSpPr txBox="1">
          <a:spLocks noChangeArrowheads="1"/>
        </xdr:cNvSpPr>
      </xdr:nvSpPr>
      <xdr:spPr bwMode="auto">
        <a:xfrm>
          <a:off x="4981575" y="7143750"/>
          <a:ext cx="323850" cy="0"/>
        </a:xfrm>
        <a:prstGeom prst="rect">
          <a:avLst/>
        </a:prstGeom>
        <a:solidFill>
          <a:srgbClr val="FFFF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strike="noStrike">
              <a:solidFill>
                <a:srgbClr val="000000"/>
              </a:solidFill>
              <a:latin typeface="ＭＳ 明朝"/>
              <a:ea typeface="ＭＳ 明朝"/>
            </a:rPr>
            <a:t>切り取り線</a:t>
          </a:r>
        </a:p>
      </xdr:txBody>
    </xdr:sp>
    <xdr:clientData/>
  </xdr:twoCellAnchor>
  <xdr:twoCellAnchor>
    <xdr:from>
      <xdr:col>7</xdr:col>
      <xdr:colOff>390525</xdr:colOff>
      <xdr:row>38</xdr:row>
      <xdr:rowOff>0</xdr:rowOff>
    </xdr:from>
    <xdr:to>
      <xdr:col>7</xdr:col>
      <xdr:colOff>390525</xdr:colOff>
      <xdr:row>38</xdr:row>
      <xdr:rowOff>0</xdr:rowOff>
    </xdr:to>
    <xdr:sp macro="" textlink="">
      <xdr:nvSpPr>
        <xdr:cNvPr id="404667" name="Line 6"/>
        <xdr:cNvSpPr>
          <a:spLocks noChangeShapeType="1"/>
        </xdr:cNvSpPr>
      </xdr:nvSpPr>
      <xdr:spPr bwMode="auto">
        <a:xfrm flipH="1">
          <a:off x="5191125" y="7143750"/>
          <a:ext cx="0" cy="0"/>
        </a:xfrm>
        <a:prstGeom prst="line">
          <a:avLst/>
        </a:prstGeom>
        <a:noFill/>
        <a:ln w="9525">
          <a:solidFill>
            <a:srgbClr val="000000"/>
          </a:solidFill>
          <a:round/>
          <a:headEnd/>
          <a:tailEnd/>
        </a:ln>
      </xdr:spPr>
    </xdr:sp>
    <xdr:clientData/>
  </xdr:twoCellAnchor>
  <xdr:twoCellAnchor>
    <xdr:from>
      <xdr:col>8</xdr:col>
      <xdr:colOff>0</xdr:colOff>
      <xdr:row>38</xdr:row>
      <xdr:rowOff>0</xdr:rowOff>
    </xdr:from>
    <xdr:to>
      <xdr:col>8</xdr:col>
      <xdr:colOff>0</xdr:colOff>
      <xdr:row>38</xdr:row>
      <xdr:rowOff>0</xdr:rowOff>
    </xdr:to>
    <xdr:sp macro="" textlink="">
      <xdr:nvSpPr>
        <xdr:cNvPr id="39943" name="Text Box 7"/>
        <xdr:cNvSpPr txBox="1">
          <a:spLocks noChangeArrowheads="1"/>
        </xdr:cNvSpPr>
      </xdr:nvSpPr>
      <xdr:spPr bwMode="auto">
        <a:xfrm>
          <a:off x="5381625" y="71437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defRPr sz="1000"/>
          </a:pPr>
          <a:r>
            <a:rPr lang="ja-JP" altLang="en-US" sz="1100" b="0" i="0" strike="noStrike">
              <a:solidFill>
                <a:srgbClr val="000000"/>
              </a:solidFill>
              <a:latin typeface="ＭＳ 明朝"/>
              <a:ea typeface="ＭＳ 明朝"/>
            </a:rPr>
            <a:t>三重陸協事務局までお送り下さい</a:t>
          </a:r>
        </a:p>
        <a:p>
          <a:pPr algn="ctr" rtl="0">
            <a:defRPr sz="1000"/>
          </a:pPr>
          <a:endParaRPr lang="ja-JP" altLang="en-US" sz="1100" b="0" i="0" strike="noStrike">
            <a:solidFill>
              <a:srgbClr val="000000"/>
            </a:solidFill>
            <a:latin typeface="ＭＳ 明朝"/>
            <a:ea typeface="ＭＳ 明朝"/>
          </a:endParaRPr>
        </a:p>
        <a:p>
          <a:pPr algn="ctr" rtl="0">
            <a:defRPr sz="1000"/>
          </a:pPr>
          <a:r>
            <a:rPr lang="ja-JP" altLang="en-US" sz="1100" b="0" i="0" strike="noStrike">
              <a:solidFill>
                <a:srgbClr val="000000"/>
              </a:solidFill>
              <a:latin typeface="ＭＳ 明朝"/>
              <a:ea typeface="ＭＳ 明朝"/>
            </a:rPr>
            <a:t>締切日</a:t>
          </a:r>
          <a:r>
            <a:rPr lang="en-US" altLang="ja-JP" sz="1100" b="0" i="0" strike="noStrike">
              <a:solidFill>
                <a:srgbClr val="000000"/>
              </a:solidFill>
              <a:latin typeface="ＭＳ 明朝"/>
              <a:ea typeface="ＭＳ 明朝"/>
            </a:rPr>
            <a:t>1/9</a:t>
          </a:r>
        </a:p>
      </xdr:txBody>
    </xdr:sp>
    <xdr:clientData/>
  </xdr:twoCellAnchor>
  <xdr:twoCellAnchor>
    <xdr:from>
      <xdr:col>7</xdr:col>
      <xdr:colOff>371475</xdr:colOff>
      <xdr:row>38</xdr:row>
      <xdr:rowOff>0</xdr:rowOff>
    </xdr:from>
    <xdr:to>
      <xdr:col>7</xdr:col>
      <xdr:colOff>381000</xdr:colOff>
      <xdr:row>38</xdr:row>
      <xdr:rowOff>0</xdr:rowOff>
    </xdr:to>
    <xdr:sp macro="" textlink="">
      <xdr:nvSpPr>
        <xdr:cNvPr id="404669" name="Line 8"/>
        <xdr:cNvSpPr>
          <a:spLocks noChangeShapeType="1"/>
        </xdr:cNvSpPr>
      </xdr:nvSpPr>
      <xdr:spPr bwMode="auto">
        <a:xfrm flipH="1">
          <a:off x="5172075" y="7143750"/>
          <a:ext cx="9525" cy="0"/>
        </a:xfrm>
        <a:prstGeom prst="line">
          <a:avLst/>
        </a:prstGeom>
        <a:noFill/>
        <a:ln w="9525">
          <a:solidFill>
            <a:srgbClr val="000000"/>
          </a:solidFill>
          <a:round/>
          <a:headEnd/>
          <a:tailEnd/>
        </a:ln>
      </xdr:spPr>
    </xdr:sp>
    <xdr:clientData/>
  </xdr:twoCellAnchor>
  <xdr:twoCellAnchor>
    <xdr:from>
      <xdr:col>7</xdr:col>
      <xdr:colOff>171450</xdr:colOff>
      <xdr:row>38</xdr:row>
      <xdr:rowOff>0</xdr:rowOff>
    </xdr:from>
    <xdr:to>
      <xdr:col>7</xdr:col>
      <xdr:colOff>495300</xdr:colOff>
      <xdr:row>38</xdr:row>
      <xdr:rowOff>0</xdr:rowOff>
    </xdr:to>
    <xdr:sp macro="" textlink="">
      <xdr:nvSpPr>
        <xdr:cNvPr id="39945" name="Text Box 9"/>
        <xdr:cNvSpPr txBox="1">
          <a:spLocks noChangeArrowheads="1"/>
        </xdr:cNvSpPr>
      </xdr:nvSpPr>
      <xdr:spPr bwMode="auto">
        <a:xfrm>
          <a:off x="4972050" y="7143750"/>
          <a:ext cx="323850" cy="0"/>
        </a:xfrm>
        <a:prstGeom prst="rect">
          <a:avLst/>
        </a:prstGeom>
        <a:solidFill>
          <a:srgbClr val="FFFF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strike="noStrike">
              <a:solidFill>
                <a:srgbClr val="000000"/>
              </a:solidFill>
              <a:latin typeface="ＭＳ 明朝"/>
              <a:ea typeface="ＭＳ 明朝"/>
            </a:rPr>
            <a:t>切り取り線</a:t>
          </a:r>
        </a:p>
      </xdr:txBody>
    </xdr:sp>
    <xdr:clientData/>
  </xdr:twoCellAnchor>
  <xdr:twoCellAnchor>
    <xdr:from>
      <xdr:col>7</xdr:col>
      <xdr:colOff>381000</xdr:colOff>
      <xdr:row>38</xdr:row>
      <xdr:rowOff>0</xdr:rowOff>
    </xdr:from>
    <xdr:to>
      <xdr:col>7</xdr:col>
      <xdr:colOff>381000</xdr:colOff>
      <xdr:row>38</xdr:row>
      <xdr:rowOff>0</xdr:rowOff>
    </xdr:to>
    <xdr:sp macro="" textlink="">
      <xdr:nvSpPr>
        <xdr:cNvPr id="404671" name="Line 10"/>
        <xdr:cNvSpPr>
          <a:spLocks noChangeShapeType="1"/>
        </xdr:cNvSpPr>
      </xdr:nvSpPr>
      <xdr:spPr bwMode="auto">
        <a:xfrm flipH="1">
          <a:off x="5181600" y="7143750"/>
          <a:ext cx="0" cy="0"/>
        </a:xfrm>
        <a:prstGeom prst="line">
          <a:avLst/>
        </a:prstGeom>
        <a:noFill/>
        <a:ln w="9525">
          <a:solidFill>
            <a:srgbClr val="000000"/>
          </a:solidFill>
          <a:round/>
          <a:headEnd/>
          <a:tailEnd/>
        </a:ln>
      </xdr:spPr>
    </xdr:sp>
    <xdr:clientData/>
  </xdr:twoCellAnchor>
  <xdr:twoCellAnchor>
    <xdr:from>
      <xdr:col>8</xdr:col>
      <xdr:colOff>0</xdr:colOff>
      <xdr:row>38</xdr:row>
      <xdr:rowOff>0</xdr:rowOff>
    </xdr:from>
    <xdr:to>
      <xdr:col>8</xdr:col>
      <xdr:colOff>0</xdr:colOff>
      <xdr:row>38</xdr:row>
      <xdr:rowOff>0</xdr:rowOff>
    </xdr:to>
    <xdr:sp macro="" textlink="">
      <xdr:nvSpPr>
        <xdr:cNvPr id="39947" name="Text Box 11"/>
        <xdr:cNvSpPr txBox="1">
          <a:spLocks noChangeArrowheads="1"/>
        </xdr:cNvSpPr>
      </xdr:nvSpPr>
      <xdr:spPr bwMode="auto">
        <a:xfrm>
          <a:off x="5381625" y="71437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defRPr sz="1000"/>
          </a:pPr>
          <a:r>
            <a:rPr lang="ja-JP" altLang="en-US" sz="1100" b="0" i="0" strike="noStrike">
              <a:solidFill>
                <a:srgbClr val="000000"/>
              </a:solidFill>
              <a:latin typeface="ＭＳ 明朝"/>
              <a:ea typeface="ＭＳ 明朝"/>
            </a:rPr>
            <a:t>三重陸協事務局までお送り下さい</a:t>
          </a:r>
        </a:p>
      </xdr:txBody>
    </xdr:sp>
    <xdr:clientData/>
  </xdr:twoCellAnchor>
  <xdr:twoCellAnchor>
    <xdr:from>
      <xdr:col>7</xdr:col>
      <xdr:colOff>371475</xdr:colOff>
      <xdr:row>38</xdr:row>
      <xdr:rowOff>0</xdr:rowOff>
    </xdr:from>
    <xdr:to>
      <xdr:col>7</xdr:col>
      <xdr:colOff>381000</xdr:colOff>
      <xdr:row>38</xdr:row>
      <xdr:rowOff>0</xdr:rowOff>
    </xdr:to>
    <xdr:sp macro="" textlink="">
      <xdr:nvSpPr>
        <xdr:cNvPr id="404673" name="Line 12"/>
        <xdr:cNvSpPr>
          <a:spLocks noChangeShapeType="1"/>
        </xdr:cNvSpPr>
      </xdr:nvSpPr>
      <xdr:spPr bwMode="auto">
        <a:xfrm flipH="1">
          <a:off x="5172075" y="7143750"/>
          <a:ext cx="9525" cy="0"/>
        </a:xfrm>
        <a:prstGeom prst="line">
          <a:avLst/>
        </a:prstGeom>
        <a:noFill/>
        <a:ln w="9525">
          <a:solidFill>
            <a:srgbClr val="000000"/>
          </a:solidFill>
          <a:round/>
          <a:headEnd/>
          <a:tailEnd/>
        </a:ln>
      </xdr:spPr>
    </xdr:sp>
    <xdr:clientData/>
  </xdr:twoCellAnchor>
  <xdr:twoCellAnchor>
    <xdr:from>
      <xdr:col>7</xdr:col>
      <xdr:colOff>171450</xdr:colOff>
      <xdr:row>38</xdr:row>
      <xdr:rowOff>0</xdr:rowOff>
    </xdr:from>
    <xdr:to>
      <xdr:col>7</xdr:col>
      <xdr:colOff>495300</xdr:colOff>
      <xdr:row>38</xdr:row>
      <xdr:rowOff>0</xdr:rowOff>
    </xdr:to>
    <xdr:sp macro="" textlink="">
      <xdr:nvSpPr>
        <xdr:cNvPr id="39949" name="Text Box 13"/>
        <xdr:cNvSpPr txBox="1">
          <a:spLocks noChangeArrowheads="1"/>
        </xdr:cNvSpPr>
      </xdr:nvSpPr>
      <xdr:spPr bwMode="auto">
        <a:xfrm>
          <a:off x="4972050" y="7143750"/>
          <a:ext cx="323850" cy="0"/>
        </a:xfrm>
        <a:prstGeom prst="rect">
          <a:avLst/>
        </a:prstGeom>
        <a:solidFill>
          <a:srgbClr val="FFFF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strike="noStrike">
              <a:solidFill>
                <a:srgbClr val="000000"/>
              </a:solidFill>
              <a:latin typeface="ＭＳ 明朝"/>
              <a:ea typeface="ＭＳ 明朝"/>
            </a:rPr>
            <a:t>切り取り線</a:t>
          </a:r>
        </a:p>
      </xdr:txBody>
    </xdr:sp>
    <xdr:clientData/>
  </xdr:twoCellAnchor>
  <xdr:twoCellAnchor>
    <xdr:from>
      <xdr:col>7</xdr:col>
      <xdr:colOff>381000</xdr:colOff>
      <xdr:row>38</xdr:row>
      <xdr:rowOff>0</xdr:rowOff>
    </xdr:from>
    <xdr:to>
      <xdr:col>7</xdr:col>
      <xdr:colOff>381000</xdr:colOff>
      <xdr:row>38</xdr:row>
      <xdr:rowOff>0</xdr:rowOff>
    </xdr:to>
    <xdr:sp macro="" textlink="">
      <xdr:nvSpPr>
        <xdr:cNvPr id="404675" name="Line 14"/>
        <xdr:cNvSpPr>
          <a:spLocks noChangeShapeType="1"/>
        </xdr:cNvSpPr>
      </xdr:nvSpPr>
      <xdr:spPr bwMode="auto">
        <a:xfrm flipH="1">
          <a:off x="5181600" y="7143750"/>
          <a:ext cx="0" cy="0"/>
        </a:xfrm>
        <a:prstGeom prst="line">
          <a:avLst/>
        </a:prstGeom>
        <a:noFill/>
        <a:ln w="9525">
          <a:solidFill>
            <a:srgbClr val="000000"/>
          </a:solidFill>
          <a:round/>
          <a:headEnd/>
          <a:tailEnd/>
        </a:ln>
      </xdr:spPr>
    </xdr:sp>
    <xdr:clientData/>
  </xdr:twoCellAnchor>
  <xdr:twoCellAnchor>
    <xdr:from>
      <xdr:col>8</xdr:col>
      <xdr:colOff>0</xdr:colOff>
      <xdr:row>38</xdr:row>
      <xdr:rowOff>0</xdr:rowOff>
    </xdr:from>
    <xdr:to>
      <xdr:col>8</xdr:col>
      <xdr:colOff>0</xdr:colOff>
      <xdr:row>38</xdr:row>
      <xdr:rowOff>0</xdr:rowOff>
    </xdr:to>
    <xdr:sp macro="" textlink="">
      <xdr:nvSpPr>
        <xdr:cNvPr id="39951" name="Text Box 15"/>
        <xdr:cNvSpPr txBox="1">
          <a:spLocks noChangeArrowheads="1"/>
        </xdr:cNvSpPr>
      </xdr:nvSpPr>
      <xdr:spPr bwMode="auto">
        <a:xfrm>
          <a:off x="5381625" y="71437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ここに振込票のコピーを張付けて</a:t>
          </a:r>
        </a:p>
        <a:p>
          <a:pPr algn="ctr" rtl="0">
            <a:defRPr sz="1000"/>
          </a:pPr>
          <a:r>
            <a:rPr lang="ja-JP" altLang="en-US" sz="1100" b="0" i="0" strike="noStrike">
              <a:solidFill>
                <a:srgbClr val="000000"/>
              </a:solidFill>
              <a:latin typeface="ＭＳ 明朝"/>
              <a:ea typeface="ＭＳ 明朝"/>
            </a:rPr>
            <a:t>お送り下さい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76200</xdr:colOff>
      <xdr:row>2</xdr:row>
      <xdr:rowOff>19050</xdr:rowOff>
    </xdr:to>
    <xdr:sp macro="" textlink="">
      <xdr:nvSpPr>
        <xdr:cNvPr id="452609" name="Text Box 11"/>
        <xdr:cNvSpPr txBox="1">
          <a:spLocks noChangeArrowheads="1"/>
        </xdr:cNvSpPr>
      </xdr:nvSpPr>
      <xdr:spPr bwMode="auto">
        <a:xfrm>
          <a:off x="1209675" y="190500"/>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2</xdr:row>
      <xdr:rowOff>19050</xdr:rowOff>
    </xdr:to>
    <xdr:sp macro="" textlink="">
      <xdr:nvSpPr>
        <xdr:cNvPr id="452610" name="Text Box 12"/>
        <xdr:cNvSpPr txBox="1">
          <a:spLocks noChangeArrowheads="1"/>
        </xdr:cNvSpPr>
      </xdr:nvSpPr>
      <xdr:spPr bwMode="auto">
        <a:xfrm>
          <a:off x="1209675" y="190500"/>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2</xdr:row>
      <xdr:rowOff>19050</xdr:rowOff>
    </xdr:to>
    <xdr:sp macro="" textlink="">
      <xdr:nvSpPr>
        <xdr:cNvPr id="452611" name="Text Box 13"/>
        <xdr:cNvSpPr txBox="1">
          <a:spLocks noChangeArrowheads="1"/>
        </xdr:cNvSpPr>
      </xdr:nvSpPr>
      <xdr:spPr bwMode="auto">
        <a:xfrm>
          <a:off x="1209675" y="190500"/>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2</xdr:row>
      <xdr:rowOff>19050</xdr:rowOff>
    </xdr:to>
    <xdr:sp macro="" textlink="">
      <xdr:nvSpPr>
        <xdr:cNvPr id="452612" name="Text Box 14"/>
        <xdr:cNvSpPr txBox="1">
          <a:spLocks noChangeArrowheads="1"/>
        </xdr:cNvSpPr>
      </xdr:nvSpPr>
      <xdr:spPr bwMode="auto">
        <a:xfrm>
          <a:off x="1209675"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3" name="Text Box 15"/>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4" name="Text Box 16"/>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5" name="Text Box 17"/>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6" name="Text Box 18"/>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7" name="Text Box 19"/>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8" name="Text Box 20"/>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19" name="Text Box 21"/>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20" name="Text Box 22"/>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21" name="Text Box 23"/>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22" name="Text Box 24"/>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23" name="Text Box 25"/>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2</xdr:row>
      <xdr:rowOff>19050</xdr:rowOff>
    </xdr:to>
    <xdr:sp macro="" textlink="">
      <xdr:nvSpPr>
        <xdr:cNvPr id="452624" name="Text Box 26"/>
        <xdr:cNvSpPr txBox="1">
          <a:spLocks noChangeArrowheads="1"/>
        </xdr:cNvSpPr>
      </xdr:nvSpPr>
      <xdr:spPr bwMode="auto">
        <a:xfrm>
          <a:off x="2019300" y="19050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3</xdr:row>
      <xdr:rowOff>19050</xdr:rowOff>
    </xdr:to>
    <xdr:sp macro="" textlink="">
      <xdr:nvSpPr>
        <xdr:cNvPr id="452625" name="Text Box 27"/>
        <xdr:cNvSpPr txBox="1">
          <a:spLocks noChangeArrowheads="1"/>
        </xdr:cNvSpPr>
      </xdr:nvSpPr>
      <xdr:spPr bwMode="auto">
        <a:xfrm>
          <a:off x="1209675" y="38100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3</xdr:row>
      <xdr:rowOff>19050</xdr:rowOff>
    </xdr:to>
    <xdr:sp macro="" textlink="">
      <xdr:nvSpPr>
        <xdr:cNvPr id="452626" name="Text Box 28"/>
        <xdr:cNvSpPr txBox="1">
          <a:spLocks noChangeArrowheads="1"/>
        </xdr:cNvSpPr>
      </xdr:nvSpPr>
      <xdr:spPr bwMode="auto">
        <a:xfrm>
          <a:off x="1209675" y="38100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3</xdr:row>
      <xdr:rowOff>19050</xdr:rowOff>
    </xdr:to>
    <xdr:sp macro="" textlink="">
      <xdr:nvSpPr>
        <xdr:cNvPr id="452627" name="Text Box 29"/>
        <xdr:cNvSpPr txBox="1">
          <a:spLocks noChangeArrowheads="1"/>
        </xdr:cNvSpPr>
      </xdr:nvSpPr>
      <xdr:spPr bwMode="auto">
        <a:xfrm>
          <a:off x="1209675" y="38100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3</xdr:row>
      <xdr:rowOff>19050</xdr:rowOff>
    </xdr:to>
    <xdr:sp macro="" textlink="">
      <xdr:nvSpPr>
        <xdr:cNvPr id="452628" name="Text Box 30"/>
        <xdr:cNvSpPr txBox="1">
          <a:spLocks noChangeArrowheads="1"/>
        </xdr:cNvSpPr>
      </xdr:nvSpPr>
      <xdr:spPr bwMode="auto">
        <a:xfrm>
          <a:off x="1209675" y="381000"/>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19050</xdr:rowOff>
    </xdr:to>
    <xdr:sp macro="" textlink="">
      <xdr:nvSpPr>
        <xdr:cNvPr id="452629" name="Text Box 31"/>
        <xdr:cNvSpPr txBox="1">
          <a:spLocks noChangeArrowheads="1"/>
        </xdr:cNvSpPr>
      </xdr:nvSpPr>
      <xdr:spPr bwMode="auto">
        <a:xfrm>
          <a:off x="1209675" y="571500"/>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19050</xdr:rowOff>
    </xdr:to>
    <xdr:sp macro="" textlink="">
      <xdr:nvSpPr>
        <xdr:cNvPr id="452630" name="Text Box 32"/>
        <xdr:cNvSpPr txBox="1">
          <a:spLocks noChangeArrowheads="1"/>
        </xdr:cNvSpPr>
      </xdr:nvSpPr>
      <xdr:spPr bwMode="auto">
        <a:xfrm>
          <a:off x="1209675" y="571500"/>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19050</xdr:rowOff>
    </xdr:to>
    <xdr:sp macro="" textlink="">
      <xdr:nvSpPr>
        <xdr:cNvPr id="452631" name="Text Box 33"/>
        <xdr:cNvSpPr txBox="1">
          <a:spLocks noChangeArrowheads="1"/>
        </xdr:cNvSpPr>
      </xdr:nvSpPr>
      <xdr:spPr bwMode="auto">
        <a:xfrm>
          <a:off x="1209675" y="571500"/>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19050</xdr:rowOff>
    </xdr:to>
    <xdr:sp macro="" textlink="">
      <xdr:nvSpPr>
        <xdr:cNvPr id="452632" name="Text Box 34"/>
        <xdr:cNvSpPr txBox="1">
          <a:spLocks noChangeArrowheads="1"/>
        </xdr:cNvSpPr>
      </xdr:nvSpPr>
      <xdr:spPr bwMode="auto">
        <a:xfrm>
          <a:off x="1209675" y="5715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19050</xdr:rowOff>
    </xdr:to>
    <xdr:sp macro="" textlink="">
      <xdr:nvSpPr>
        <xdr:cNvPr id="452633" name="Text Box 35"/>
        <xdr:cNvSpPr txBox="1">
          <a:spLocks noChangeArrowheads="1"/>
        </xdr:cNvSpPr>
      </xdr:nvSpPr>
      <xdr:spPr bwMode="auto">
        <a:xfrm>
          <a:off x="1209675" y="7620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19050</xdr:rowOff>
    </xdr:to>
    <xdr:sp macro="" textlink="">
      <xdr:nvSpPr>
        <xdr:cNvPr id="452634" name="Text Box 36"/>
        <xdr:cNvSpPr txBox="1">
          <a:spLocks noChangeArrowheads="1"/>
        </xdr:cNvSpPr>
      </xdr:nvSpPr>
      <xdr:spPr bwMode="auto">
        <a:xfrm>
          <a:off x="1209675" y="7620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19050</xdr:rowOff>
    </xdr:to>
    <xdr:sp macro="" textlink="">
      <xdr:nvSpPr>
        <xdr:cNvPr id="452635" name="Text Box 37"/>
        <xdr:cNvSpPr txBox="1">
          <a:spLocks noChangeArrowheads="1"/>
        </xdr:cNvSpPr>
      </xdr:nvSpPr>
      <xdr:spPr bwMode="auto">
        <a:xfrm>
          <a:off x="1209675" y="7620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19050</xdr:rowOff>
    </xdr:to>
    <xdr:sp macro="" textlink="">
      <xdr:nvSpPr>
        <xdr:cNvPr id="452636" name="Text Box 38"/>
        <xdr:cNvSpPr txBox="1">
          <a:spLocks noChangeArrowheads="1"/>
        </xdr:cNvSpPr>
      </xdr:nvSpPr>
      <xdr:spPr bwMode="auto">
        <a:xfrm>
          <a:off x="1209675" y="7620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19050</xdr:rowOff>
    </xdr:to>
    <xdr:sp macro="" textlink="">
      <xdr:nvSpPr>
        <xdr:cNvPr id="452637" name="Text Box 39"/>
        <xdr:cNvSpPr txBox="1">
          <a:spLocks noChangeArrowheads="1"/>
        </xdr:cNvSpPr>
      </xdr:nvSpPr>
      <xdr:spPr bwMode="auto">
        <a:xfrm>
          <a:off x="1209675" y="9525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19050</xdr:rowOff>
    </xdr:to>
    <xdr:sp macro="" textlink="">
      <xdr:nvSpPr>
        <xdr:cNvPr id="452638" name="Text Box 40"/>
        <xdr:cNvSpPr txBox="1">
          <a:spLocks noChangeArrowheads="1"/>
        </xdr:cNvSpPr>
      </xdr:nvSpPr>
      <xdr:spPr bwMode="auto">
        <a:xfrm>
          <a:off x="1209675" y="9525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19050</xdr:rowOff>
    </xdr:to>
    <xdr:sp macro="" textlink="">
      <xdr:nvSpPr>
        <xdr:cNvPr id="452639" name="Text Box 41"/>
        <xdr:cNvSpPr txBox="1">
          <a:spLocks noChangeArrowheads="1"/>
        </xdr:cNvSpPr>
      </xdr:nvSpPr>
      <xdr:spPr bwMode="auto">
        <a:xfrm>
          <a:off x="1209675" y="9525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19050</xdr:rowOff>
    </xdr:to>
    <xdr:sp macro="" textlink="">
      <xdr:nvSpPr>
        <xdr:cNvPr id="452640" name="Text Box 42"/>
        <xdr:cNvSpPr txBox="1">
          <a:spLocks noChangeArrowheads="1"/>
        </xdr:cNvSpPr>
      </xdr:nvSpPr>
      <xdr:spPr bwMode="auto">
        <a:xfrm>
          <a:off x="1209675" y="952500"/>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19050</xdr:rowOff>
    </xdr:to>
    <xdr:sp macro="" textlink="">
      <xdr:nvSpPr>
        <xdr:cNvPr id="452641" name="Text Box 43"/>
        <xdr:cNvSpPr txBox="1">
          <a:spLocks noChangeArrowheads="1"/>
        </xdr:cNvSpPr>
      </xdr:nvSpPr>
      <xdr:spPr bwMode="auto">
        <a:xfrm>
          <a:off x="1209675" y="1143000"/>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19050</xdr:rowOff>
    </xdr:to>
    <xdr:sp macro="" textlink="">
      <xdr:nvSpPr>
        <xdr:cNvPr id="452642" name="Text Box 44"/>
        <xdr:cNvSpPr txBox="1">
          <a:spLocks noChangeArrowheads="1"/>
        </xdr:cNvSpPr>
      </xdr:nvSpPr>
      <xdr:spPr bwMode="auto">
        <a:xfrm>
          <a:off x="1209675" y="1143000"/>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19050</xdr:rowOff>
    </xdr:to>
    <xdr:sp macro="" textlink="">
      <xdr:nvSpPr>
        <xdr:cNvPr id="452643" name="Text Box 45"/>
        <xdr:cNvSpPr txBox="1">
          <a:spLocks noChangeArrowheads="1"/>
        </xdr:cNvSpPr>
      </xdr:nvSpPr>
      <xdr:spPr bwMode="auto">
        <a:xfrm>
          <a:off x="1209675" y="1143000"/>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19050</xdr:rowOff>
    </xdr:to>
    <xdr:sp macro="" textlink="">
      <xdr:nvSpPr>
        <xdr:cNvPr id="452644" name="Text Box 46"/>
        <xdr:cNvSpPr txBox="1">
          <a:spLocks noChangeArrowheads="1"/>
        </xdr:cNvSpPr>
      </xdr:nvSpPr>
      <xdr:spPr bwMode="auto">
        <a:xfrm>
          <a:off x="1209675" y="1143000"/>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19050</xdr:rowOff>
    </xdr:to>
    <xdr:sp macro="" textlink="">
      <xdr:nvSpPr>
        <xdr:cNvPr id="452645" name="Text Box 47"/>
        <xdr:cNvSpPr txBox="1">
          <a:spLocks noChangeArrowheads="1"/>
        </xdr:cNvSpPr>
      </xdr:nvSpPr>
      <xdr:spPr bwMode="auto">
        <a:xfrm>
          <a:off x="1209675" y="1333500"/>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19050</xdr:rowOff>
    </xdr:to>
    <xdr:sp macro="" textlink="">
      <xdr:nvSpPr>
        <xdr:cNvPr id="452646" name="Text Box 48"/>
        <xdr:cNvSpPr txBox="1">
          <a:spLocks noChangeArrowheads="1"/>
        </xdr:cNvSpPr>
      </xdr:nvSpPr>
      <xdr:spPr bwMode="auto">
        <a:xfrm>
          <a:off x="1209675" y="1333500"/>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19050</xdr:rowOff>
    </xdr:to>
    <xdr:sp macro="" textlink="">
      <xdr:nvSpPr>
        <xdr:cNvPr id="452647" name="Text Box 49"/>
        <xdr:cNvSpPr txBox="1">
          <a:spLocks noChangeArrowheads="1"/>
        </xdr:cNvSpPr>
      </xdr:nvSpPr>
      <xdr:spPr bwMode="auto">
        <a:xfrm>
          <a:off x="1209675" y="1333500"/>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19050</xdr:rowOff>
    </xdr:to>
    <xdr:sp macro="" textlink="">
      <xdr:nvSpPr>
        <xdr:cNvPr id="452648" name="Text Box 50"/>
        <xdr:cNvSpPr txBox="1">
          <a:spLocks noChangeArrowheads="1"/>
        </xdr:cNvSpPr>
      </xdr:nvSpPr>
      <xdr:spPr bwMode="auto">
        <a:xfrm>
          <a:off x="1209675" y="13335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19050</xdr:rowOff>
    </xdr:to>
    <xdr:sp macro="" textlink="">
      <xdr:nvSpPr>
        <xdr:cNvPr id="452649" name="Text Box 51"/>
        <xdr:cNvSpPr txBox="1">
          <a:spLocks noChangeArrowheads="1"/>
        </xdr:cNvSpPr>
      </xdr:nvSpPr>
      <xdr:spPr bwMode="auto">
        <a:xfrm>
          <a:off x="1209675" y="15240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19050</xdr:rowOff>
    </xdr:to>
    <xdr:sp macro="" textlink="">
      <xdr:nvSpPr>
        <xdr:cNvPr id="452650" name="Text Box 52"/>
        <xdr:cNvSpPr txBox="1">
          <a:spLocks noChangeArrowheads="1"/>
        </xdr:cNvSpPr>
      </xdr:nvSpPr>
      <xdr:spPr bwMode="auto">
        <a:xfrm>
          <a:off x="1209675" y="15240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19050</xdr:rowOff>
    </xdr:to>
    <xdr:sp macro="" textlink="">
      <xdr:nvSpPr>
        <xdr:cNvPr id="452651" name="Text Box 53"/>
        <xdr:cNvSpPr txBox="1">
          <a:spLocks noChangeArrowheads="1"/>
        </xdr:cNvSpPr>
      </xdr:nvSpPr>
      <xdr:spPr bwMode="auto">
        <a:xfrm>
          <a:off x="1209675" y="15240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19050</xdr:rowOff>
    </xdr:to>
    <xdr:sp macro="" textlink="">
      <xdr:nvSpPr>
        <xdr:cNvPr id="452652" name="Text Box 54"/>
        <xdr:cNvSpPr txBox="1">
          <a:spLocks noChangeArrowheads="1"/>
        </xdr:cNvSpPr>
      </xdr:nvSpPr>
      <xdr:spPr bwMode="auto">
        <a:xfrm>
          <a:off x="1209675" y="152400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19050</xdr:rowOff>
    </xdr:to>
    <xdr:sp macro="" textlink="">
      <xdr:nvSpPr>
        <xdr:cNvPr id="452653" name="Text Box 55"/>
        <xdr:cNvSpPr txBox="1">
          <a:spLocks noChangeArrowheads="1"/>
        </xdr:cNvSpPr>
      </xdr:nvSpPr>
      <xdr:spPr bwMode="auto">
        <a:xfrm>
          <a:off x="1209675" y="171450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19050</xdr:rowOff>
    </xdr:to>
    <xdr:sp macro="" textlink="">
      <xdr:nvSpPr>
        <xdr:cNvPr id="452654" name="Text Box 56"/>
        <xdr:cNvSpPr txBox="1">
          <a:spLocks noChangeArrowheads="1"/>
        </xdr:cNvSpPr>
      </xdr:nvSpPr>
      <xdr:spPr bwMode="auto">
        <a:xfrm>
          <a:off x="1209675" y="171450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19050</xdr:rowOff>
    </xdr:to>
    <xdr:sp macro="" textlink="">
      <xdr:nvSpPr>
        <xdr:cNvPr id="452655" name="Text Box 57"/>
        <xdr:cNvSpPr txBox="1">
          <a:spLocks noChangeArrowheads="1"/>
        </xdr:cNvSpPr>
      </xdr:nvSpPr>
      <xdr:spPr bwMode="auto">
        <a:xfrm>
          <a:off x="1209675" y="171450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19050</xdr:rowOff>
    </xdr:to>
    <xdr:sp macro="" textlink="">
      <xdr:nvSpPr>
        <xdr:cNvPr id="452656" name="Text Box 58"/>
        <xdr:cNvSpPr txBox="1">
          <a:spLocks noChangeArrowheads="1"/>
        </xdr:cNvSpPr>
      </xdr:nvSpPr>
      <xdr:spPr bwMode="auto">
        <a:xfrm>
          <a:off x="1209675" y="1714500"/>
          <a:ext cx="76200" cy="20955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19050</xdr:rowOff>
    </xdr:to>
    <xdr:sp macro="" textlink="">
      <xdr:nvSpPr>
        <xdr:cNvPr id="452657" name="Text Box 59"/>
        <xdr:cNvSpPr txBox="1">
          <a:spLocks noChangeArrowheads="1"/>
        </xdr:cNvSpPr>
      </xdr:nvSpPr>
      <xdr:spPr bwMode="auto">
        <a:xfrm>
          <a:off x="1209675" y="1905000"/>
          <a:ext cx="76200" cy="20955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19050</xdr:rowOff>
    </xdr:to>
    <xdr:sp macro="" textlink="">
      <xdr:nvSpPr>
        <xdr:cNvPr id="452658" name="Text Box 60"/>
        <xdr:cNvSpPr txBox="1">
          <a:spLocks noChangeArrowheads="1"/>
        </xdr:cNvSpPr>
      </xdr:nvSpPr>
      <xdr:spPr bwMode="auto">
        <a:xfrm>
          <a:off x="1209675" y="1905000"/>
          <a:ext cx="76200" cy="20955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19050</xdr:rowOff>
    </xdr:to>
    <xdr:sp macro="" textlink="">
      <xdr:nvSpPr>
        <xdr:cNvPr id="452659" name="Text Box 61"/>
        <xdr:cNvSpPr txBox="1">
          <a:spLocks noChangeArrowheads="1"/>
        </xdr:cNvSpPr>
      </xdr:nvSpPr>
      <xdr:spPr bwMode="auto">
        <a:xfrm>
          <a:off x="1209675" y="1905000"/>
          <a:ext cx="76200" cy="20955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19050</xdr:rowOff>
    </xdr:to>
    <xdr:sp macro="" textlink="">
      <xdr:nvSpPr>
        <xdr:cNvPr id="452660" name="Text Box 62"/>
        <xdr:cNvSpPr txBox="1">
          <a:spLocks noChangeArrowheads="1"/>
        </xdr:cNvSpPr>
      </xdr:nvSpPr>
      <xdr:spPr bwMode="auto">
        <a:xfrm>
          <a:off x="1209675" y="19050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19050</xdr:rowOff>
    </xdr:to>
    <xdr:sp macro="" textlink="">
      <xdr:nvSpPr>
        <xdr:cNvPr id="452661" name="Text Box 63"/>
        <xdr:cNvSpPr txBox="1">
          <a:spLocks noChangeArrowheads="1"/>
        </xdr:cNvSpPr>
      </xdr:nvSpPr>
      <xdr:spPr bwMode="auto">
        <a:xfrm>
          <a:off x="1209675" y="20955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19050</xdr:rowOff>
    </xdr:to>
    <xdr:sp macro="" textlink="">
      <xdr:nvSpPr>
        <xdr:cNvPr id="452662" name="Text Box 64"/>
        <xdr:cNvSpPr txBox="1">
          <a:spLocks noChangeArrowheads="1"/>
        </xdr:cNvSpPr>
      </xdr:nvSpPr>
      <xdr:spPr bwMode="auto">
        <a:xfrm>
          <a:off x="1209675" y="20955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19050</xdr:rowOff>
    </xdr:to>
    <xdr:sp macro="" textlink="">
      <xdr:nvSpPr>
        <xdr:cNvPr id="452663" name="Text Box 65"/>
        <xdr:cNvSpPr txBox="1">
          <a:spLocks noChangeArrowheads="1"/>
        </xdr:cNvSpPr>
      </xdr:nvSpPr>
      <xdr:spPr bwMode="auto">
        <a:xfrm>
          <a:off x="1209675" y="20955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19050</xdr:rowOff>
    </xdr:to>
    <xdr:sp macro="" textlink="">
      <xdr:nvSpPr>
        <xdr:cNvPr id="452664" name="Text Box 66"/>
        <xdr:cNvSpPr txBox="1">
          <a:spLocks noChangeArrowheads="1"/>
        </xdr:cNvSpPr>
      </xdr:nvSpPr>
      <xdr:spPr bwMode="auto">
        <a:xfrm>
          <a:off x="1209675" y="209550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19050</xdr:rowOff>
    </xdr:to>
    <xdr:sp macro="" textlink="">
      <xdr:nvSpPr>
        <xdr:cNvPr id="452665" name="Text Box 67"/>
        <xdr:cNvSpPr txBox="1">
          <a:spLocks noChangeArrowheads="1"/>
        </xdr:cNvSpPr>
      </xdr:nvSpPr>
      <xdr:spPr bwMode="auto">
        <a:xfrm>
          <a:off x="1209675" y="228600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19050</xdr:rowOff>
    </xdr:to>
    <xdr:sp macro="" textlink="">
      <xdr:nvSpPr>
        <xdr:cNvPr id="452666" name="Text Box 68"/>
        <xdr:cNvSpPr txBox="1">
          <a:spLocks noChangeArrowheads="1"/>
        </xdr:cNvSpPr>
      </xdr:nvSpPr>
      <xdr:spPr bwMode="auto">
        <a:xfrm>
          <a:off x="1209675" y="228600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19050</xdr:rowOff>
    </xdr:to>
    <xdr:sp macro="" textlink="">
      <xdr:nvSpPr>
        <xdr:cNvPr id="452667" name="Text Box 69"/>
        <xdr:cNvSpPr txBox="1">
          <a:spLocks noChangeArrowheads="1"/>
        </xdr:cNvSpPr>
      </xdr:nvSpPr>
      <xdr:spPr bwMode="auto">
        <a:xfrm>
          <a:off x="1209675" y="228600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19050</xdr:rowOff>
    </xdr:to>
    <xdr:sp macro="" textlink="">
      <xdr:nvSpPr>
        <xdr:cNvPr id="452668" name="Text Box 70"/>
        <xdr:cNvSpPr txBox="1">
          <a:spLocks noChangeArrowheads="1"/>
        </xdr:cNvSpPr>
      </xdr:nvSpPr>
      <xdr:spPr bwMode="auto">
        <a:xfrm>
          <a:off x="1209675" y="22860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19050</xdr:rowOff>
    </xdr:to>
    <xdr:sp macro="" textlink="">
      <xdr:nvSpPr>
        <xdr:cNvPr id="452669" name="Text Box 71"/>
        <xdr:cNvSpPr txBox="1">
          <a:spLocks noChangeArrowheads="1"/>
        </xdr:cNvSpPr>
      </xdr:nvSpPr>
      <xdr:spPr bwMode="auto">
        <a:xfrm>
          <a:off x="1209675" y="24765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19050</xdr:rowOff>
    </xdr:to>
    <xdr:sp macro="" textlink="">
      <xdr:nvSpPr>
        <xdr:cNvPr id="452670" name="Text Box 72"/>
        <xdr:cNvSpPr txBox="1">
          <a:spLocks noChangeArrowheads="1"/>
        </xdr:cNvSpPr>
      </xdr:nvSpPr>
      <xdr:spPr bwMode="auto">
        <a:xfrm>
          <a:off x="1209675" y="24765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19050</xdr:rowOff>
    </xdr:to>
    <xdr:sp macro="" textlink="">
      <xdr:nvSpPr>
        <xdr:cNvPr id="452671" name="Text Box 73"/>
        <xdr:cNvSpPr txBox="1">
          <a:spLocks noChangeArrowheads="1"/>
        </xdr:cNvSpPr>
      </xdr:nvSpPr>
      <xdr:spPr bwMode="auto">
        <a:xfrm>
          <a:off x="1209675" y="24765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19050</xdr:rowOff>
    </xdr:to>
    <xdr:sp macro="" textlink="">
      <xdr:nvSpPr>
        <xdr:cNvPr id="452672" name="Text Box 74"/>
        <xdr:cNvSpPr txBox="1">
          <a:spLocks noChangeArrowheads="1"/>
        </xdr:cNvSpPr>
      </xdr:nvSpPr>
      <xdr:spPr bwMode="auto">
        <a:xfrm>
          <a:off x="1209675" y="24765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19050</xdr:rowOff>
    </xdr:to>
    <xdr:sp macro="" textlink="">
      <xdr:nvSpPr>
        <xdr:cNvPr id="452673" name="Text Box 75"/>
        <xdr:cNvSpPr txBox="1">
          <a:spLocks noChangeArrowheads="1"/>
        </xdr:cNvSpPr>
      </xdr:nvSpPr>
      <xdr:spPr bwMode="auto">
        <a:xfrm>
          <a:off x="1209675" y="26670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19050</xdr:rowOff>
    </xdr:to>
    <xdr:sp macro="" textlink="">
      <xdr:nvSpPr>
        <xdr:cNvPr id="452674" name="Text Box 76"/>
        <xdr:cNvSpPr txBox="1">
          <a:spLocks noChangeArrowheads="1"/>
        </xdr:cNvSpPr>
      </xdr:nvSpPr>
      <xdr:spPr bwMode="auto">
        <a:xfrm>
          <a:off x="1209675" y="26670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19050</xdr:rowOff>
    </xdr:to>
    <xdr:sp macro="" textlink="">
      <xdr:nvSpPr>
        <xdr:cNvPr id="452675" name="Text Box 77"/>
        <xdr:cNvSpPr txBox="1">
          <a:spLocks noChangeArrowheads="1"/>
        </xdr:cNvSpPr>
      </xdr:nvSpPr>
      <xdr:spPr bwMode="auto">
        <a:xfrm>
          <a:off x="1209675" y="26670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19050</xdr:rowOff>
    </xdr:to>
    <xdr:sp macro="" textlink="">
      <xdr:nvSpPr>
        <xdr:cNvPr id="452676" name="Text Box 78"/>
        <xdr:cNvSpPr txBox="1">
          <a:spLocks noChangeArrowheads="1"/>
        </xdr:cNvSpPr>
      </xdr:nvSpPr>
      <xdr:spPr bwMode="auto">
        <a:xfrm>
          <a:off x="1209675" y="26670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19050</xdr:rowOff>
    </xdr:to>
    <xdr:sp macro="" textlink="">
      <xdr:nvSpPr>
        <xdr:cNvPr id="452677" name="Text Box 79"/>
        <xdr:cNvSpPr txBox="1">
          <a:spLocks noChangeArrowheads="1"/>
        </xdr:cNvSpPr>
      </xdr:nvSpPr>
      <xdr:spPr bwMode="auto">
        <a:xfrm>
          <a:off x="1209675" y="28575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19050</xdr:rowOff>
    </xdr:to>
    <xdr:sp macro="" textlink="">
      <xdr:nvSpPr>
        <xdr:cNvPr id="452678" name="Text Box 80"/>
        <xdr:cNvSpPr txBox="1">
          <a:spLocks noChangeArrowheads="1"/>
        </xdr:cNvSpPr>
      </xdr:nvSpPr>
      <xdr:spPr bwMode="auto">
        <a:xfrm>
          <a:off x="1209675" y="28575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19050</xdr:rowOff>
    </xdr:to>
    <xdr:sp macro="" textlink="">
      <xdr:nvSpPr>
        <xdr:cNvPr id="452679" name="Text Box 81"/>
        <xdr:cNvSpPr txBox="1">
          <a:spLocks noChangeArrowheads="1"/>
        </xdr:cNvSpPr>
      </xdr:nvSpPr>
      <xdr:spPr bwMode="auto">
        <a:xfrm>
          <a:off x="1209675" y="28575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19050</xdr:rowOff>
    </xdr:to>
    <xdr:sp macro="" textlink="">
      <xdr:nvSpPr>
        <xdr:cNvPr id="452680" name="Text Box 82"/>
        <xdr:cNvSpPr txBox="1">
          <a:spLocks noChangeArrowheads="1"/>
        </xdr:cNvSpPr>
      </xdr:nvSpPr>
      <xdr:spPr bwMode="auto">
        <a:xfrm>
          <a:off x="1209675" y="285750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19050</xdr:rowOff>
    </xdr:to>
    <xdr:sp macro="" textlink="">
      <xdr:nvSpPr>
        <xdr:cNvPr id="452681" name="Text Box 83"/>
        <xdr:cNvSpPr txBox="1">
          <a:spLocks noChangeArrowheads="1"/>
        </xdr:cNvSpPr>
      </xdr:nvSpPr>
      <xdr:spPr bwMode="auto">
        <a:xfrm>
          <a:off x="1209675" y="304800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19050</xdr:rowOff>
    </xdr:to>
    <xdr:sp macro="" textlink="">
      <xdr:nvSpPr>
        <xdr:cNvPr id="452682" name="Text Box 84"/>
        <xdr:cNvSpPr txBox="1">
          <a:spLocks noChangeArrowheads="1"/>
        </xdr:cNvSpPr>
      </xdr:nvSpPr>
      <xdr:spPr bwMode="auto">
        <a:xfrm>
          <a:off x="1209675" y="304800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19050</xdr:rowOff>
    </xdr:to>
    <xdr:sp macro="" textlink="">
      <xdr:nvSpPr>
        <xdr:cNvPr id="452683" name="Text Box 85"/>
        <xdr:cNvSpPr txBox="1">
          <a:spLocks noChangeArrowheads="1"/>
        </xdr:cNvSpPr>
      </xdr:nvSpPr>
      <xdr:spPr bwMode="auto">
        <a:xfrm>
          <a:off x="1209675" y="304800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19050</xdr:rowOff>
    </xdr:to>
    <xdr:sp macro="" textlink="">
      <xdr:nvSpPr>
        <xdr:cNvPr id="452684" name="Text Box 86"/>
        <xdr:cNvSpPr txBox="1">
          <a:spLocks noChangeArrowheads="1"/>
        </xdr:cNvSpPr>
      </xdr:nvSpPr>
      <xdr:spPr bwMode="auto">
        <a:xfrm>
          <a:off x="1209675" y="30480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19050</xdr:rowOff>
    </xdr:to>
    <xdr:sp macro="" textlink="">
      <xdr:nvSpPr>
        <xdr:cNvPr id="452685" name="Text Box 87"/>
        <xdr:cNvSpPr txBox="1">
          <a:spLocks noChangeArrowheads="1"/>
        </xdr:cNvSpPr>
      </xdr:nvSpPr>
      <xdr:spPr bwMode="auto">
        <a:xfrm>
          <a:off x="1209675" y="32385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19050</xdr:rowOff>
    </xdr:to>
    <xdr:sp macro="" textlink="">
      <xdr:nvSpPr>
        <xdr:cNvPr id="452686" name="Text Box 88"/>
        <xdr:cNvSpPr txBox="1">
          <a:spLocks noChangeArrowheads="1"/>
        </xdr:cNvSpPr>
      </xdr:nvSpPr>
      <xdr:spPr bwMode="auto">
        <a:xfrm>
          <a:off x="1209675" y="32385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19050</xdr:rowOff>
    </xdr:to>
    <xdr:sp macro="" textlink="">
      <xdr:nvSpPr>
        <xdr:cNvPr id="452687" name="Text Box 89"/>
        <xdr:cNvSpPr txBox="1">
          <a:spLocks noChangeArrowheads="1"/>
        </xdr:cNvSpPr>
      </xdr:nvSpPr>
      <xdr:spPr bwMode="auto">
        <a:xfrm>
          <a:off x="1209675" y="32385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19050</xdr:rowOff>
    </xdr:to>
    <xdr:sp macro="" textlink="">
      <xdr:nvSpPr>
        <xdr:cNvPr id="452688" name="Text Box 90"/>
        <xdr:cNvSpPr txBox="1">
          <a:spLocks noChangeArrowheads="1"/>
        </xdr:cNvSpPr>
      </xdr:nvSpPr>
      <xdr:spPr bwMode="auto">
        <a:xfrm>
          <a:off x="1209675" y="323850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19050</xdr:rowOff>
    </xdr:to>
    <xdr:sp macro="" textlink="">
      <xdr:nvSpPr>
        <xdr:cNvPr id="452689" name="Text Box 91"/>
        <xdr:cNvSpPr txBox="1">
          <a:spLocks noChangeArrowheads="1"/>
        </xdr:cNvSpPr>
      </xdr:nvSpPr>
      <xdr:spPr bwMode="auto">
        <a:xfrm>
          <a:off x="1209675" y="342900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19050</xdr:rowOff>
    </xdr:to>
    <xdr:sp macro="" textlink="">
      <xdr:nvSpPr>
        <xdr:cNvPr id="452690" name="Text Box 92"/>
        <xdr:cNvSpPr txBox="1">
          <a:spLocks noChangeArrowheads="1"/>
        </xdr:cNvSpPr>
      </xdr:nvSpPr>
      <xdr:spPr bwMode="auto">
        <a:xfrm>
          <a:off x="1209675" y="342900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19050</xdr:rowOff>
    </xdr:to>
    <xdr:sp macro="" textlink="">
      <xdr:nvSpPr>
        <xdr:cNvPr id="452691" name="Text Box 93"/>
        <xdr:cNvSpPr txBox="1">
          <a:spLocks noChangeArrowheads="1"/>
        </xdr:cNvSpPr>
      </xdr:nvSpPr>
      <xdr:spPr bwMode="auto">
        <a:xfrm>
          <a:off x="1209675" y="342900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19050</xdr:rowOff>
    </xdr:to>
    <xdr:sp macro="" textlink="">
      <xdr:nvSpPr>
        <xdr:cNvPr id="452692" name="Text Box 94"/>
        <xdr:cNvSpPr txBox="1">
          <a:spLocks noChangeArrowheads="1"/>
        </xdr:cNvSpPr>
      </xdr:nvSpPr>
      <xdr:spPr bwMode="auto">
        <a:xfrm>
          <a:off x="1209675" y="34290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19050</xdr:rowOff>
    </xdr:to>
    <xdr:sp macro="" textlink="">
      <xdr:nvSpPr>
        <xdr:cNvPr id="452693" name="Text Box 95"/>
        <xdr:cNvSpPr txBox="1">
          <a:spLocks noChangeArrowheads="1"/>
        </xdr:cNvSpPr>
      </xdr:nvSpPr>
      <xdr:spPr bwMode="auto">
        <a:xfrm>
          <a:off x="1209675" y="361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19050</xdr:rowOff>
    </xdr:to>
    <xdr:sp macro="" textlink="">
      <xdr:nvSpPr>
        <xdr:cNvPr id="452694" name="Text Box 96"/>
        <xdr:cNvSpPr txBox="1">
          <a:spLocks noChangeArrowheads="1"/>
        </xdr:cNvSpPr>
      </xdr:nvSpPr>
      <xdr:spPr bwMode="auto">
        <a:xfrm>
          <a:off x="1209675" y="361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19050</xdr:rowOff>
    </xdr:to>
    <xdr:sp macro="" textlink="">
      <xdr:nvSpPr>
        <xdr:cNvPr id="452695" name="Text Box 97"/>
        <xdr:cNvSpPr txBox="1">
          <a:spLocks noChangeArrowheads="1"/>
        </xdr:cNvSpPr>
      </xdr:nvSpPr>
      <xdr:spPr bwMode="auto">
        <a:xfrm>
          <a:off x="1209675" y="361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19050</xdr:rowOff>
    </xdr:to>
    <xdr:sp macro="" textlink="">
      <xdr:nvSpPr>
        <xdr:cNvPr id="452696" name="Text Box 98"/>
        <xdr:cNvSpPr txBox="1">
          <a:spLocks noChangeArrowheads="1"/>
        </xdr:cNvSpPr>
      </xdr:nvSpPr>
      <xdr:spPr bwMode="auto">
        <a:xfrm>
          <a:off x="1209675" y="361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19050</xdr:rowOff>
    </xdr:to>
    <xdr:sp macro="" textlink="">
      <xdr:nvSpPr>
        <xdr:cNvPr id="452697" name="Text Box 99"/>
        <xdr:cNvSpPr txBox="1">
          <a:spLocks noChangeArrowheads="1"/>
        </xdr:cNvSpPr>
      </xdr:nvSpPr>
      <xdr:spPr bwMode="auto">
        <a:xfrm>
          <a:off x="1209675" y="38100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19050</xdr:rowOff>
    </xdr:to>
    <xdr:sp macro="" textlink="">
      <xdr:nvSpPr>
        <xdr:cNvPr id="452698" name="Text Box 100"/>
        <xdr:cNvSpPr txBox="1">
          <a:spLocks noChangeArrowheads="1"/>
        </xdr:cNvSpPr>
      </xdr:nvSpPr>
      <xdr:spPr bwMode="auto">
        <a:xfrm>
          <a:off x="1209675" y="38100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19050</xdr:rowOff>
    </xdr:to>
    <xdr:sp macro="" textlink="">
      <xdr:nvSpPr>
        <xdr:cNvPr id="452699" name="Text Box 101"/>
        <xdr:cNvSpPr txBox="1">
          <a:spLocks noChangeArrowheads="1"/>
        </xdr:cNvSpPr>
      </xdr:nvSpPr>
      <xdr:spPr bwMode="auto">
        <a:xfrm>
          <a:off x="1209675" y="38100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19050</xdr:rowOff>
    </xdr:to>
    <xdr:sp macro="" textlink="">
      <xdr:nvSpPr>
        <xdr:cNvPr id="452700" name="Text Box 102"/>
        <xdr:cNvSpPr txBox="1">
          <a:spLocks noChangeArrowheads="1"/>
        </xdr:cNvSpPr>
      </xdr:nvSpPr>
      <xdr:spPr bwMode="auto">
        <a:xfrm>
          <a:off x="1209675" y="3810000"/>
          <a:ext cx="76200" cy="20955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22</xdr:row>
      <xdr:rowOff>19050</xdr:rowOff>
    </xdr:to>
    <xdr:sp macro="" textlink="">
      <xdr:nvSpPr>
        <xdr:cNvPr id="452701" name="Text Box 103"/>
        <xdr:cNvSpPr txBox="1">
          <a:spLocks noChangeArrowheads="1"/>
        </xdr:cNvSpPr>
      </xdr:nvSpPr>
      <xdr:spPr bwMode="auto">
        <a:xfrm>
          <a:off x="1209675" y="4000500"/>
          <a:ext cx="76200" cy="20955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22</xdr:row>
      <xdr:rowOff>19050</xdr:rowOff>
    </xdr:to>
    <xdr:sp macro="" textlink="">
      <xdr:nvSpPr>
        <xdr:cNvPr id="452702" name="Text Box 104"/>
        <xdr:cNvSpPr txBox="1">
          <a:spLocks noChangeArrowheads="1"/>
        </xdr:cNvSpPr>
      </xdr:nvSpPr>
      <xdr:spPr bwMode="auto">
        <a:xfrm>
          <a:off x="1209675" y="4000500"/>
          <a:ext cx="76200" cy="20955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22</xdr:row>
      <xdr:rowOff>19050</xdr:rowOff>
    </xdr:to>
    <xdr:sp macro="" textlink="">
      <xdr:nvSpPr>
        <xdr:cNvPr id="452703" name="Text Box 105"/>
        <xdr:cNvSpPr txBox="1">
          <a:spLocks noChangeArrowheads="1"/>
        </xdr:cNvSpPr>
      </xdr:nvSpPr>
      <xdr:spPr bwMode="auto">
        <a:xfrm>
          <a:off x="1209675" y="4000500"/>
          <a:ext cx="76200" cy="20955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22</xdr:row>
      <xdr:rowOff>19050</xdr:rowOff>
    </xdr:to>
    <xdr:sp macro="" textlink="">
      <xdr:nvSpPr>
        <xdr:cNvPr id="452704" name="Text Box 106"/>
        <xdr:cNvSpPr txBox="1">
          <a:spLocks noChangeArrowheads="1"/>
        </xdr:cNvSpPr>
      </xdr:nvSpPr>
      <xdr:spPr bwMode="auto">
        <a:xfrm>
          <a:off x="1209675" y="400050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19050</xdr:rowOff>
    </xdr:to>
    <xdr:sp macro="" textlink="">
      <xdr:nvSpPr>
        <xdr:cNvPr id="452705" name="Text Box 107"/>
        <xdr:cNvSpPr txBox="1">
          <a:spLocks noChangeArrowheads="1"/>
        </xdr:cNvSpPr>
      </xdr:nvSpPr>
      <xdr:spPr bwMode="auto">
        <a:xfrm>
          <a:off x="1209675" y="419100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19050</xdr:rowOff>
    </xdr:to>
    <xdr:sp macro="" textlink="">
      <xdr:nvSpPr>
        <xdr:cNvPr id="452706" name="Text Box 108"/>
        <xdr:cNvSpPr txBox="1">
          <a:spLocks noChangeArrowheads="1"/>
        </xdr:cNvSpPr>
      </xdr:nvSpPr>
      <xdr:spPr bwMode="auto">
        <a:xfrm>
          <a:off x="1209675" y="419100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19050</xdr:rowOff>
    </xdr:to>
    <xdr:sp macro="" textlink="">
      <xdr:nvSpPr>
        <xdr:cNvPr id="452707" name="Text Box 109"/>
        <xdr:cNvSpPr txBox="1">
          <a:spLocks noChangeArrowheads="1"/>
        </xdr:cNvSpPr>
      </xdr:nvSpPr>
      <xdr:spPr bwMode="auto">
        <a:xfrm>
          <a:off x="1209675" y="419100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19050</xdr:rowOff>
    </xdr:to>
    <xdr:sp macro="" textlink="">
      <xdr:nvSpPr>
        <xdr:cNvPr id="452708" name="Text Box 110"/>
        <xdr:cNvSpPr txBox="1">
          <a:spLocks noChangeArrowheads="1"/>
        </xdr:cNvSpPr>
      </xdr:nvSpPr>
      <xdr:spPr bwMode="auto">
        <a:xfrm>
          <a:off x="1209675" y="4191000"/>
          <a:ext cx="76200" cy="209550"/>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24</xdr:row>
      <xdr:rowOff>19050</xdr:rowOff>
    </xdr:to>
    <xdr:sp macro="" textlink="">
      <xdr:nvSpPr>
        <xdr:cNvPr id="452709" name="Text Box 111"/>
        <xdr:cNvSpPr txBox="1">
          <a:spLocks noChangeArrowheads="1"/>
        </xdr:cNvSpPr>
      </xdr:nvSpPr>
      <xdr:spPr bwMode="auto">
        <a:xfrm>
          <a:off x="1209675" y="4381500"/>
          <a:ext cx="76200" cy="209550"/>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24</xdr:row>
      <xdr:rowOff>19050</xdr:rowOff>
    </xdr:to>
    <xdr:sp macro="" textlink="">
      <xdr:nvSpPr>
        <xdr:cNvPr id="452710" name="Text Box 112"/>
        <xdr:cNvSpPr txBox="1">
          <a:spLocks noChangeArrowheads="1"/>
        </xdr:cNvSpPr>
      </xdr:nvSpPr>
      <xdr:spPr bwMode="auto">
        <a:xfrm>
          <a:off x="1209675" y="4381500"/>
          <a:ext cx="76200" cy="209550"/>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24</xdr:row>
      <xdr:rowOff>19050</xdr:rowOff>
    </xdr:to>
    <xdr:sp macro="" textlink="">
      <xdr:nvSpPr>
        <xdr:cNvPr id="452711" name="Text Box 113"/>
        <xdr:cNvSpPr txBox="1">
          <a:spLocks noChangeArrowheads="1"/>
        </xdr:cNvSpPr>
      </xdr:nvSpPr>
      <xdr:spPr bwMode="auto">
        <a:xfrm>
          <a:off x="1209675" y="4381500"/>
          <a:ext cx="76200" cy="209550"/>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24</xdr:row>
      <xdr:rowOff>19050</xdr:rowOff>
    </xdr:to>
    <xdr:sp macro="" textlink="">
      <xdr:nvSpPr>
        <xdr:cNvPr id="452712" name="Text Box 114"/>
        <xdr:cNvSpPr txBox="1">
          <a:spLocks noChangeArrowheads="1"/>
        </xdr:cNvSpPr>
      </xdr:nvSpPr>
      <xdr:spPr bwMode="auto">
        <a:xfrm>
          <a:off x="1209675" y="4381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19050</xdr:rowOff>
    </xdr:to>
    <xdr:sp macro="" textlink="">
      <xdr:nvSpPr>
        <xdr:cNvPr id="452713" name="Text Box 115"/>
        <xdr:cNvSpPr txBox="1">
          <a:spLocks noChangeArrowheads="1"/>
        </xdr:cNvSpPr>
      </xdr:nvSpPr>
      <xdr:spPr bwMode="auto">
        <a:xfrm>
          <a:off x="1209675" y="45720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19050</xdr:rowOff>
    </xdr:to>
    <xdr:sp macro="" textlink="">
      <xdr:nvSpPr>
        <xdr:cNvPr id="452714" name="Text Box 116"/>
        <xdr:cNvSpPr txBox="1">
          <a:spLocks noChangeArrowheads="1"/>
        </xdr:cNvSpPr>
      </xdr:nvSpPr>
      <xdr:spPr bwMode="auto">
        <a:xfrm>
          <a:off x="1209675" y="45720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19050</xdr:rowOff>
    </xdr:to>
    <xdr:sp macro="" textlink="">
      <xdr:nvSpPr>
        <xdr:cNvPr id="452715" name="Text Box 117"/>
        <xdr:cNvSpPr txBox="1">
          <a:spLocks noChangeArrowheads="1"/>
        </xdr:cNvSpPr>
      </xdr:nvSpPr>
      <xdr:spPr bwMode="auto">
        <a:xfrm>
          <a:off x="1209675" y="45720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19050</xdr:rowOff>
    </xdr:to>
    <xdr:sp macro="" textlink="">
      <xdr:nvSpPr>
        <xdr:cNvPr id="452716" name="Text Box 118"/>
        <xdr:cNvSpPr txBox="1">
          <a:spLocks noChangeArrowheads="1"/>
        </xdr:cNvSpPr>
      </xdr:nvSpPr>
      <xdr:spPr bwMode="auto">
        <a:xfrm>
          <a:off x="1209675" y="4572000"/>
          <a:ext cx="76200" cy="20955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76200</xdr:colOff>
      <xdr:row>26</xdr:row>
      <xdr:rowOff>19050</xdr:rowOff>
    </xdr:to>
    <xdr:sp macro="" textlink="">
      <xdr:nvSpPr>
        <xdr:cNvPr id="452717" name="Text Box 119"/>
        <xdr:cNvSpPr txBox="1">
          <a:spLocks noChangeArrowheads="1"/>
        </xdr:cNvSpPr>
      </xdr:nvSpPr>
      <xdr:spPr bwMode="auto">
        <a:xfrm>
          <a:off x="1209675" y="4762500"/>
          <a:ext cx="76200" cy="20955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76200</xdr:colOff>
      <xdr:row>26</xdr:row>
      <xdr:rowOff>19050</xdr:rowOff>
    </xdr:to>
    <xdr:sp macro="" textlink="">
      <xdr:nvSpPr>
        <xdr:cNvPr id="452718" name="Text Box 120"/>
        <xdr:cNvSpPr txBox="1">
          <a:spLocks noChangeArrowheads="1"/>
        </xdr:cNvSpPr>
      </xdr:nvSpPr>
      <xdr:spPr bwMode="auto">
        <a:xfrm>
          <a:off x="1209675" y="4762500"/>
          <a:ext cx="76200" cy="20955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76200</xdr:colOff>
      <xdr:row>26</xdr:row>
      <xdr:rowOff>19050</xdr:rowOff>
    </xdr:to>
    <xdr:sp macro="" textlink="">
      <xdr:nvSpPr>
        <xdr:cNvPr id="452719" name="Text Box 121"/>
        <xdr:cNvSpPr txBox="1">
          <a:spLocks noChangeArrowheads="1"/>
        </xdr:cNvSpPr>
      </xdr:nvSpPr>
      <xdr:spPr bwMode="auto">
        <a:xfrm>
          <a:off x="1209675" y="4762500"/>
          <a:ext cx="76200" cy="20955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76200</xdr:colOff>
      <xdr:row>26</xdr:row>
      <xdr:rowOff>19050</xdr:rowOff>
    </xdr:to>
    <xdr:sp macro="" textlink="">
      <xdr:nvSpPr>
        <xdr:cNvPr id="452720" name="Text Box 122"/>
        <xdr:cNvSpPr txBox="1">
          <a:spLocks noChangeArrowheads="1"/>
        </xdr:cNvSpPr>
      </xdr:nvSpPr>
      <xdr:spPr bwMode="auto">
        <a:xfrm>
          <a:off x="1209675" y="4762500"/>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19050</xdr:rowOff>
    </xdr:to>
    <xdr:sp macro="" textlink="">
      <xdr:nvSpPr>
        <xdr:cNvPr id="452721" name="Text Box 123"/>
        <xdr:cNvSpPr txBox="1">
          <a:spLocks noChangeArrowheads="1"/>
        </xdr:cNvSpPr>
      </xdr:nvSpPr>
      <xdr:spPr bwMode="auto">
        <a:xfrm>
          <a:off x="1209675" y="4953000"/>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19050</xdr:rowOff>
    </xdr:to>
    <xdr:sp macro="" textlink="">
      <xdr:nvSpPr>
        <xdr:cNvPr id="452722" name="Text Box 124"/>
        <xdr:cNvSpPr txBox="1">
          <a:spLocks noChangeArrowheads="1"/>
        </xdr:cNvSpPr>
      </xdr:nvSpPr>
      <xdr:spPr bwMode="auto">
        <a:xfrm>
          <a:off x="1209675" y="4953000"/>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19050</xdr:rowOff>
    </xdr:to>
    <xdr:sp macro="" textlink="">
      <xdr:nvSpPr>
        <xdr:cNvPr id="452723" name="Text Box 125"/>
        <xdr:cNvSpPr txBox="1">
          <a:spLocks noChangeArrowheads="1"/>
        </xdr:cNvSpPr>
      </xdr:nvSpPr>
      <xdr:spPr bwMode="auto">
        <a:xfrm>
          <a:off x="1209675" y="4953000"/>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19050</xdr:rowOff>
    </xdr:to>
    <xdr:sp macro="" textlink="">
      <xdr:nvSpPr>
        <xdr:cNvPr id="452724" name="Text Box 126"/>
        <xdr:cNvSpPr txBox="1">
          <a:spLocks noChangeArrowheads="1"/>
        </xdr:cNvSpPr>
      </xdr:nvSpPr>
      <xdr:spPr bwMode="auto">
        <a:xfrm>
          <a:off x="1209675" y="4953000"/>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19050</xdr:rowOff>
    </xdr:to>
    <xdr:sp macro="" textlink="">
      <xdr:nvSpPr>
        <xdr:cNvPr id="452725" name="Text Box 127"/>
        <xdr:cNvSpPr txBox="1">
          <a:spLocks noChangeArrowheads="1"/>
        </xdr:cNvSpPr>
      </xdr:nvSpPr>
      <xdr:spPr bwMode="auto">
        <a:xfrm>
          <a:off x="1209675" y="5143500"/>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19050</xdr:rowOff>
    </xdr:to>
    <xdr:sp macro="" textlink="">
      <xdr:nvSpPr>
        <xdr:cNvPr id="452726" name="Text Box 128"/>
        <xdr:cNvSpPr txBox="1">
          <a:spLocks noChangeArrowheads="1"/>
        </xdr:cNvSpPr>
      </xdr:nvSpPr>
      <xdr:spPr bwMode="auto">
        <a:xfrm>
          <a:off x="1209675" y="5143500"/>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19050</xdr:rowOff>
    </xdr:to>
    <xdr:sp macro="" textlink="">
      <xdr:nvSpPr>
        <xdr:cNvPr id="452727" name="Text Box 129"/>
        <xdr:cNvSpPr txBox="1">
          <a:spLocks noChangeArrowheads="1"/>
        </xdr:cNvSpPr>
      </xdr:nvSpPr>
      <xdr:spPr bwMode="auto">
        <a:xfrm>
          <a:off x="1209675" y="5143500"/>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19050</xdr:rowOff>
    </xdr:to>
    <xdr:sp macro="" textlink="">
      <xdr:nvSpPr>
        <xdr:cNvPr id="452728" name="Text Box 130"/>
        <xdr:cNvSpPr txBox="1">
          <a:spLocks noChangeArrowheads="1"/>
        </xdr:cNvSpPr>
      </xdr:nvSpPr>
      <xdr:spPr bwMode="auto">
        <a:xfrm>
          <a:off x="1209675" y="5143500"/>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19050</xdr:rowOff>
    </xdr:to>
    <xdr:sp macro="" textlink="">
      <xdr:nvSpPr>
        <xdr:cNvPr id="452729" name="Text Box 131"/>
        <xdr:cNvSpPr txBox="1">
          <a:spLocks noChangeArrowheads="1"/>
        </xdr:cNvSpPr>
      </xdr:nvSpPr>
      <xdr:spPr bwMode="auto">
        <a:xfrm>
          <a:off x="1209675" y="5334000"/>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19050</xdr:rowOff>
    </xdr:to>
    <xdr:sp macro="" textlink="">
      <xdr:nvSpPr>
        <xdr:cNvPr id="452730" name="Text Box 132"/>
        <xdr:cNvSpPr txBox="1">
          <a:spLocks noChangeArrowheads="1"/>
        </xdr:cNvSpPr>
      </xdr:nvSpPr>
      <xdr:spPr bwMode="auto">
        <a:xfrm>
          <a:off x="1209675" y="5334000"/>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19050</xdr:rowOff>
    </xdr:to>
    <xdr:sp macro="" textlink="">
      <xdr:nvSpPr>
        <xdr:cNvPr id="452731" name="Text Box 133"/>
        <xdr:cNvSpPr txBox="1">
          <a:spLocks noChangeArrowheads="1"/>
        </xdr:cNvSpPr>
      </xdr:nvSpPr>
      <xdr:spPr bwMode="auto">
        <a:xfrm>
          <a:off x="1209675" y="5334000"/>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19050</xdr:rowOff>
    </xdr:to>
    <xdr:sp macro="" textlink="">
      <xdr:nvSpPr>
        <xdr:cNvPr id="452732" name="Text Box 134"/>
        <xdr:cNvSpPr txBox="1">
          <a:spLocks noChangeArrowheads="1"/>
        </xdr:cNvSpPr>
      </xdr:nvSpPr>
      <xdr:spPr bwMode="auto">
        <a:xfrm>
          <a:off x="1209675" y="5334000"/>
          <a:ext cx="76200" cy="20955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19050</xdr:rowOff>
    </xdr:to>
    <xdr:sp macro="" textlink="">
      <xdr:nvSpPr>
        <xdr:cNvPr id="452733" name="Text Box 135"/>
        <xdr:cNvSpPr txBox="1">
          <a:spLocks noChangeArrowheads="1"/>
        </xdr:cNvSpPr>
      </xdr:nvSpPr>
      <xdr:spPr bwMode="auto">
        <a:xfrm>
          <a:off x="1209675" y="5524500"/>
          <a:ext cx="76200" cy="20955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19050</xdr:rowOff>
    </xdr:to>
    <xdr:sp macro="" textlink="">
      <xdr:nvSpPr>
        <xdr:cNvPr id="452734" name="Text Box 136"/>
        <xdr:cNvSpPr txBox="1">
          <a:spLocks noChangeArrowheads="1"/>
        </xdr:cNvSpPr>
      </xdr:nvSpPr>
      <xdr:spPr bwMode="auto">
        <a:xfrm>
          <a:off x="1209675" y="5524500"/>
          <a:ext cx="76200" cy="20955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19050</xdr:rowOff>
    </xdr:to>
    <xdr:sp macro="" textlink="">
      <xdr:nvSpPr>
        <xdr:cNvPr id="452735" name="Text Box 137"/>
        <xdr:cNvSpPr txBox="1">
          <a:spLocks noChangeArrowheads="1"/>
        </xdr:cNvSpPr>
      </xdr:nvSpPr>
      <xdr:spPr bwMode="auto">
        <a:xfrm>
          <a:off x="1209675" y="5524500"/>
          <a:ext cx="76200" cy="20955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19050</xdr:rowOff>
    </xdr:to>
    <xdr:sp macro="" textlink="">
      <xdr:nvSpPr>
        <xdr:cNvPr id="452736" name="Text Box 138"/>
        <xdr:cNvSpPr txBox="1">
          <a:spLocks noChangeArrowheads="1"/>
        </xdr:cNvSpPr>
      </xdr:nvSpPr>
      <xdr:spPr bwMode="auto">
        <a:xfrm>
          <a:off x="1209675" y="552450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19050</xdr:rowOff>
    </xdr:to>
    <xdr:sp macro="" textlink="">
      <xdr:nvSpPr>
        <xdr:cNvPr id="452737" name="Text Box 139"/>
        <xdr:cNvSpPr txBox="1">
          <a:spLocks noChangeArrowheads="1"/>
        </xdr:cNvSpPr>
      </xdr:nvSpPr>
      <xdr:spPr bwMode="auto">
        <a:xfrm>
          <a:off x="1209675" y="571500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19050</xdr:rowOff>
    </xdr:to>
    <xdr:sp macro="" textlink="">
      <xdr:nvSpPr>
        <xdr:cNvPr id="452738" name="Text Box 140"/>
        <xdr:cNvSpPr txBox="1">
          <a:spLocks noChangeArrowheads="1"/>
        </xdr:cNvSpPr>
      </xdr:nvSpPr>
      <xdr:spPr bwMode="auto">
        <a:xfrm>
          <a:off x="1209675" y="571500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19050</xdr:rowOff>
    </xdr:to>
    <xdr:sp macro="" textlink="">
      <xdr:nvSpPr>
        <xdr:cNvPr id="452739" name="Text Box 141"/>
        <xdr:cNvSpPr txBox="1">
          <a:spLocks noChangeArrowheads="1"/>
        </xdr:cNvSpPr>
      </xdr:nvSpPr>
      <xdr:spPr bwMode="auto">
        <a:xfrm>
          <a:off x="1209675" y="571500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19050</xdr:rowOff>
    </xdr:to>
    <xdr:sp macro="" textlink="">
      <xdr:nvSpPr>
        <xdr:cNvPr id="452740" name="Text Box 142"/>
        <xdr:cNvSpPr txBox="1">
          <a:spLocks noChangeArrowheads="1"/>
        </xdr:cNvSpPr>
      </xdr:nvSpPr>
      <xdr:spPr bwMode="auto">
        <a:xfrm>
          <a:off x="1209675" y="571500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19050</xdr:rowOff>
    </xdr:to>
    <xdr:sp macro="" textlink="">
      <xdr:nvSpPr>
        <xdr:cNvPr id="452741" name="Text Box 143"/>
        <xdr:cNvSpPr txBox="1">
          <a:spLocks noChangeArrowheads="1"/>
        </xdr:cNvSpPr>
      </xdr:nvSpPr>
      <xdr:spPr bwMode="auto">
        <a:xfrm>
          <a:off x="1209675" y="590550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19050</xdr:rowOff>
    </xdr:to>
    <xdr:sp macro="" textlink="">
      <xdr:nvSpPr>
        <xdr:cNvPr id="452742" name="Text Box 144"/>
        <xdr:cNvSpPr txBox="1">
          <a:spLocks noChangeArrowheads="1"/>
        </xdr:cNvSpPr>
      </xdr:nvSpPr>
      <xdr:spPr bwMode="auto">
        <a:xfrm>
          <a:off x="1209675" y="590550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19050</xdr:rowOff>
    </xdr:to>
    <xdr:sp macro="" textlink="">
      <xdr:nvSpPr>
        <xdr:cNvPr id="452743" name="Text Box 145"/>
        <xdr:cNvSpPr txBox="1">
          <a:spLocks noChangeArrowheads="1"/>
        </xdr:cNvSpPr>
      </xdr:nvSpPr>
      <xdr:spPr bwMode="auto">
        <a:xfrm>
          <a:off x="1209675" y="590550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19050</xdr:rowOff>
    </xdr:to>
    <xdr:sp macro="" textlink="">
      <xdr:nvSpPr>
        <xdr:cNvPr id="452744" name="Text Box 146"/>
        <xdr:cNvSpPr txBox="1">
          <a:spLocks noChangeArrowheads="1"/>
        </xdr:cNvSpPr>
      </xdr:nvSpPr>
      <xdr:spPr bwMode="auto">
        <a:xfrm>
          <a:off x="1209675" y="59055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19050</xdr:rowOff>
    </xdr:to>
    <xdr:sp macro="" textlink="">
      <xdr:nvSpPr>
        <xdr:cNvPr id="452745" name="Text Box 147"/>
        <xdr:cNvSpPr txBox="1">
          <a:spLocks noChangeArrowheads="1"/>
        </xdr:cNvSpPr>
      </xdr:nvSpPr>
      <xdr:spPr bwMode="auto">
        <a:xfrm>
          <a:off x="1209675" y="60960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19050</xdr:rowOff>
    </xdr:to>
    <xdr:sp macro="" textlink="">
      <xdr:nvSpPr>
        <xdr:cNvPr id="452746" name="Text Box 148"/>
        <xdr:cNvSpPr txBox="1">
          <a:spLocks noChangeArrowheads="1"/>
        </xdr:cNvSpPr>
      </xdr:nvSpPr>
      <xdr:spPr bwMode="auto">
        <a:xfrm>
          <a:off x="1209675" y="60960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19050</xdr:rowOff>
    </xdr:to>
    <xdr:sp macro="" textlink="">
      <xdr:nvSpPr>
        <xdr:cNvPr id="452747" name="Text Box 149"/>
        <xdr:cNvSpPr txBox="1">
          <a:spLocks noChangeArrowheads="1"/>
        </xdr:cNvSpPr>
      </xdr:nvSpPr>
      <xdr:spPr bwMode="auto">
        <a:xfrm>
          <a:off x="1209675" y="60960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19050</xdr:rowOff>
    </xdr:to>
    <xdr:sp macro="" textlink="">
      <xdr:nvSpPr>
        <xdr:cNvPr id="452748" name="Text Box 150"/>
        <xdr:cNvSpPr txBox="1">
          <a:spLocks noChangeArrowheads="1"/>
        </xdr:cNvSpPr>
      </xdr:nvSpPr>
      <xdr:spPr bwMode="auto">
        <a:xfrm>
          <a:off x="1209675" y="60960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19050</xdr:rowOff>
    </xdr:to>
    <xdr:sp macro="" textlink="">
      <xdr:nvSpPr>
        <xdr:cNvPr id="452749" name="Text Box 151"/>
        <xdr:cNvSpPr txBox="1">
          <a:spLocks noChangeArrowheads="1"/>
        </xdr:cNvSpPr>
      </xdr:nvSpPr>
      <xdr:spPr bwMode="auto">
        <a:xfrm>
          <a:off x="1209675" y="62865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19050</xdr:rowOff>
    </xdr:to>
    <xdr:sp macro="" textlink="">
      <xdr:nvSpPr>
        <xdr:cNvPr id="452750" name="Text Box 152"/>
        <xdr:cNvSpPr txBox="1">
          <a:spLocks noChangeArrowheads="1"/>
        </xdr:cNvSpPr>
      </xdr:nvSpPr>
      <xdr:spPr bwMode="auto">
        <a:xfrm>
          <a:off x="1209675" y="62865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19050</xdr:rowOff>
    </xdr:to>
    <xdr:sp macro="" textlink="">
      <xdr:nvSpPr>
        <xdr:cNvPr id="452751" name="Text Box 153"/>
        <xdr:cNvSpPr txBox="1">
          <a:spLocks noChangeArrowheads="1"/>
        </xdr:cNvSpPr>
      </xdr:nvSpPr>
      <xdr:spPr bwMode="auto">
        <a:xfrm>
          <a:off x="1209675" y="62865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19050</xdr:rowOff>
    </xdr:to>
    <xdr:sp macro="" textlink="">
      <xdr:nvSpPr>
        <xdr:cNvPr id="452752" name="Text Box 154"/>
        <xdr:cNvSpPr txBox="1">
          <a:spLocks noChangeArrowheads="1"/>
        </xdr:cNvSpPr>
      </xdr:nvSpPr>
      <xdr:spPr bwMode="auto">
        <a:xfrm>
          <a:off x="1209675" y="6286500"/>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19050</xdr:rowOff>
    </xdr:to>
    <xdr:sp macro="" textlink="">
      <xdr:nvSpPr>
        <xdr:cNvPr id="452753" name="Text Box 155"/>
        <xdr:cNvSpPr txBox="1">
          <a:spLocks noChangeArrowheads="1"/>
        </xdr:cNvSpPr>
      </xdr:nvSpPr>
      <xdr:spPr bwMode="auto">
        <a:xfrm>
          <a:off x="1209675" y="6477000"/>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19050</xdr:rowOff>
    </xdr:to>
    <xdr:sp macro="" textlink="">
      <xdr:nvSpPr>
        <xdr:cNvPr id="452754" name="Text Box 156"/>
        <xdr:cNvSpPr txBox="1">
          <a:spLocks noChangeArrowheads="1"/>
        </xdr:cNvSpPr>
      </xdr:nvSpPr>
      <xdr:spPr bwMode="auto">
        <a:xfrm>
          <a:off x="1209675" y="6477000"/>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19050</xdr:rowOff>
    </xdr:to>
    <xdr:sp macro="" textlink="">
      <xdr:nvSpPr>
        <xdr:cNvPr id="452755" name="Text Box 157"/>
        <xdr:cNvSpPr txBox="1">
          <a:spLocks noChangeArrowheads="1"/>
        </xdr:cNvSpPr>
      </xdr:nvSpPr>
      <xdr:spPr bwMode="auto">
        <a:xfrm>
          <a:off x="1209675" y="6477000"/>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19050</xdr:rowOff>
    </xdr:to>
    <xdr:sp macro="" textlink="">
      <xdr:nvSpPr>
        <xdr:cNvPr id="452756" name="Text Box 158"/>
        <xdr:cNvSpPr txBox="1">
          <a:spLocks noChangeArrowheads="1"/>
        </xdr:cNvSpPr>
      </xdr:nvSpPr>
      <xdr:spPr bwMode="auto">
        <a:xfrm>
          <a:off x="1209675" y="64770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19050</xdr:rowOff>
    </xdr:to>
    <xdr:sp macro="" textlink="">
      <xdr:nvSpPr>
        <xdr:cNvPr id="452757" name="Text Box 159"/>
        <xdr:cNvSpPr txBox="1">
          <a:spLocks noChangeArrowheads="1"/>
        </xdr:cNvSpPr>
      </xdr:nvSpPr>
      <xdr:spPr bwMode="auto">
        <a:xfrm>
          <a:off x="1209675" y="66675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19050</xdr:rowOff>
    </xdr:to>
    <xdr:sp macro="" textlink="">
      <xdr:nvSpPr>
        <xdr:cNvPr id="452758" name="Text Box 160"/>
        <xdr:cNvSpPr txBox="1">
          <a:spLocks noChangeArrowheads="1"/>
        </xdr:cNvSpPr>
      </xdr:nvSpPr>
      <xdr:spPr bwMode="auto">
        <a:xfrm>
          <a:off x="1209675" y="66675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19050</xdr:rowOff>
    </xdr:to>
    <xdr:sp macro="" textlink="">
      <xdr:nvSpPr>
        <xdr:cNvPr id="452759" name="Text Box 161"/>
        <xdr:cNvSpPr txBox="1">
          <a:spLocks noChangeArrowheads="1"/>
        </xdr:cNvSpPr>
      </xdr:nvSpPr>
      <xdr:spPr bwMode="auto">
        <a:xfrm>
          <a:off x="1209675" y="66675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19050</xdr:rowOff>
    </xdr:to>
    <xdr:sp macro="" textlink="">
      <xdr:nvSpPr>
        <xdr:cNvPr id="452760" name="Text Box 162"/>
        <xdr:cNvSpPr txBox="1">
          <a:spLocks noChangeArrowheads="1"/>
        </xdr:cNvSpPr>
      </xdr:nvSpPr>
      <xdr:spPr bwMode="auto">
        <a:xfrm>
          <a:off x="1209675" y="66675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19050</xdr:rowOff>
    </xdr:to>
    <xdr:sp macro="" textlink="">
      <xdr:nvSpPr>
        <xdr:cNvPr id="452761" name="Text Box 163"/>
        <xdr:cNvSpPr txBox="1">
          <a:spLocks noChangeArrowheads="1"/>
        </xdr:cNvSpPr>
      </xdr:nvSpPr>
      <xdr:spPr bwMode="auto">
        <a:xfrm>
          <a:off x="1209675" y="6858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19050</xdr:rowOff>
    </xdr:to>
    <xdr:sp macro="" textlink="">
      <xdr:nvSpPr>
        <xdr:cNvPr id="452762" name="Text Box 164"/>
        <xdr:cNvSpPr txBox="1">
          <a:spLocks noChangeArrowheads="1"/>
        </xdr:cNvSpPr>
      </xdr:nvSpPr>
      <xdr:spPr bwMode="auto">
        <a:xfrm>
          <a:off x="1209675" y="6858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19050</xdr:rowOff>
    </xdr:to>
    <xdr:sp macro="" textlink="">
      <xdr:nvSpPr>
        <xdr:cNvPr id="452763" name="Text Box 165"/>
        <xdr:cNvSpPr txBox="1">
          <a:spLocks noChangeArrowheads="1"/>
        </xdr:cNvSpPr>
      </xdr:nvSpPr>
      <xdr:spPr bwMode="auto">
        <a:xfrm>
          <a:off x="1209675" y="6858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19050</xdr:rowOff>
    </xdr:to>
    <xdr:sp macro="" textlink="">
      <xdr:nvSpPr>
        <xdr:cNvPr id="452764" name="Text Box 166"/>
        <xdr:cNvSpPr txBox="1">
          <a:spLocks noChangeArrowheads="1"/>
        </xdr:cNvSpPr>
      </xdr:nvSpPr>
      <xdr:spPr bwMode="auto">
        <a:xfrm>
          <a:off x="1209675" y="68580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19050</xdr:rowOff>
    </xdr:to>
    <xdr:sp macro="" textlink="">
      <xdr:nvSpPr>
        <xdr:cNvPr id="452765" name="Text Box 167"/>
        <xdr:cNvSpPr txBox="1">
          <a:spLocks noChangeArrowheads="1"/>
        </xdr:cNvSpPr>
      </xdr:nvSpPr>
      <xdr:spPr bwMode="auto">
        <a:xfrm>
          <a:off x="1209675" y="7048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19050</xdr:rowOff>
    </xdr:to>
    <xdr:sp macro="" textlink="">
      <xdr:nvSpPr>
        <xdr:cNvPr id="452766" name="Text Box 168"/>
        <xdr:cNvSpPr txBox="1">
          <a:spLocks noChangeArrowheads="1"/>
        </xdr:cNvSpPr>
      </xdr:nvSpPr>
      <xdr:spPr bwMode="auto">
        <a:xfrm>
          <a:off x="1209675" y="7048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19050</xdr:rowOff>
    </xdr:to>
    <xdr:sp macro="" textlink="">
      <xdr:nvSpPr>
        <xdr:cNvPr id="452767" name="Text Box 169"/>
        <xdr:cNvSpPr txBox="1">
          <a:spLocks noChangeArrowheads="1"/>
        </xdr:cNvSpPr>
      </xdr:nvSpPr>
      <xdr:spPr bwMode="auto">
        <a:xfrm>
          <a:off x="1209675" y="7048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19050</xdr:rowOff>
    </xdr:to>
    <xdr:sp macro="" textlink="">
      <xdr:nvSpPr>
        <xdr:cNvPr id="452768" name="Text Box 170"/>
        <xdr:cNvSpPr txBox="1">
          <a:spLocks noChangeArrowheads="1"/>
        </xdr:cNvSpPr>
      </xdr:nvSpPr>
      <xdr:spPr bwMode="auto">
        <a:xfrm>
          <a:off x="1209675" y="70485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19050</xdr:rowOff>
    </xdr:to>
    <xdr:sp macro="" textlink="">
      <xdr:nvSpPr>
        <xdr:cNvPr id="452769" name="Text Box 171"/>
        <xdr:cNvSpPr txBox="1">
          <a:spLocks noChangeArrowheads="1"/>
        </xdr:cNvSpPr>
      </xdr:nvSpPr>
      <xdr:spPr bwMode="auto">
        <a:xfrm>
          <a:off x="1209675" y="72390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19050</xdr:rowOff>
    </xdr:to>
    <xdr:sp macro="" textlink="">
      <xdr:nvSpPr>
        <xdr:cNvPr id="452770" name="Text Box 172"/>
        <xdr:cNvSpPr txBox="1">
          <a:spLocks noChangeArrowheads="1"/>
        </xdr:cNvSpPr>
      </xdr:nvSpPr>
      <xdr:spPr bwMode="auto">
        <a:xfrm>
          <a:off x="1209675" y="72390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19050</xdr:rowOff>
    </xdr:to>
    <xdr:sp macro="" textlink="">
      <xdr:nvSpPr>
        <xdr:cNvPr id="452771" name="Text Box 173"/>
        <xdr:cNvSpPr txBox="1">
          <a:spLocks noChangeArrowheads="1"/>
        </xdr:cNvSpPr>
      </xdr:nvSpPr>
      <xdr:spPr bwMode="auto">
        <a:xfrm>
          <a:off x="1209675" y="72390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19050</xdr:rowOff>
    </xdr:to>
    <xdr:sp macro="" textlink="">
      <xdr:nvSpPr>
        <xdr:cNvPr id="452772" name="Text Box 174"/>
        <xdr:cNvSpPr txBox="1">
          <a:spLocks noChangeArrowheads="1"/>
        </xdr:cNvSpPr>
      </xdr:nvSpPr>
      <xdr:spPr bwMode="auto">
        <a:xfrm>
          <a:off x="1209675" y="7239000"/>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19050</xdr:rowOff>
    </xdr:to>
    <xdr:sp macro="" textlink="">
      <xdr:nvSpPr>
        <xdr:cNvPr id="452773" name="Text Box 175"/>
        <xdr:cNvSpPr txBox="1">
          <a:spLocks noChangeArrowheads="1"/>
        </xdr:cNvSpPr>
      </xdr:nvSpPr>
      <xdr:spPr bwMode="auto">
        <a:xfrm>
          <a:off x="1209675" y="7429500"/>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19050</xdr:rowOff>
    </xdr:to>
    <xdr:sp macro="" textlink="">
      <xdr:nvSpPr>
        <xdr:cNvPr id="452774" name="Text Box 176"/>
        <xdr:cNvSpPr txBox="1">
          <a:spLocks noChangeArrowheads="1"/>
        </xdr:cNvSpPr>
      </xdr:nvSpPr>
      <xdr:spPr bwMode="auto">
        <a:xfrm>
          <a:off x="1209675" y="7429500"/>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19050</xdr:rowOff>
    </xdr:to>
    <xdr:sp macro="" textlink="">
      <xdr:nvSpPr>
        <xdr:cNvPr id="452775" name="Text Box 177"/>
        <xdr:cNvSpPr txBox="1">
          <a:spLocks noChangeArrowheads="1"/>
        </xdr:cNvSpPr>
      </xdr:nvSpPr>
      <xdr:spPr bwMode="auto">
        <a:xfrm>
          <a:off x="1209675" y="7429500"/>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19050</xdr:rowOff>
    </xdr:to>
    <xdr:sp macro="" textlink="">
      <xdr:nvSpPr>
        <xdr:cNvPr id="452776" name="Text Box 178"/>
        <xdr:cNvSpPr txBox="1">
          <a:spLocks noChangeArrowheads="1"/>
        </xdr:cNvSpPr>
      </xdr:nvSpPr>
      <xdr:spPr bwMode="auto">
        <a:xfrm>
          <a:off x="1209675" y="74295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19050</xdr:rowOff>
    </xdr:to>
    <xdr:sp macro="" textlink="">
      <xdr:nvSpPr>
        <xdr:cNvPr id="452777" name="Text Box 179"/>
        <xdr:cNvSpPr txBox="1">
          <a:spLocks noChangeArrowheads="1"/>
        </xdr:cNvSpPr>
      </xdr:nvSpPr>
      <xdr:spPr bwMode="auto">
        <a:xfrm>
          <a:off x="1209675" y="76200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19050</xdr:rowOff>
    </xdr:to>
    <xdr:sp macro="" textlink="">
      <xdr:nvSpPr>
        <xdr:cNvPr id="452778" name="Text Box 180"/>
        <xdr:cNvSpPr txBox="1">
          <a:spLocks noChangeArrowheads="1"/>
        </xdr:cNvSpPr>
      </xdr:nvSpPr>
      <xdr:spPr bwMode="auto">
        <a:xfrm>
          <a:off x="1209675" y="76200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19050</xdr:rowOff>
    </xdr:to>
    <xdr:sp macro="" textlink="">
      <xdr:nvSpPr>
        <xdr:cNvPr id="452779" name="Text Box 181"/>
        <xdr:cNvSpPr txBox="1">
          <a:spLocks noChangeArrowheads="1"/>
        </xdr:cNvSpPr>
      </xdr:nvSpPr>
      <xdr:spPr bwMode="auto">
        <a:xfrm>
          <a:off x="1209675" y="76200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19050</xdr:rowOff>
    </xdr:to>
    <xdr:sp macro="" textlink="">
      <xdr:nvSpPr>
        <xdr:cNvPr id="452780" name="Text Box 182"/>
        <xdr:cNvSpPr txBox="1">
          <a:spLocks noChangeArrowheads="1"/>
        </xdr:cNvSpPr>
      </xdr:nvSpPr>
      <xdr:spPr bwMode="auto">
        <a:xfrm>
          <a:off x="1209675" y="7620000"/>
          <a:ext cx="76200" cy="20955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42</xdr:row>
      <xdr:rowOff>19050</xdr:rowOff>
    </xdr:to>
    <xdr:sp macro="" textlink="">
      <xdr:nvSpPr>
        <xdr:cNvPr id="452781" name="Text Box 183"/>
        <xdr:cNvSpPr txBox="1">
          <a:spLocks noChangeArrowheads="1"/>
        </xdr:cNvSpPr>
      </xdr:nvSpPr>
      <xdr:spPr bwMode="auto">
        <a:xfrm>
          <a:off x="1209675" y="7810500"/>
          <a:ext cx="76200" cy="20955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42</xdr:row>
      <xdr:rowOff>19050</xdr:rowOff>
    </xdr:to>
    <xdr:sp macro="" textlink="">
      <xdr:nvSpPr>
        <xdr:cNvPr id="452782" name="Text Box 184"/>
        <xdr:cNvSpPr txBox="1">
          <a:spLocks noChangeArrowheads="1"/>
        </xdr:cNvSpPr>
      </xdr:nvSpPr>
      <xdr:spPr bwMode="auto">
        <a:xfrm>
          <a:off x="1209675" y="7810500"/>
          <a:ext cx="76200" cy="20955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42</xdr:row>
      <xdr:rowOff>19050</xdr:rowOff>
    </xdr:to>
    <xdr:sp macro="" textlink="">
      <xdr:nvSpPr>
        <xdr:cNvPr id="452783" name="Text Box 185"/>
        <xdr:cNvSpPr txBox="1">
          <a:spLocks noChangeArrowheads="1"/>
        </xdr:cNvSpPr>
      </xdr:nvSpPr>
      <xdr:spPr bwMode="auto">
        <a:xfrm>
          <a:off x="1209675" y="7810500"/>
          <a:ext cx="76200" cy="20955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42</xdr:row>
      <xdr:rowOff>19050</xdr:rowOff>
    </xdr:to>
    <xdr:sp macro="" textlink="">
      <xdr:nvSpPr>
        <xdr:cNvPr id="452784" name="Text Box 186"/>
        <xdr:cNvSpPr txBox="1">
          <a:spLocks noChangeArrowheads="1"/>
        </xdr:cNvSpPr>
      </xdr:nvSpPr>
      <xdr:spPr bwMode="auto">
        <a:xfrm>
          <a:off x="1209675" y="781050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19050</xdr:rowOff>
    </xdr:to>
    <xdr:sp macro="" textlink="">
      <xdr:nvSpPr>
        <xdr:cNvPr id="452785" name="Text Box 187"/>
        <xdr:cNvSpPr txBox="1">
          <a:spLocks noChangeArrowheads="1"/>
        </xdr:cNvSpPr>
      </xdr:nvSpPr>
      <xdr:spPr bwMode="auto">
        <a:xfrm>
          <a:off x="1209675" y="800100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19050</xdr:rowOff>
    </xdr:to>
    <xdr:sp macro="" textlink="">
      <xdr:nvSpPr>
        <xdr:cNvPr id="452786" name="Text Box 188"/>
        <xdr:cNvSpPr txBox="1">
          <a:spLocks noChangeArrowheads="1"/>
        </xdr:cNvSpPr>
      </xdr:nvSpPr>
      <xdr:spPr bwMode="auto">
        <a:xfrm>
          <a:off x="1209675" y="800100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19050</xdr:rowOff>
    </xdr:to>
    <xdr:sp macro="" textlink="">
      <xdr:nvSpPr>
        <xdr:cNvPr id="452787" name="Text Box 189"/>
        <xdr:cNvSpPr txBox="1">
          <a:spLocks noChangeArrowheads="1"/>
        </xdr:cNvSpPr>
      </xdr:nvSpPr>
      <xdr:spPr bwMode="auto">
        <a:xfrm>
          <a:off x="1209675" y="800100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19050</xdr:rowOff>
    </xdr:to>
    <xdr:sp macro="" textlink="">
      <xdr:nvSpPr>
        <xdr:cNvPr id="452788" name="Text Box 190"/>
        <xdr:cNvSpPr txBox="1">
          <a:spLocks noChangeArrowheads="1"/>
        </xdr:cNvSpPr>
      </xdr:nvSpPr>
      <xdr:spPr bwMode="auto">
        <a:xfrm>
          <a:off x="1209675" y="8001000"/>
          <a:ext cx="76200" cy="209550"/>
        </a:xfrm>
        <a:prstGeom prst="rect">
          <a:avLst/>
        </a:prstGeom>
        <a:noFill/>
        <a:ln w="9525">
          <a:noFill/>
          <a:miter lim="800000"/>
          <a:headEnd/>
          <a:tailEnd/>
        </a:ln>
      </xdr:spPr>
    </xdr:sp>
    <xdr:clientData/>
  </xdr:twoCellAnchor>
  <xdr:twoCellAnchor editAs="oneCell">
    <xdr:from>
      <xdr:col>1</xdr:col>
      <xdr:colOff>0</xdr:colOff>
      <xdr:row>43</xdr:row>
      <xdr:rowOff>0</xdr:rowOff>
    </xdr:from>
    <xdr:to>
      <xdr:col>1</xdr:col>
      <xdr:colOff>76200</xdr:colOff>
      <xdr:row>44</xdr:row>
      <xdr:rowOff>19050</xdr:rowOff>
    </xdr:to>
    <xdr:sp macro="" textlink="">
      <xdr:nvSpPr>
        <xdr:cNvPr id="452789" name="Text Box 191"/>
        <xdr:cNvSpPr txBox="1">
          <a:spLocks noChangeArrowheads="1"/>
        </xdr:cNvSpPr>
      </xdr:nvSpPr>
      <xdr:spPr bwMode="auto">
        <a:xfrm>
          <a:off x="1209675" y="8191500"/>
          <a:ext cx="76200" cy="209550"/>
        </a:xfrm>
        <a:prstGeom prst="rect">
          <a:avLst/>
        </a:prstGeom>
        <a:noFill/>
        <a:ln w="9525">
          <a:noFill/>
          <a:miter lim="800000"/>
          <a:headEnd/>
          <a:tailEnd/>
        </a:ln>
      </xdr:spPr>
    </xdr:sp>
    <xdr:clientData/>
  </xdr:twoCellAnchor>
  <xdr:twoCellAnchor editAs="oneCell">
    <xdr:from>
      <xdr:col>1</xdr:col>
      <xdr:colOff>0</xdr:colOff>
      <xdr:row>43</xdr:row>
      <xdr:rowOff>0</xdr:rowOff>
    </xdr:from>
    <xdr:to>
      <xdr:col>1</xdr:col>
      <xdr:colOff>76200</xdr:colOff>
      <xdr:row>44</xdr:row>
      <xdr:rowOff>19050</xdr:rowOff>
    </xdr:to>
    <xdr:sp macro="" textlink="">
      <xdr:nvSpPr>
        <xdr:cNvPr id="452790" name="Text Box 192"/>
        <xdr:cNvSpPr txBox="1">
          <a:spLocks noChangeArrowheads="1"/>
        </xdr:cNvSpPr>
      </xdr:nvSpPr>
      <xdr:spPr bwMode="auto">
        <a:xfrm>
          <a:off x="1209675" y="8191500"/>
          <a:ext cx="76200" cy="209550"/>
        </a:xfrm>
        <a:prstGeom prst="rect">
          <a:avLst/>
        </a:prstGeom>
        <a:noFill/>
        <a:ln w="9525">
          <a:noFill/>
          <a:miter lim="800000"/>
          <a:headEnd/>
          <a:tailEnd/>
        </a:ln>
      </xdr:spPr>
    </xdr:sp>
    <xdr:clientData/>
  </xdr:twoCellAnchor>
  <xdr:twoCellAnchor editAs="oneCell">
    <xdr:from>
      <xdr:col>1</xdr:col>
      <xdr:colOff>0</xdr:colOff>
      <xdr:row>43</xdr:row>
      <xdr:rowOff>0</xdr:rowOff>
    </xdr:from>
    <xdr:to>
      <xdr:col>1</xdr:col>
      <xdr:colOff>76200</xdr:colOff>
      <xdr:row>44</xdr:row>
      <xdr:rowOff>19050</xdr:rowOff>
    </xdr:to>
    <xdr:sp macro="" textlink="">
      <xdr:nvSpPr>
        <xdr:cNvPr id="452791" name="Text Box 193"/>
        <xdr:cNvSpPr txBox="1">
          <a:spLocks noChangeArrowheads="1"/>
        </xdr:cNvSpPr>
      </xdr:nvSpPr>
      <xdr:spPr bwMode="auto">
        <a:xfrm>
          <a:off x="1209675" y="8191500"/>
          <a:ext cx="76200" cy="209550"/>
        </a:xfrm>
        <a:prstGeom prst="rect">
          <a:avLst/>
        </a:prstGeom>
        <a:noFill/>
        <a:ln w="9525">
          <a:noFill/>
          <a:miter lim="800000"/>
          <a:headEnd/>
          <a:tailEnd/>
        </a:ln>
      </xdr:spPr>
    </xdr:sp>
    <xdr:clientData/>
  </xdr:twoCellAnchor>
  <xdr:twoCellAnchor editAs="oneCell">
    <xdr:from>
      <xdr:col>1</xdr:col>
      <xdr:colOff>0</xdr:colOff>
      <xdr:row>43</xdr:row>
      <xdr:rowOff>0</xdr:rowOff>
    </xdr:from>
    <xdr:to>
      <xdr:col>1</xdr:col>
      <xdr:colOff>76200</xdr:colOff>
      <xdr:row>44</xdr:row>
      <xdr:rowOff>19050</xdr:rowOff>
    </xdr:to>
    <xdr:sp macro="" textlink="">
      <xdr:nvSpPr>
        <xdr:cNvPr id="452792" name="Text Box 194"/>
        <xdr:cNvSpPr txBox="1">
          <a:spLocks noChangeArrowheads="1"/>
        </xdr:cNvSpPr>
      </xdr:nvSpPr>
      <xdr:spPr bwMode="auto">
        <a:xfrm>
          <a:off x="1209675" y="8191500"/>
          <a:ext cx="76200" cy="209550"/>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45</xdr:row>
      <xdr:rowOff>19050</xdr:rowOff>
    </xdr:to>
    <xdr:sp macro="" textlink="">
      <xdr:nvSpPr>
        <xdr:cNvPr id="452793" name="Text Box 195"/>
        <xdr:cNvSpPr txBox="1">
          <a:spLocks noChangeArrowheads="1"/>
        </xdr:cNvSpPr>
      </xdr:nvSpPr>
      <xdr:spPr bwMode="auto">
        <a:xfrm>
          <a:off x="1209675" y="8382000"/>
          <a:ext cx="76200" cy="209550"/>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45</xdr:row>
      <xdr:rowOff>19050</xdr:rowOff>
    </xdr:to>
    <xdr:sp macro="" textlink="">
      <xdr:nvSpPr>
        <xdr:cNvPr id="452794" name="Text Box 196"/>
        <xdr:cNvSpPr txBox="1">
          <a:spLocks noChangeArrowheads="1"/>
        </xdr:cNvSpPr>
      </xdr:nvSpPr>
      <xdr:spPr bwMode="auto">
        <a:xfrm>
          <a:off x="1209675" y="8382000"/>
          <a:ext cx="76200" cy="209550"/>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45</xdr:row>
      <xdr:rowOff>19050</xdr:rowOff>
    </xdr:to>
    <xdr:sp macro="" textlink="">
      <xdr:nvSpPr>
        <xdr:cNvPr id="452795" name="Text Box 197"/>
        <xdr:cNvSpPr txBox="1">
          <a:spLocks noChangeArrowheads="1"/>
        </xdr:cNvSpPr>
      </xdr:nvSpPr>
      <xdr:spPr bwMode="auto">
        <a:xfrm>
          <a:off x="1209675" y="8382000"/>
          <a:ext cx="76200" cy="209550"/>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45</xdr:row>
      <xdr:rowOff>19050</xdr:rowOff>
    </xdr:to>
    <xdr:sp macro="" textlink="">
      <xdr:nvSpPr>
        <xdr:cNvPr id="452796" name="Text Box 198"/>
        <xdr:cNvSpPr txBox="1">
          <a:spLocks noChangeArrowheads="1"/>
        </xdr:cNvSpPr>
      </xdr:nvSpPr>
      <xdr:spPr bwMode="auto">
        <a:xfrm>
          <a:off x="1209675" y="8382000"/>
          <a:ext cx="76200" cy="209550"/>
        </a:xfrm>
        <a:prstGeom prst="rect">
          <a:avLst/>
        </a:prstGeom>
        <a:noFill/>
        <a:ln w="9525">
          <a:noFill/>
          <a:miter lim="800000"/>
          <a:headEnd/>
          <a:tailEnd/>
        </a:ln>
      </xdr:spPr>
    </xdr:sp>
    <xdr:clientData/>
  </xdr:twoCellAnchor>
  <xdr:twoCellAnchor editAs="oneCell">
    <xdr:from>
      <xdr:col>1</xdr:col>
      <xdr:colOff>0</xdr:colOff>
      <xdr:row>45</xdr:row>
      <xdr:rowOff>0</xdr:rowOff>
    </xdr:from>
    <xdr:to>
      <xdr:col>1</xdr:col>
      <xdr:colOff>76200</xdr:colOff>
      <xdr:row>46</xdr:row>
      <xdr:rowOff>38100</xdr:rowOff>
    </xdr:to>
    <xdr:sp macro="" textlink="">
      <xdr:nvSpPr>
        <xdr:cNvPr id="452797" name="Text Box 199"/>
        <xdr:cNvSpPr txBox="1">
          <a:spLocks noChangeArrowheads="1"/>
        </xdr:cNvSpPr>
      </xdr:nvSpPr>
      <xdr:spPr bwMode="auto">
        <a:xfrm>
          <a:off x="1209675" y="8572500"/>
          <a:ext cx="76200" cy="209550"/>
        </a:xfrm>
        <a:prstGeom prst="rect">
          <a:avLst/>
        </a:prstGeom>
        <a:noFill/>
        <a:ln w="9525">
          <a:noFill/>
          <a:miter lim="800000"/>
          <a:headEnd/>
          <a:tailEnd/>
        </a:ln>
      </xdr:spPr>
    </xdr:sp>
    <xdr:clientData/>
  </xdr:twoCellAnchor>
  <xdr:twoCellAnchor editAs="oneCell">
    <xdr:from>
      <xdr:col>1</xdr:col>
      <xdr:colOff>0</xdr:colOff>
      <xdr:row>45</xdr:row>
      <xdr:rowOff>0</xdr:rowOff>
    </xdr:from>
    <xdr:to>
      <xdr:col>1</xdr:col>
      <xdr:colOff>76200</xdr:colOff>
      <xdr:row>46</xdr:row>
      <xdr:rowOff>38100</xdr:rowOff>
    </xdr:to>
    <xdr:sp macro="" textlink="">
      <xdr:nvSpPr>
        <xdr:cNvPr id="452798" name="Text Box 200"/>
        <xdr:cNvSpPr txBox="1">
          <a:spLocks noChangeArrowheads="1"/>
        </xdr:cNvSpPr>
      </xdr:nvSpPr>
      <xdr:spPr bwMode="auto">
        <a:xfrm>
          <a:off x="1209675" y="8572500"/>
          <a:ext cx="76200" cy="209550"/>
        </a:xfrm>
        <a:prstGeom prst="rect">
          <a:avLst/>
        </a:prstGeom>
        <a:noFill/>
        <a:ln w="9525">
          <a:noFill/>
          <a:miter lim="800000"/>
          <a:headEnd/>
          <a:tailEnd/>
        </a:ln>
      </xdr:spPr>
    </xdr:sp>
    <xdr:clientData/>
  </xdr:twoCellAnchor>
  <xdr:twoCellAnchor editAs="oneCell">
    <xdr:from>
      <xdr:col>1</xdr:col>
      <xdr:colOff>0</xdr:colOff>
      <xdr:row>45</xdr:row>
      <xdr:rowOff>0</xdr:rowOff>
    </xdr:from>
    <xdr:to>
      <xdr:col>1</xdr:col>
      <xdr:colOff>76200</xdr:colOff>
      <xdr:row>46</xdr:row>
      <xdr:rowOff>38100</xdr:rowOff>
    </xdr:to>
    <xdr:sp macro="" textlink="">
      <xdr:nvSpPr>
        <xdr:cNvPr id="452799" name="Text Box 201"/>
        <xdr:cNvSpPr txBox="1">
          <a:spLocks noChangeArrowheads="1"/>
        </xdr:cNvSpPr>
      </xdr:nvSpPr>
      <xdr:spPr bwMode="auto">
        <a:xfrm>
          <a:off x="1209675" y="8572500"/>
          <a:ext cx="76200" cy="209550"/>
        </a:xfrm>
        <a:prstGeom prst="rect">
          <a:avLst/>
        </a:prstGeom>
        <a:noFill/>
        <a:ln w="9525">
          <a:noFill/>
          <a:miter lim="800000"/>
          <a:headEnd/>
          <a:tailEnd/>
        </a:ln>
      </xdr:spPr>
    </xdr:sp>
    <xdr:clientData/>
  </xdr:twoCellAnchor>
  <xdr:twoCellAnchor editAs="oneCell">
    <xdr:from>
      <xdr:col>1</xdr:col>
      <xdr:colOff>0</xdr:colOff>
      <xdr:row>45</xdr:row>
      <xdr:rowOff>0</xdr:rowOff>
    </xdr:from>
    <xdr:to>
      <xdr:col>1</xdr:col>
      <xdr:colOff>76200</xdr:colOff>
      <xdr:row>46</xdr:row>
      <xdr:rowOff>38100</xdr:rowOff>
    </xdr:to>
    <xdr:sp macro="" textlink="">
      <xdr:nvSpPr>
        <xdr:cNvPr id="452800" name="Text Box 202"/>
        <xdr:cNvSpPr txBox="1">
          <a:spLocks noChangeArrowheads="1"/>
        </xdr:cNvSpPr>
      </xdr:nvSpPr>
      <xdr:spPr bwMode="auto">
        <a:xfrm>
          <a:off x="1209675" y="85725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19050</xdr:rowOff>
    </xdr:to>
    <xdr:sp macro="" textlink="">
      <xdr:nvSpPr>
        <xdr:cNvPr id="452801" name="Text Box 203"/>
        <xdr:cNvSpPr txBox="1">
          <a:spLocks noChangeArrowheads="1"/>
        </xdr:cNvSpPr>
      </xdr:nvSpPr>
      <xdr:spPr bwMode="auto">
        <a:xfrm>
          <a:off x="1209675" y="87153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19050</xdr:rowOff>
    </xdr:to>
    <xdr:sp macro="" textlink="">
      <xdr:nvSpPr>
        <xdr:cNvPr id="452802" name="Text Box 204"/>
        <xdr:cNvSpPr txBox="1">
          <a:spLocks noChangeArrowheads="1"/>
        </xdr:cNvSpPr>
      </xdr:nvSpPr>
      <xdr:spPr bwMode="auto">
        <a:xfrm>
          <a:off x="1209675" y="87153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19050</xdr:rowOff>
    </xdr:to>
    <xdr:sp macro="" textlink="">
      <xdr:nvSpPr>
        <xdr:cNvPr id="452803" name="Text Box 205"/>
        <xdr:cNvSpPr txBox="1">
          <a:spLocks noChangeArrowheads="1"/>
        </xdr:cNvSpPr>
      </xdr:nvSpPr>
      <xdr:spPr bwMode="auto">
        <a:xfrm>
          <a:off x="1209675" y="87153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19050</xdr:rowOff>
    </xdr:to>
    <xdr:sp macro="" textlink="">
      <xdr:nvSpPr>
        <xdr:cNvPr id="452804" name="Text Box 206"/>
        <xdr:cNvSpPr txBox="1">
          <a:spLocks noChangeArrowheads="1"/>
        </xdr:cNvSpPr>
      </xdr:nvSpPr>
      <xdr:spPr bwMode="auto">
        <a:xfrm>
          <a:off x="1209675" y="87153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19050</xdr:rowOff>
    </xdr:to>
    <xdr:sp macro="" textlink="">
      <xdr:nvSpPr>
        <xdr:cNvPr id="452805" name="Text Box 207"/>
        <xdr:cNvSpPr txBox="1">
          <a:spLocks noChangeArrowheads="1"/>
        </xdr:cNvSpPr>
      </xdr:nvSpPr>
      <xdr:spPr bwMode="auto">
        <a:xfrm>
          <a:off x="1209675" y="89058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19050</xdr:rowOff>
    </xdr:to>
    <xdr:sp macro="" textlink="">
      <xdr:nvSpPr>
        <xdr:cNvPr id="452806" name="Text Box 208"/>
        <xdr:cNvSpPr txBox="1">
          <a:spLocks noChangeArrowheads="1"/>
        </xdr:cNvSpPr>
      </xdr:nvSpPr>
      <xdr:spPr bwMode="auto">
        <a:xfrm>
          <a:off x="1209675" y="89058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19050</xdr:rowOff>
    </xdr:to>
    <xdr:sp macro="" textlink="">
      <xdr:nvSpPr>
        <xdr:cNvPr id="452807" name="Text Box 209"/>
        <xdr:cNvSpPr txBox="1">
          <a:spLocks noChangeArrowheads="1"/>
        </xdr:cNvSpPr>
      </xdr:nvSpPr>
      <xdr:spPr bwMode="auto">
        <a:xfrm>
          <a:off x="1209675" y="89058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19050</xdr:rowOff>
    </xdr:to>
    <xdr:sp macro="" textlink="">
      <xdr:nvSpPr>
        <xdr:cNvPr id="452808" name="Text Box 210"/>
        <xdr:cNvSpPr txBox="1">
          <a:spLocks noChangeArrowheads="1"/>
        </xdr:cNvSpPr>
      </xdr:nvSpPr>
      <xdr:spPr bwMode="auto">
        <a:xfrm>
          <a:off x="1209675" y="8905875"/>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19050</xdr:rowOff>
    </xdr:to>
    <xdr:sp macro="" textlink="">
      <xdr:nvSpPr>
        <xdr:cNvPr id="452809" name="Text Box 211"/>
        <xdr:cNvSpPr txBox="1">
          <a:spLocks noChangeArrowheads="1"/>
        </xdr:cNvSpPr>
      </xdr:nvSpPr>
      <xdr:spPr bwMode="auto">
        <a:xfrm>
          <a:off x="1209675" y="9096375"/>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19050</xdr:rowOff>
    </xdr:to>
    <xdr:sp macro="" textlink="">
      <xdr:nvSpPr>
        <xdr:cNvPr id="452810" name="Text Box 212"/>
        <xdr:cNvSpPr txBox="1">
          <a:spLocks noChangeArrowheads="1"/>
        </xdr:cNvSpPr>
      </xdr:nvSpPr>
      <xdr:spPr bwMode="auto">
        <a:xfrm>
          <a:off x="1209675" y="9096375"/>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19050</xdr:rowOff>
    </xdr:to>
    <xdr:sp macro="" textlink="">
      <xdr:nvSpPr>
        <xdr:cNvPr id="452811" name="Text Box 213"/>
        <xdr:cNvSpPr txBox="1">
          <a:spLocks noChangeArrowheads="1"/>
        </xdr:cNvSpPr>
      </xdr:nvSpPr>
      <xdr:spPr bwMode="auto">
        <a:xfrm>
          <a:off x="1209675" y="9096375"/>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19050</xdr:rowOff>
    </xdr:to>
    <xdr:sp macro="" textlink="">
      <xdr:nvSpPr>
        <xdr:cNvPr id="452812" name="Text Box 214"/>
        <xdr:cNvSpPr txBox="1">
          <a:spLocks noChangeArrowheads="1"/>
        </xdr:cNvSpPr>
      </xdr:nvSpPr>
      <xdr:spPr bwMode="auto">
        <a:xfrm>
          <a:off x="1209675" y="90963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19050</xdr:rowOff>
    </xdr:to>
    <xdr:sp macro="" textlink="">
      <xdr:nvSpPr>
        <xdr:cNvPr id="452813" name="Text Box 215"/>
        <xdr:cNvSpPr txBox="1">
          <a:spLocks noChangeArrowheads="1"/>
        </xdr:cNvSpPr>
      </xdr:nvSpPr>
      <xdr:spPr bwMode="auto">
        <a:xfrm>
          <a:off x="1209675" y="92868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19050</xdr:rowOff>
    </xdr:to>
    <xdr:sp macro="" textlink="">
      <xdr:nvSpPr>
        <xdr:cNvPr id="452814" name="Text Box 216"/>
        <xdr:cNvSpPr txBox="1">
          <a:spLocks noChangeArrowheads="1"/>
        </xdr:cNvSpPr>
      </xdr:nvSpPr>
      <xdr:spPr bwMode="auto">
        <a:xfrm>
          <a:off x="1209675" y="92868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19050</xdr:rowOff>
    </xdr:to>
    <xdr:sp macro="" textlink="">
      <xdr:nvSpPr>
        <xdr:cNvPr id="452815" name="Text Box 217"/>
        <xdr:cNvSpPr txBox="1">
          <a:spLocks noChangeArrowheads="1"/>
        </xdr:cNvSpPr>
      </xdr:nvSpPr>
      <xdr:spPr bwMode="auto">
        <a:xfrm>
          <a:off x="1209675" y="92868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19050</xdr:rowOff>
    </xdr:to>
    <xdr:sp macro="" textlink="">
      <xdr:nvSpPr>
        <xdr:cNvPr id="452816" name="Text Box 218"/>
        <xdr:cNvSpPr txBox="1">
          <a:spLocks noChangeArrowheads="1"/>
        </xdr:cNvSpPr>
      </xdr:nvSpPr>
      <xdr:spPr bwMode="auto">
        <a:xfrm>
          <a:off x="1209675" y="9286875"/>
          <a:ext cx="76200" cy="209550"/>
        </a:xfrm>
        <a:prstGeom prst="rect">
          <a:avLst/>
        </a:prstGeom>
        <a:noFill/>
        <a:ln w="9525">
          <a:noFill/>
          <a:miter lim="800000"/>
          <a:headEnd/>
          <a:tailEnd/>
        </a:ln>
      </xdr:spPr>
    </xdr:sp>
    <xdr:clientData/>
  </xdr:twoCellAnchor>
  <xdr:twoCellAnchor editAs="oneCell">
    <xdr:from>
      <xdr:col>1</xdr:col>
      <xdr:colOff>0</xdr:colOff>
      <xdr:row>50</xdr:row>
      <xdr:rowOff>0</xdr:rowOff>
    </xdr:from>
    <xdr:to>
      <xdr:col>1</xdr:col>
      <xdr:colOff>76200</xdr:colOff>
      <xdr:row>51</xdr:row>
      <xdr:rowOff>19050</xdr:rowOff>
    </xdr:to>
    <xdr:sp macro="" textlink="">
      <xdr:nvSpPr>
        <xdr:cNvPr id="452817" name="Text Box 219"/>
        <xdr:cNvSpPr txBox="1">
          <a:spLocks noChangeArrowheads="1"/>
        </xdr:cNvSpPr>
      </xdr:nvSpPr>
      <xdr:spPr bwMode="auto">
        <a:xfrm>
          <a:off x="1209675" y="9477375"/>
          <a:ext cx="76200" cy="209550"/>
        </a:xfrm>
        <a:prstGeom prst="rect">
          <a:avLst/>
        </a:prstGeom>
        <a:noFill/>
        <a:ln w="9525">
          <a:noFill/>
          <a:miter lim="800000"/>
          <a:headEnd/>
          <a:tailEnd/>
        </a:ln>
      </xdr:spPr>
    </xdr:sp>
    <xdr:clientData/>
  </xdr:twoCellAnchor>
  <xdr:twoCellAnchor editAs="oneCell">
    <xdr:from>
      <xdr:col>1</xdr:col>
      <xdr:colOff>0</xdr:colOff>
      <xdr:row>50</xdr:row>
      <xdr:rowOff>0</xdr:rowOff>
    </xdr:from>
    <xdr:to>
      <xdr:col>1</xdr:col>
      <xdr:colOff>76200</xdr:colOff>
      <xdr:row>51</xdr:row>
      <xdr:rowOff>19050</xdr:rowOff>
    </xdr:to>
    <xdr:sp macro="" textlink="">
      <xdr:nvSpPr>
        <xdr:cNvPr id="452818" name="Text Box 220"/>
        <xdr:cNvSpPr txBox="1">
          <a:spLocks noChangeArrowheads="1"/>
        </xdr:cNvSpPr>
      </xdr:nvSpPr>
      <xdr:spPr bwMode="auto">
        <a:xfrm>
          <a:off x="1209675" y="9477375"/>
          <a:ext cx="76200" cy="209550"/>
        </a:xfrm>
        <a:prstGeom prst="rect">
          <a:avLst/>
        </a:prstGeom>
        <a:noFill/>
        <a:ln w="9525">
          <a:noFill/>
          <a:miter lim="800000"/>
          <a:headEnd/>
          <a:tailEnd/>
        </a:ln>
      </xdr:spPr>
    </xdr:sp>
    <xdr:clientData/>
  </xdr:twoCellAnchor>
  <xdr:twoCellAnchor editAs="oneCell">
    <xdr:from>
      <xdr:col>1</xdr:col>
      <xdr:colOff>0</xdr:colOff>
      <xdr:row>50</xdr:row>
      <xdr:rowOff>0</xdr:rowOff>
    </xdr:from>
    <xdr:to>
      <xdr:col>1</xdr:col>
      <xdr:colOff>76200</xdr:colOff>
      <xdr:row>51</xdr:row>
      <xdr:rowOff>19050</xdr:rowOff>
    </xdr:to>
    <xdr:sp macro="" textlink="">
      <xdr:nvSpPr>
        <xdr:cNvPr id="452819" name="Text Box 221"/>
        <xdr:cNvSpPr txBox="1">
          <a:spLocks noChangeArrowheads="1"/>
        </xdr:cNvSpPr>
      </xdr:nvSpPr>
      <xdr:spPr bwMode="auto">
        <a:xfrm>
          <a:off x="1209675" y="9477375"/>
          <a:ext cx="76200" cy="209550"/>
        </a:xfrm>
        <a:prstGeom prst="rect">
          <a:avLst/>
        </a:prstGeom>
        <a:noFill/>
        <a:ln w="9525">
          <a:noFill/>
          <a:miter lim="800000"/>
          <a:headEnd/>
          <a:tailEnd/>
        </a:ln>
      </xdr:spPr>
    </xdr:sp>
    <xdr:clientData/>
  </xdr:twoCellAnchor>
  <xdr:twoCellAnchor editAs="oneCell">
    <xdr:from>
      <xdr:col>1</xdr:col>
      <xdr:colOff>0</xdr:colOff>
      <xdr:row>50</xdr:row>
      <xdr:rowOff>0</xdr:rowOff>
    </xdr:from>
    <xdr:to>
      <xdr:col>1</xdr:col>
      <xdr:colOff>76200</xdr:colOff>
      <xdr:row>51</xdr:row>
      <xdr:rowOff>19050</xdr:rowOff>
    </xdr:to>
    <xdr:sp macro="" textlink="">
      <xdr:nvSpPr>
        <xdr:cNvPr id="452820" name="Text Box 222"/>
        <xdr:cNvSpPr txBox="1">
          <a:spLocks noChangeArrowheads="1"/>
        </xdr:cNvSpPr>
      </xdr:nvSpPr>
      <xdr:spPr bwMode="auto">
        <a:xfrm>
          <a:off x="1209675" y="947737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19050</xdr:rowOff>
    </xdr:to>
    <xdr:sp macro="" textlink="">
      <xdr:nvSpPr>
        <xdr:cNvPr id="452821" name="Text Box 223"/>
        <xdr:cNvSpPr txBox="1">
          <a:spLocks noChangeArrowheads="1"/>
        </xdr:cNvSpPr>
      </xdr:nvSpPr>
      <xdr:spPr bwMode="auto">
        <a:xfrm>
          <a:off x="1209675" y="966787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19050</xdr:rowOff>
    </xdr:to>
    <xdr:sp macro="" textlink="">
      <xdr:nvSpPr>
        <xdr:cNvPr id="452822" name="Text Box 224"/>
        <xdr:cNvSpPr txBox="1">
          <a:spLocks noChangeArrowheads="1"/>
        </xdr:cNvSpPr>
      </xdr:nvSpPr>
      <xdr:spPr bwMode="auto">
        <a:xfrm>
          <a:off x="1209675" y="966787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19050</xdr:rowOff>
    </xdr:to>
    <xdr:sp macro="" textlink="">
      <xdr:nvSpPr>
        <xdr:cNvPr id="452823" name="Text Box 225"/>
        <xdr:cNvSpPr txBox="1">
          <a:spLocks noChangeArrowheads="1"/>
        </xdr:cNvSpPr>
      </xdr:nvSpPr>
      <xdr:spPr bwMode="auto">
        <a:xfrm>
          <a:off x="1209675" y="966787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19050</xdr:rowOff>
    </xdr:to>
    <xdr:sp macro="" textlink="">
      <xdr:nvSpPr>
        <xdr:cNvPr id="452824" name="Text Box 226"/>
        <xdr:cNvSpPr txBox="1">
          <a:spLocks noChangeArrowheads="1"/>
        </xdr:cNvSpPr>
      </xdr:nvSpPr>
      <xdr:spPr bwMode="auto">
        <a:xfrm>
          <a:off x="1209675" y="966787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19050</xdr:rowOff>
    </xdr:to>
    <xdr:sp macro="" textlink="">
      <xdr:nvSpPr>
        <xdr:cNvPr id="452825" name="Text Box 227"/>
        <xdr:cNvSpPr txBox="1">
          <a:spLocks noChangeArrowheads="1"/>
        </xdr:cNvSpPr>
      </xdr:nvSpPr>
      <xdr:spPr bwMode="auto">
        <a:xfrm>
          <a:off x="1209675" y="985837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19050</xdr:rowOff>
    </xdr:to>
    <xdr:sp macro="" textlink="">
      <xdr:nvSpPr>
        <xdr:cNvPr id="452826" name="Text Box 228"/>
        <xdr:cNvSpPr txBox="1">
          <a:spLocks noChangeArrowheads="1"/>
        </xdr:cNvSpPr>
      </xdr:nvSpPr>
      <xdr:spPr bwMode="auto">
        <a:xfrm>
          <a:off x="1209675" y="985837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19050</xdr:rowOff>
    </xdr:to>
    <xdr:sp macro="" textlink="">
      <xdr:nvSpPr>
        <xdr:cNvPr id="452827" name="Text Box 229"/>
        <xdr:cNvSpPr txBox="1">
          <a:spLocks noChangeArrowheads="1"/>
        </xdr:cNvSpPr>
      </xdr:nvSpPr>
      <xdr:spPr bwMode="auto">
        <a:xfrm>
          <a:off x="1209675" y="985837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19050</xdr:rowOff>
    </xdr:to>
    <xdr:sp macro="" textlink="">
      <xdr:nvSpPr>
        <xdr:cNvPr id="452828" name="Text Box 230"/>
        <xdr:cNvSpPr txBox="1">
          <a:spLocks noChangeArrowheads="1"/>
        </xdr:cNvSpPr>
      </xdr:nvSpPr>
      <xdr:spPr bwMode="auto">
        <a:xfrm>
          <a:off x="1209675" y="98583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19050</xdr:rowOff>
    </xdr:to>
    <xdr:sp macro="" textlink="">
      <xdr:nvSpPr>
        <xdr:cNvPr id="452829" name="Text Box 231"/>
        <xdr:cNvSpPr txBox="1">
          <a:spLocks noChangeArrowheads="1"/>
        </xdr:cNvSpPr>
      </xdr:nvSpPr>
      <xdr:spPr bwMode="auto">
        <a:xfrm>
          <a:off x="1209675" y="10048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19050</xdr:rowOff>
    </xdr:to>
    <xdr:sp macro="" textlink="">
      <xdr:nvSpPr>
        <xdr:cNvPr id="452830" name="Text Box 232"/>
        <xdr:cNvSpPr txBox="1">
          <a:spLocks noChangeArrowheads="1"/>
        </xdr:cNvSpPr>
      </xdr:nvSpPr>
      <xdr:spPr bwMode="auto">
        <a:xfrm>
          <a:off x="1209675" y="10048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19050</xdr:rowOff>
    </xdr:to>
    <xdr:sp macro="" textlink="">
      <xdr:nvSpPr>
        <xdr:cNvPr id="452831" name="Text Box 233"/>
        <xdr:cNvSpPr txBox="1">
          <a:spLocks noChangeArrowheads="1"/>
        </xdr:cNvSpPr>
      </xdr:nvSpPr>
      <xdr:spPr bwMode="auto">
        <a:xfrm>
          <a:off x="1209675" y="10048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19050</xdr:rowOff>
    </xdr:to>
    <xdr:sp macro="" textlink="">
      <xdr:nvSpPr>
        <xdr:cNvPr id="452832" name="Text Box 234"/>
        <xdr:cNvSpPr txBox="1">
          <a:spLocks noChangeArrowheads="1"/>
        </xdr:cNvSpPr>
      </xdr:nvSpPr>
      <xdr:spPr bwMode="auto">
        <a:xfrm>
          <a:off x="1209675" y="10048875"/>
          <a:ext cx="76200" cy="209550"/>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19050</xdr:rowOff>
    </xdr:to>
    <xdr:sp macro="" textlink="">
      <xdr:nvSpPr>
        <xdr:cNvPr id="452833" name="Text Box 235"/>
        <xdr:cNvSpPr txBox="1">
          <a:spLocks noChangeArrowheads="1"/>
        </xdr:cNvSpPr>
      </xdr:nvSpPr>
      <xdr:spPr bwMode="auto">
        <a:xfrm>
          <a:off x="1209675" y="10239375"/>
          <a:ext cx="76200" cy="209550"/>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19050</xdr:rowOff>
    </xdr:to>
    <xdr:sp macro="" textlink="">
      <xdr:nvSpPr>
        <xdr:cNvPr id="452834" name="Text Box 236"/>
        <xdr:cNvSpPr txBox="1">
          <a:spLocks noChangeArrowheads="1"/>
        </xdr:cNvSpPr>
      </xdr:nvSpPr>
      <xdr:spPr bwMode="auto">
        <a:xfrm>
          <a:off x="1209675" y="10239375"/>
          <a:ext cx="76200" cy="209550"/>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19050</xdr:rowOff>
    </xdr:to>
    <xdr:sp macro="" textlink="">
      <xdr:nvSpPr>
        <xdr:cNvPr id="452835" name="Text Box 237"/>
        <xdr:cNvSpPr txBox="1">
          <a:spLocks noChangeArrowheads="1"/>
        </xdr:cNvSpPr>
      </xdr:nvSpPr>
      <xdr:spPr bwMode="auto">
        <a:xfrm>
          <a:off x="1209675" y="10239375"/>
          <a:ext cx="76200" cy="209550"/>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19050</xdr:rowOff>
    </xdr:to>
    <xdr:sp macro="" textlink="">
      <xdr:nvSpPr>
        <xdr:cNvPr id="452836" name="Text Box 238"/>
        <xdr:cNvSpPr txBox="1">
          <a:spLocks noChangeArrowheads="1"/>
        </xdr:cNvSpPr>
      </xdr:nvSpPr>
      <xdr:spPr bwMode="auto">
        <a:xfrm>
          <a:off x="1209675" y="10239375"/>
          <a:ext cx="76200" cy="209550"/>
        </a:xfrm>
        <a:prstGeom prst="rect">
          <a:avLst/>
        </a:prstGeom>
        <a:noFill/>
        <a:ln w="9525">
          <a:noFill/>
          <a:miter lim="800000"/>
          <a:headEnd/>
          <a:tailEnd/>
        </a:ln>
      </xdr:spPr>
    </xdr:sp>
    <xdr:clientData/>
  </xdr:twoCellAnchor>
  <xdr:twoCellAnchor editAs="oneCell">
    <xdr:from>
      <xdr:col>1</xdr:col>
      <xdr:colOff>0</xdr:colOff>
      <xdr:row>55</xdr:row>
      <xdr:rowOff>0</xdr:rowOff>
    </xdr:from>
    <xdr:to>
      <xdr:col>1</xdr:col>
      <xdr:colOff>76200</xdr:colOff>
      <xdr:row>56</xdr:row>
      <xdr:rowOff>19050</xdr:rowOff>
    </xdr:to>
    <xdr:sp macro="" textlink="">
      <xdr:nvSpPr>
        <xdr:cNvPr id="452837" name="Text Box 239"/>
        <xdr:cNvSpPr txBox="1">
          <a:spLocks noChangeArrowheads="1"/>
        </xdr:cNvSpPr>
      </xdr:nvSpPr>
      <xdr:spPr bwMode="auto">
        <a:xfrm>
          <a:off x="1209675" y="10429875"/>
          <a:ext cx="76200" cy="209550"/>
        </a:xfrm>
        <a:prstGeom prst="rect">
          <a:avLst/>
        </a:prstGeom>
        <a:noFill/>
        <a:ln w="9525">
          <a:noFill/>
          <a:miter lim="800000"/>
          <a:headEnd/>
          <a:tailEnd/>
        </a:ln>
      </xdr:spPr>
    </xdr:sp>
    <xdr:clientData/>
  </xdr:twoCellAnchor>
  <xdr:twoCellAnchor editAs="oneCell">
    <xdr:from>
      <xdr:col>1</xdr:col>
      <xdr:colOff>0</xdr:colOff>
      <xdr:row>55</xdr:row>
      <xdr:rowOff>0</xdr:rowOff>
    </xdr:from>
    <xdr:to>
      <xdr:col>1</xdr:col>
      <xdr:colOff>76200</xdr:colOff>
      <xdr:row>56</xdr:row>
      <xdr:rowOff>19050</xdr:rowOff>
    </xdr:to>
    <xdr:sp macro="" textlink="">
      <xdr:nvSpPr>
        <xdr:cNvPr id="452838" name="Text Box 240"/>
        <xdr:cNvSpPr txBox="1">
          <a:spLocks noChangeArrowheads="1"/>
        </xdr:cNvSpPr>
      </xdr:nvSpPr>
      <xdr:spPr bwMode="auto">
        <a:xfrm>
          <a:off x="1209675" y="10429875"/>
          <a:ext cx="76200" cy="209550"/>
        </a:xfrm>
        <a:prstGeom prst="rect">
          <a:avLst/>
        </a:prstGeom>
        <a:noFill/>
        <a:ln w="9525">
          <a:noFill/>
          <a:miter lim="800000"/>
          <a:headEnd/>
          <a:tailEnd/>
        </a:ln>
      </xdr:spPr>
    </xdr:sp>
    <xdr:clientData/>
  </xdr:twoCellAnchor>
  <xdr:twoCellAnchor editAs="oneCell">
    <xdr:from>
      <xdr:col>1</xdr:col>
      <xdr:colOff>0</xdr:colOff>
      <xdr:row>55</xdr:row>
      <xdr:rowOff>0</xdr:rowOff>
    </xdr:from>
    <xdr:to>
      <xdr:col>1</xdr:col>
      <xdr:colOff>76200</xdr:colOff>
      <xdr:row>56</xdr:row>
      <xdr:rowOff>19050</xdr:rowOff>
    </xdr:to>
    <xdr:sp macro="" textlink="">
      <xdr:nvSpPr>
        <xdr:cNvPr id="452839" name="Text Box 241"/>
        <xdr:cNvSpPr txBox="1">
          <a:spLocks noChangeArrowheads="1"/>
        </xdr:cNvSpPr>
      </xdr:nvSpPr>
      <xdr:spPr bwMode="auto">
        <a:xfrm>
          <a:off x="1209675" y="10429875"/>
          <a:ext cx="76200" cy="209550"/>
        </a:xfrm>
        <a:prstGeom prst="rect">
          <a:avLst/>
        </a:prstGeom>
        <a:noFill/>
        <a:ln w="9525">
          <a:noFill/>
          <a:miter lim="800000"/>
          <a:headEnd/>
          <a:tailEnd/>
        </a:ln>
      </xdr:spPr>
    </xdr:sp>
    <xdr:clientData/>
  </xdr:twoCellAnchor>
  <xdr:twoCellAnchor editAs="oneCell">
    <xdr:from>
      <xdr:col>1</xdr:col>
      <xdr:colOff>0</xdr:colOff>
      <xdr:row>55</xdr:row>
      <xdr:rowOff>0</xdr:rowOff>
    </xdr:from>
    <xdr:to>
      <xdr:col>1</xdr:col>
      <xdr:colOff>76200</xdr:colOff>
      <xdr:row>56</xdr:row>
      <xdr:rowOff>19050</xdr:rowOff>
    </xdr:to>
    <xdr:sp macro="" textlink="">
      <xdr:nvSpPr>
        <xdr:cNvPr id="452840" name="Text Box 242"/>
        <xdr:cNvSpPr txBox="1">
          <a:spLocks noChangeArrowheads="1"/>
        </xdr:cNvSpPr>
      </xdr:nvSpPr>
      <xdr:spPr bwMode="auto">
        <a:xfrm>
          <a:off x="1209675" y="10429875"/>
          <a:ext cx="76200" cy="209550"/>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76200</xdr:colOff>
      <xdr:row>57</xdr:row>
      <xdr:rowOff>19050</xdr:rowOff>
    </xdr:to>
    <xdr:sp macro="" textlink="">
      <xdr:nvSpPr>
        <xdr:cNvPr id="452841" name="Text Box 243"/>
        <xdr:cNvSpPr txBox="1">
          <a:spLocks noChangeArrowheads="1"/>
        </xdr:cNvSpPr>
      </xdr:nvSpPr>
      <xdr:spPr bwMode="auto">
        <a:xfrm>
          <a:off x="1209675" y="10620375"/>
          <a:ext cx="76200" cy="209550"/>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76200</xdr:colOff>
      <xdr:row>57</xdr:row>
      <xdr:rowOff>19050</xdr:rowOff>
    </xdr:to>
    <xdr:sp macro="" textlink="">
      <xdr:nvSpPr>
        <xdr:cNvPr id="452842" name="Text Box 244"/>
        <xdr:cNvSpPr txBox="1">
          <a:spLocks noChangeArrowheads="1"/>
        </xdr:cNvSpPr>
      </xdr:nvSpPr>
      <xdr:spPr bwMode="auto">
        <a:xfrm>
          <a:off x="1209675" y="10620375"/>
          <a:ext cx="76200" cy="209550"/>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76200</xdr:colOff>
      <xdr:row>57</xdr:row>
      <xdr:rowOff>19050</xdr:rowOff>
    </xdr:to>
    <xdr:sp macro="" textlink="">
      <xdr:nvSpPr>
        <xdr:cNvPr id="452843" name="Text Box 245"/>
        <xdr:cNvSpPr txBox="1">
          <a:spLocks noChangeArrowheads="1"/>
        </xdr:cNvSpPr>
      </xdr:nvSpPr>
      <xdr:spPr bwMode="auto">
        <a:xfrm>
          <a:off x="1209675" y="10620375"/>
          <a:ext cx="76200" cy="209550"/>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76200</xdr:colOff>
      <xdr:row>57</xdr:row>
      <xdr:rowOff>19050</xdr:rowOff>
    </xdr:to>
    <xdr:sp macro="" textlink="">
      <xdr:nvSpPr>
        <xdr:cNvPr id="452844" name="Text Box 246"/>
        <xdr:cNvSpPr txBox="1">
          <a:spLocks noChangeArrowheads="1"/>
        </xdr:cNvSpPr>
      </xdr:nvSpPr>
      <xdr:spPr bwMode="auto">
        <a:xfrm>
          <a:off x="1209675" y="10620375"/>
          <a:ext cx="76200" cy="209550"/>
        </a:xfrm>
        <a:prstGeom prst="rect">
          <a:avLst/>
        </a:prstGeom>
        <a:noFill/>
        <a:ln w="9525">
          <a:noFill/>
          <a:miter lim="800000"/>
          <a:headEnd/>
          <a:tailEnd/>
        </a:ln>
      </xdr:spPr>
    </xdr:sp>
    <xdr:clientData/>
  </xdr:twoCellAnchor>
  <xdr:twoCellAnchor editAs="oneCell">
    <xdr:from>
      <xdr:col>1</xdr:col>
      <xdr:colOff>0</xdr:colOff>
      <xdr:row>57</xdr:row>
      <xdr:rowOff>0</xdr:rowOff>
    </xdr:from>
    <xdr:to>
      <xdr:col>1</xdr:col>
      <xdr:colOff>76200</xdr:colOff>
      <xdr:row>58</xdr:row>
      <xdr:rowOff>19050</xdr:rowOff>
    </xdr:to>
    <xdr:sp macro="" textlink="">
      <xdr:nvSpPr>
        <xdr:cNvPr id="452845" name="Text Box 247"/>
        <xdr:cNvSpPr txBox="1">
          <a:spLocks noChangeArrowheads="1"/>
        </xdr:cNvSpPr>
      </xdr:nvSpPr>
      <xdr:spPr bwMode="auto">
        <a:xfrm>
          <a:off x="1209675" y="10810875"/>
          <a:ext cx="76200" cy="209550"/>
        </a:xfrm>
        <a:prstGeom prst="rect">
          <a:avLst/>
        </a:prstGeom>
        <a:noFill/>
        <a:ln w="9525">
          <a:noFill/>
          <a:miter lim="800000"/>
          <a:headEnd/>
          <a:tailEnd/>
        </a:ln>
      </xdr:spPr>
    </xdr:sp>
    <xdr:clientData/>
  </xdr:twoCellAnchor>
  <xdr:twoCellAnchor editAs="oneCell">
    <xdr:from>
      <xdr:col>1</xdr:col>
      <xdr:colOff>0</xdr:colOff>
      <xdr:row>57</xdr:row>
      <xdr:rowOff>0</xdr:rowOff>
    </xdr:from>
    <xdr:to>
      <xdr:col>1</xdr:col>
      <xdr:colOff>76200</xdr:colOff>
      <xdr:row>58</xdr:row>
      <xdr:rowOff>19050</xdr:rowOff>
    </xdr:to>
    <xdr:sp macro="" textlink="">
      <xdr:nvSpPr>
        <xdr:cNvPr id="452846" name="Text Box 248"/>
        <xdr:cNvSpPr txBox="1">
          <a:spLocks noChangeArrowheads="1"/>
        </xdr:cNvSpPr>
      </xdr:nvSpPr>
      <xdr:spPr bwMode="auto">
        <a:xfrm>
          <a:off x="1209675" y="10810875"/>
          <a:ext cx="76200" cy="209550"/>
        </a:xfrm>
        <a:prstGeom prst="rect">
          <a:avLst/>
        </a:prstGeom>
        <a:noFill/>
        <a:ln w="9525">
          <a:noFill/>
          <a:miter lim="800000"/>
          <a:headEnd/>
          <a:tailEnd/>
        </a:ln>
      </xdr:spPr>
    </xdr:sp>
    <xdr:clientData/>
  </xdr:twoCellAnchor>
  <xdr:twoCellAnchor editAs="oneCell">
    <xdr:from>
      <xdr:col>1</xdr:col>
      <xdr:colOff>0</xdr:colOff>
      <xdr:row>57</xdr:row>
      <xdr:rowOff>0</xdr:rowOff>
    </xdr:from>
    <xdr:to>
      <xdr:col>1</xdr:col>
      <xdr:colOff>76200</xdr:colOff>
      <xdr:row>58</xdr:row>
      <xdr:rowOff>19050</xdr:rowOff>
    </xdr:to>
    <xdr:sp macro="" textlink="">
      <xdr:nvSpPr>
        <xdr:cNvPr id="452847" name="Text Box 249"/>
        <xdr:cNvSpPr txBox="1">
          <a:spLocks noChangeArrowheads="1"/>
        </xdr:cNvSpPr>
      </xdr:nvSpPr>
      <xdr:spPr bwMode="auto">
        <a:xfrm>
          <a:off x="1209675" y="10810875"/>
          <a:ext cx="76200" cy="209550"/>
        </a:xfrm>
        <a:prstGeom prst="rect">
          <a:avLst/>
        </a:prstGeom>
        <a:noFill/>
        <a:ln w="9525">
          <a:noFill/>
          <a:miter lim="800000"/>
          <a:headEnd/>
          <a:tailEnd/>
        </a:ln>
      </xdr:spPr>
    </xdr:sp>
    <xdr:clientData/>
  </xdr:twoCellAnchor>
  <xdr:twoCellAnchor editAs="oneCell">
    <xdr:from>
      <xdr:col>1</xdr:col>
      <xdr:colOff>0</xdr:colOff>
      <xdr:row>57</xdr:row>
      <xdr:rowOff>0</xdr:rowOff>
    </xdr:from>
    <xdr:to>
      <xdr:col>1</xdr:col>
      <xdr:colOff>76200</xdr:colOff>
      <xdr:row>58</xdr:row>
      <xdr:rowOff>19050</xdr:rowOff>
    </xdr:to>
    <xdr:sp macro="" textlink="">
      <xdr:nvSpPr>
        <xdr:cNvPr id="452848" name="Text Box 250"/>
        <xdr:cNvSpPr txBox="1">
          <a:spLocks noChangeArrowheads="1"/>
        </xdr:cNvSpPr>
      </xdr:nvSpPr>
      <xdr:spPr bwMode="auto">
        <a:xfrm>
          <a:off x="1209675" y="10810875"/>
          <a:ext cx="76200" cy="209550"/>
        </a:xfrm>
        <a:prstGeom prst="rect">
          <a:avLst/>
        </a:prstGeom>
        <a:noFill/>
        <a:ln w="9525">
          <a:noFill/>
          <a:miter lim="800000"/>
          <a:headEnd/>
          <a:tailEnd/>
        </a:ln>
      </xdr:spPr>
    </xdr:sp>
    <xdr:clientData/>
  </xdr:twoCellAnchor>
  <xdr:twoCellAnchor editAs="oneCell">
    <xdr:from>
      <xdr:col>1</xdr:col>
      <xdr:colOff>0</xdr:colOff>
      <xdr:row>58</xdr:row>
      <xdr:rowOff>0</xdr:rowOff>
    </xdr:from>
    <xdr:to>
      <xdr:col>1</xdr:col>
      <xdr:colOff>76200</xdr:colOff>
      <xdr:row>59</xdr:row>
      <xdr:rowOff>19050</xdr:rowOff>
    </xdr:to>
    <xdr:sp macro="" textlink="">
      <xdr:nvSpPr>
        <xdr:cNvPr id="452849" name="Text Box 251"/>
        <xdr:cNvSpPr txBox="1">
          <a:spLocks noChangeArrowheads="1"/>
        </xdr:cNvSpPr>
      </xdr:nvSpPr>
      <xdr:spPr bwMode="auto">
        <a:xfrm>
          <a:off x="1209675" y="11001375"/>
          <a:ext cx="76200" cy="209550"/>
        </a:xfrm>
        <a:prstGeom prst="rect">
          <a:avLst/>
        </a:prstGeom>
        <a:noFill/>
        <a:ln w="9525">
          <a:noFill/>
          <a:miter lim="800000"/>
          <a:headEnd/>
          <a:tailEnd/>
        </a:ln>
      </xdr:spPr>
    </xdr:sp>
    <xdr:clientData/>
  </xdr:twoCellAnchor>
  <xdr:twoCellAnchor editAs="oneCell">
    <xdr:from>
      <xdr:col>1</xdr:col>
      <xdr:colOff>0</xdr:colOff>
      <xdr:row>58</xdr:row>
      <xdr:rowOff>0</xdr:rowOff>
    </xdr:from>
    <xdr:to>
      <xdr:col>1</xdr:col>
      <xdr:colOff>76200</xdr:colOff>
      <xdr:row>59</xdr:row>
      <xdr:rowOff>19050</xdr:rowOff>
    </xdr:to>
    <xdr:sp macro="" textlink="">
      <xdr:nvSpPr>
        <xdr:cNvPr id="452850" name="Text Box 252"/>
        <xdr:cNvSpPr txBox="1">
          <a:spLocks noChangeArrowheads="1"/>
        </xdr:cNvSpPr>
      </xdr:nvSpPr>
      <xdr:spPr bwMode="auto">
        <a:xfrm>
          <a:off x="1209675" y="11001375"/>
          <a:ext cx="76200" cy="209550"/>
        </a:xfrm>
        <a:prstGeom prst="rect">
          <a:avLst/>
        </a:prstGeom>
        <a:noFill/>
        <a:ln w="9525">
          <a:noFill/>
          <a:miter lim="800000"/>
          <a:headEnd/>
          <a:tailEnd/>
        </a:ln>
      </xdr:spPr>
    </xdr:sp>
    <xdr:clientData/>
  </xdr:twoCellAnchor>
  <xdr:twoCellAnchor editAs="oneCell">
    <xdr:from>
      <xdr:col>1</xdr:col>
      <xdr:colOff>0</xdr:colOff>
      <xdr:row>58</xdr:row>
      <xdr:rowOff>0</xdr:rowOff>
    </xdr:from>
    <xdr:to>
      <xdr:col>1</xdr:col>
      <xdr:colOff>76200</xdr:colOff>
      <xdr:row>59</xdr:row>
      <xdr:rowOff>19050</xdr:rowOff>
    </xdr:to>
    <xdr:sp macro="" textlink="">
      <xdr:nvSpPr>
        <xdr:cNvPr id="452851" name="Text Box 253"/>
        <xdr:cNvSpPr txBox="1">
          <a:spLocks noChangeArrowheads="1"/>
        </xdr:cNvSpPr>
      </xdr:nvSpPr>
      <xdr:spPr bwMode="auto">
        <a:xfrm>
          <a:off x="1209675" y="11001375"/>
          <a:ext cx="76200" cy="209550"/>
        </a:xfrm>
        <a:prstGeom prst="rect">
          <a:avLst/>
        </a:prstGeom>
        <a:noFill/>
        <a:ln w="9525">
          <a:noFill/>
          <a:miter lim="800000"/>
          <a:headEnd/>
          <a:tailEnd/>
        </a:ln>
      </xdr:spPr>
    </xdr:sp>
    <xdr:clientData/>
  </xdr:twoCellAnchor>
  <xdr:twoCellAnchor editAs="oneCell">
    <xdr:from>
      <xdr:col>1</xdr:col>
      <xdr:colOff>0</xdr:colOff>
      <xdr:row>58</xdr:row>
      <xdr:rowOff>0</xdr:rowOff>
    </xdr:from>
    <xdr:to>
      <xdr:col>1</xdr:col>
      <xdr:colOff>76200</xdr:colOff>
      <xdr:row>59</xdr:row>
      <xdr:rowOff>19050</xdr:rowOff>
    </xdr:to>
    <xdr:sp macro="" textlink="">
      <xdr:nvSpPr>
        <xdr:cNvPr id="452852" name="Text Box 254"/>
        <xdr:cNvSpPr txBox="1">
          <a:spLocks noChangeArrowheads="1"/>
        </xdr:cNvSpPr>
      </xdr:nvSpPr>
      <xdr:spPr bwMode="auto">
        <a:xfrm>
          <a:off x="1209675" y="11001375"/>
          <a:ext cx="76200" cy="209550"/>
        </a:xfrm>
        <a:prstGeom prst="rect">
          <a:avLst/>
        </a:prstGeom>
        <a:noFill/>
        <a:ln w="9525">
          <a:noFill/>
          <a:miter lim="800000"/>
          <a:headEnd/>
          <a:tailEnd/>
        </a:ln>
      </xdr:spPr>
    </xdr:sp>
    <xdr:clientData/>
  </xdr:twoCellAnchor>
  <xdr:twoCellAnchor editAs="oneCell">
    <xdr:from>
      <xdr:col>1</xdr:col>
      <xdr:colOff>0</xdr:colOff>
      <xdr:row>59</xdr:row>
      <xdr:rowOff>0</xdr:rowOff>
    </xdr:from>
    <xdr:to>
      <xdr:col>1</xdr:col>
      <xdr:colOff>76200</xdr:colOff>
      <xdr:row>60</xdr:row>
      <xdr:rowOff>19050</xdr:rowOff>
    </xdr:to>
    <xdr:sp macro="" textlink="">
      <xdr:nvSpPr>
        <xdr:cNvPr id="452853" name="Text Box 255"/>
        <xdr:cNvSpPr txBox="1">
          <a:spLocks noChangeArrowheads="1"/>
        </xdr:cNvSpPr>
      </xdr:nvSpPr>
      <xdr:spPr bwMode="auto">
        <a:xfrm>
          <a:off x="1209675" y="11191875"/>
          <a:ext cx="76200" cy="209550"/>
        </a:xfrm>
        <a:prstGeom prst="rect">
          <a:avLst/>
        </a:prstGeom>
        <a:noFill/>
        <a:ln w="9525">
          <a:noFill/>
          <a:miter lim="800000"/>
          <a:headEnd/>
          <a:tailEnd/>
        </a:ln>
      </xdr:spPr>
    </xdr:sp>
    <xdr:clientData/>
  </xdr:twoCellAnchor>
  <xdr:twoCellAnchor editAs="oneCell">
    <xdr:from>
      <xdr:col>1</xdr:col>
      <xdr:colOff>0</xdr:colOff>
      <xdr:row>59</xdr:row>
      <xdr:rowOff>0</xdr:rowOff>
    </xdr:from>
    <xdr:to>
      <xdr:col>1</xdr:col>
      <xdr:colOff>76200</xdr:colOff>
      <xdr:row>60</xdr:row>
      <xdr:rowOff>19050</xdr:rowOff>
    </xdr:to>
    <xdr:sp macro="" textlink="">
      <xdr:nvSpPr>
        <xdr:cNvPr id="452854" name="Text Box 256"/>
        <xdr:cNvSpPr txBox="1">
          <a:spLocks noChangeArrowheads="1"/>
        </xdr:cNvSpPr>
      </xdr:nvSpPr>
      <xdr:spPr bwMode="auto">
        <a:xfrm>
          <a:off x="1209675" y="11191875"/>
          <a:ext cx="76200" cy="209550"/>
        </a:xfrm>
        <a:prstGeom prst="rect">
          <a:avLst/>
        </a:prstGeom>
        <a:noFill/>
        <a:ln w="9525">
          <a:noFill/>
          <a:miter lim="800000"/>
          <a:headEnd/>
          <a:tailEnd/>
        </a:ln>
      </xdr:spPr>
    </xdr:sp>
    <xdr:clientData/>
  </xdr:twoCellAnchor>
  <xdr:twoCellAnchor editAs="oneCell">
    <xdr:from>
      <xdr:col>1</xdr:col>
      <xdr:colOff>0</xdr:colOff>
      <xdr:row>59</xdr:row>
      <xdr:rowOff>0</xdr:rowOff>
    </xdr:from>
    <xdr:to>
      <xdr:col>1</xdr:col>
      <xdr:colOff>76200</xdr:colOff>
      <xdr:row>60</xdr:row>
      <xdr:rowOff>19050</xdr:rowOff>
    </xdr:to>
    <xdr:sp macro="" textlink="">
      <xdr:nvSpPr>
        <xdr:cNvPr id="452855" name="Text Box 257"/>
        <xdr:cNvSpPr txBox="1">
          <a:spLocks noChangeArrowheads="1"/>
        </xdr:cNvSpPr>
      </xdr:nvSpPr>
      <xdr:spPr bwMode="auto">
        <a:xfrm>
          <a:off x="1209675" y="11191875"/>
          <a:ext cx="76200" cy="209550"/>
        </a:xfrm>
        <a:prstGeom prst="rect">
          <a:avLst/>
        </a:prstGeom>
        <a:noFill/>
        <a:ln w="9525">
          <a:noFill/>
          <a:miter lim="800000"/>
          <a:headEnd/>
          <a:tailEnd/>
        </a:ln>
      </xdr:spPr>
    </xdr:sp>
    <xdr:clientData/>
  </xdr:twoCellAnchor>
  <xdr:twoCellAnchor editAs="oneCell">
    <xdr:from>
      <xdr:col>1</xdr:col>
      <xdr:colOff>0</xdr:colOff>
      <xdr:row>59</xdr:row>
      <xdr:rowOff>0</xdr:rowOff>
    </xdr:from>
    <xdr:to>
      <xdr:col>1</xdr:col>
      <xdr:colOff>76200</xdr:colOff>
      <xdr:row>60</xdr:row>
      <xdr:rowOff>19050</xdr:rowOff>
    </xdr:to>
    <xdr:sp macro="" textlink="">
      <xdr:nvSpPr>
        <xdr:cNvPr id="452856" name="Text Box 258"/>
        <xdr:cNvSpPr txBox="1">
          <a:spLocks noChangeArrowheads="1"/>
        </xdr:cNvSpPr>
      </xdr:nvSpPr>
      <xdr:spPr bwMode="auto">
        <a:xfrm>
          <a:off x="1209675" y="111918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19050</xdr:rowOff>
    </xdr:to>
    <xdr:sp macro="" textlink="">
      <xdr:nvSpPr>
        <xdr:cNvPr id="452857" name="Text Box 259"/>
        <xdr:cNvSpPr txBox="1">
          <a:spLocks noChangeArrowheads="1"/>
        </xdr:cNvSpPr>
      </xdr:nvSpPr>
      <xdr:spPr bwMode="auto">
        <a:xfrm>
          <a:off x="1209675" y="113823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19050</xdr:rowOff>
    </xdr:to>
    <xdr:sp macro="" textlink="">
      <xdr:nvSpPr>
        <xdr:cNvPr id="452858" name="Text Box 260"/>
        <xdr:cNvSpPr txBox="1">
          <a:spLocks noChangeArrowheads="1"/>
        </xdr:cNvSpPr>
      </xdr:nvSpPr>
      <xdr:spPr bwMode="auto">
        <a:xfrm>
          <a:off x="1209675" y="113823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19050</xdr:rowOff>
    </xdr:to>
    <xdr:sp macro="" textlink="">
      <xdr:nvSpPr>
        <xdr:cNvPr id="452859" name="Text Box 261"/>
        <xdr:cNvSpPr txBox="1">
          <a:spLocks noChangeArrowheads="1"/>
        </xdr:cNvSpPr>
      </xdr:nvSpPr>
      <xdr:spPr bwMode="auto">
        <a:xfrm>
          <a:off x="1209675" y="113823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19050</xdr:rowOff>
    </xdr:to>
    <xdr:sp macro="" textlink="">
      <xdr:nvSpPr>
        <xdr:cNvPr id="452860" name="Text Box 262"/>
        <xdr:cNvSpPr txBox="1">
          <a:spLocks noChangeArrowheads="1"/>
        </xdr:cNvSpPr>
      </xdr:nvSpPr>
      <xdr:spPr bwMode="auto">
        <a:xfrm>
          <a:off x="1209675" y="113823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19050</xdr:rowOff>
    </xdr:to>
    <xdr:sp macro="" textlink="">
      <xdr:nvSpPr>
        <xdr:cNvPr id="452861" name="Text Box 263"/>
        <xdr:cNvSpPr txBox="1">
          <a:spLocks noChangeArrowheads="1"/>
        </xdr:cNvSpPr>
      </xdr:nvSpPr>
      <xdr:spPr bwMode="auto">
        <a:xfrm>
          <a:off x="1209675" y="115728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19050</xdr:rowOff>
    </xdr:to>
    <xdr:sp macro="" textlink="">
      <xdr:nvSpPr>
        <xdr:cNvPr id="452862" name="Text Box 264"/>
        <xdr:cNvSpPr txBox="1">
          <a:spLocks noChangeArrowheads="1"/>
        </xdr:cNvSpPr>
      </xdr:nvSpPr>
      <xdr:spPr bwMode="auto">
        <a:xfrm>
          <a:off x="1209675" y="115728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19050</xdr:rowOff>
    </xdr:to>
    <xdr:sp macro="" textlink="">
      <xdr:nvSpPr>
        <xdr:cNvPr id="452863" name="Text Box 265"/>
        <xdr:cNvSpPr txBox="1">
          <a:spLocks noChangeArrowheads="1"/>
        </xdr:cNvSpPr>
      </xdr:nvSpPr>
      <xdr:spPr bwMode="auto">
        <a:xfrm>
          <a:off x="1209675" y="115728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19050</xdr:rowOff>
    </xdr:to>
    <xdr:sp macro="" textlink="">
      <xdr:nvSpPr>
        <xdr:cNvPr id="452864" name="Text Box 266"/>
        <xdr:cNvSpPr txBox="1">
          <a:spLocks noChangeArrowheads="1"/>
        </xdr:cNvSpPr>
      </xdr:nvSpPr>
      <xdr:spPr bwMode="auto">
        <a:xfrm>
          <a:off x="1209675" y="11572875"/>
          <a:ext cx="76200" cy="209550"/>
        </a:xfrm>
        <a:prstGeom prst="rect">
          <a:avLst/>
        </a:prstGeom>
        <a:noFill/>
        <a:ln w="9525">
          <a:noFill/>
          <a:miter lim="800000"/>
          <a:headEnd/>
          <a:tailEnd/>
        </a:ln>
      </xdr:spPr>
    </xdr:sp>
    <xdr:clientData/>
  </xdr:twoCellAnchor>
  <xdr:twoCellAnchor editAs="oneCell">
    <xdr:from>
      <xdr:col>1</xdr:col>
      <xdr:colOff>0</xdr:colOff>
      <xdr:row>62</xdr:row>
      <xdr:rowOff>0</xdr:rowOff>
    </xdr:from>
    <xdr:to>
      <xdr:col>1</xdr:col>
      <xdr:colOff>76200</xdr:colOff>
      <xdr:row>63</xdr:row>
      <xdr:rowOff>19050</xdr:rowOff>
    </xdr:to>
    <xdr:sp macro="" textlink="">
      <xdr:nvSpPr>
        <xdr:cNvPr id="452865" name="Text Box 267"/>
        <xdr:cNvSpPr txBox="1">
          <a:spLocks noChangeArrowheads="1"/>
        </xdr:cNvSpPr>
      </xdr:nvSpPr>
      <xdr:spPr bwMode="auto">
        <a:xfrm>
          <a:off x="1209675" y="11763375"/>
          <a:ext cx="76200" cy="209550"/>
        </a:xfrm>
        <a:prstGeom prst="rect">
          <a:avLst/>
        </a:prstGeom>
        <a:noFill/>
        <a:ln w="9525">
          <a:noFill/>
          <a:miter lim="800000"/>
          <a:headEnd/>
          <a:tailEnd/>
        </a:ln>
      </xdr:spPr>
    </xdr:sp>
    <xdr:clientData/>
  </xdr:twoCellAnchor>
  <xdr:twoCellAnchor editAs="oneCell">
    <xdr:from>
      <xdr:col>1</xdr:col>
      <xdr:colOff>0</xdr:colOff>
      <xdr:row>62</xdr:row>
      <xdr:rowOff>0</xdr:rowOff>
    </xdr:from>
    <xdr:to>
      <xdr:col>1</xdr:col>
      <xdr:colOff>76200</xdr:colOff>
      <xdr:row>63</xdr:row>
      <xdr:rowOff>19050</xdr:rowOff>
    </xdr:to>
    <xdr:sp macro="" textlink="">
      <xdr:nvSpPr>
        <xdr:cNvPr id="452866" name="Text Box 268"/>
        <xdr:cNvSpPr txBox="1">
          <a:spLocks noChangeArrowheads="1"/>
        </xdr:cNvSpPr>
      </xdr:nvSpPr>
      <xdr:spPr bwMode="auto">
        <a:xfrm>
          <a:off x="1209675" y="11763375"/>
          <a:ext cx="76200" cy="209550"/>
        </a:xfrm>
        <a:prstGeom prst="rect">
          <a:avLst/>
        </a:prstGeom>
        <a:noFill/>
        <a:ln w="9525">
          <a:noFill/>
          <a:miter lim="800000"/>
          <a:headEnd/>
          <a:tailEnd/>
        </a:ln>
      </xdr:spPr>
    </xdr:sp>
    <xdr:clientData/>
  </xdr:twoCellAnchor>
  <xdr:twoCellAnchor editAs="oneCell">
    <xdr:from>
      <xdr:col>1</xdr:col>
      <xdr:colOff>0</xdr:colOff>
      <xdr:row>62</xdr:row>
      <xdr:rowOff>0</xdr:rowOff>
    </xdr:from>
    <xdr:to>
      <xdr:col>1</xdr:col>
      <xdr:colOff>76200</xdr:colOff>
      <xdr:row>63</xdr:row>
      <xdr:rowOff>19050</xdr:rowOff>
    </xdr:to>
    <xdr:sp macro="" textlink="">
      <xdr:nvSpPr>
        <xdr:cNvPr id="452867" name="Text Box 269"/>
        <xdr:cNvSpPr txBox="1">
          <a:spLocks noChangeArrowheads="1"/>
        </xdr:cNvSpPr>
      </xdr:nvSpPr>
      <xdr:spPr bwMode="auto">
        <a:xfrm>
          <a:off x="1209675" y="11763375"/>
          <a:ext cx="76200" cy="209550"/>
        </a:xfrm>
        <a:prstGeom prst="rect">
          <a:avLst/>
        </a:prstGeom>
        <a:noFill/>
        <a:ln w="9525">
          <a:noFill/>
          <a:miter lim="800000"/>
          <a:headEnd/>
          <a:tailEnd/>
        </a:ln>
      </xdr:spPr>
    </xdr:sp>
    <xdr:clientData/>
  </xdr:twoCellAnchor>
  <xdr:twoCellAnchor editAs="oneCell">
    <xdr:from>
      <xdr:col>1</xdr:col>
      <xdr:colOff>0</xdr:colOff>
      <xdr:row>62</xdr:row>
      <xdr:rowOff>0</xdr:rowOff>
    </xdr:from>
    <xdr:to>
      <xdr:col>1</xdr:col>
      <xdr:colOff>76200</xdr:colOff>
      <xdr:row>63</xdr:row>
      <xdr:rowOff>19050</xdr:rowOff>
    </xdr:to>
    <xdr:sp macro="" textlink="">
      <xdr:nvSpPr>
        <xdr:cNvPr id="452868" name="Text Box 270"/>
        <xdr:cNvSpPr txBox="1">
          <a:spLocks noChangeArrowheads="1"/>
        </xdr:cNvSpPr>
      </xdr:nvSpPr>
      <xdr:spPr bwMode="auto">
        <a:xfrm>
          <a:off x="1209675" y="11763375"/>
          <a:ext cx="76200" cy="209550"/>
        </a:xfrm>
        <a:prstGeom prst="rect">
          <a:avLst/>
        </a:prstGeom>
        <a:noFill/>
        <a:ln w="9525">
          <a:noFill/>
          <a:miter lim="800000"/>
          <a:headEnd/>
          <a:tailEnd/>
        </a:ln>
      </xdr:spPr>
    </xdr:sp>
    <xdr:clientData/>
  </xdr:twoCellAnchor>
  <xdr:twoCellAnchor editAs="oneCell">
    <xdr:from>
      <xdr:col>1</xdr:col>
      <xdr:colOff>0</xdr:colOff>
      <xdr:row>63</xdr:row>
      <xdr:rowOff>0</xdr:rowOff>
    </xdr:from>
    <xdr:to>
      <xdr:col>1</xdr:col>
      <xdr:colOff>76200</xdr:colOff>
      <xdr:row>64</xdr:row>
      <xdr:rowOff>19050</xdr:rowOff>
    </xdr:to>
    <xdr:sp macro="" textlink="">
      <xdr:nvSpPr>
        <xdr:cNvPr id="452869" name="Text Box 271"/>
        <xdr:cNvSpPr txBox="1">
          <a:spLocks noChangeArrowheads="1"/>
        </xdr:cNvSpPr>
      </xdr:nvSpPr>
      <xdr:spPr bwMode="auto">
        <a:xfrm>
          <a:off x="1209675" y="11953875"/>
          <a:ext cx="76200" cy="209550"/>
        </a:xfrm>
        <a:prstGeom prst="rect">
          <a:avLst/>
        </a:prstGeom>
        <a:noFill/>
        <a:ln w="9525">
          <a:noFill/>
          <a:miter lim="800000"/>
          <a:headEnd/>
          <a:tailEnd/>
        </a:ln>
      </xdr:spPr>
    </xdr:sp>
    <xdr:clientData/>
  </xdr:twoCellAnchor>
  <xdr:twoCellAnchor editAs="oneCell">
    <xdr:from>
      <xdr:col>1</xdr:col>
      <xdr:colOff>0</xdr:colOff>
      <xdr:row>63</xdr:row>
      <xdr:rowOff>0</xdr:rowOff>
    </xdr:from>
    <xdr:to>
      <xdr:col>1</xdr:col>
      <xdr:colOff>76200</xdr:colOff>
      <xdr:row>64</xdr:row>
      <xdr:rowOff>19050</xdr:rowOff>
    </xdr:to>
    <xdr:sp macro="" textlink="">
      <xdr:nvSpPr>
        <xdr:cNvPr id="452870" name="Text Box 272"/>
        <xdr:cNvSpPr txBox="1">
          <a:spLocks noChangeArrowheads="1"/>
        </xdr:cNvSpPr>
      </xdr:nvSpPr>
      <xdr:spPr bwMode="auto">
        <a:xfrm>
          <a:off x="1209675" y="11953875"/>
          <a:ext cx="76200" cy="209550"/>
        </a:xfrm>
        <a:prstGeom prst="rect">
          <a:avLst/>
        </a:prstGeom>
        <a:noFill/>
        <a:ln w="9525">
          <a:noFill/>
          <a:miter lim="800000"/>
          <a:headEnd/>
          <a:tailEnd/>
        </a:ln>
      </xdr:spPr>
    </xdr:sp>
    <xdr:clientData/>
  </xdr:twoCellAnchor>
  <xdr:twoCellAnchor editAs="oneCell">
    <xdr:from>
      <xdr:col>1</xdr:col>
      <xdr:colOff>0</xdr:colOff>
      <xdr:row>63</xdr:row>
      <xdr:rowOff>0</xdr:rowOff>
    </xdr:from>
    <xdr:to>
      <xdr:col>1</xdr:col>
      <xdr:colOff>76200</xdr:colOff>
      <xdr:row>64</xdr:row>
      <xdr:rowOff>19050</xdr:rowOff>
    </xdr:to>
    <xdr:sp macro="" textlink="">
      <xdr:nvSpPr>
        <xdr:cNvPr id="452871" name="Text Box 273"/>
        <xdr:cNvSpPr txBox="1">
          <a:spLocks noChangeArrowheads="1"/>
        </xdr:cNvSpPr>
      </xdr:nvSpPr>
      <xdr:spPr bwMode="auto">
        <a:xfrm>
          <a:off x="1209675" y="11953875"/>
          <a:ext cx="76200" cy="209550"/>
        </a:xfrm>
        <a:prstGeom prst="rect">
          <a:avLst/>
        </a:prstGeom>
        <a:noFill/>
        <a:ln w="9525">
          <a:noFill/>
          <a:miter lim="800000"/>
          <a:headEnd/>
          <a:tailEnd/>
        </a:ln>
      </xdr:spPr>
    </xdr:sp>
    <xdr:clientData/>
  </xdr:twoCellAnchor>
  <xdr:twoCellAnchor editAs="oneCell">
    <xdr:from>
      <xdr:col>1</xdr:col>
      <xdr:colOff>0</xdr:colOff>
      <xdr:row>63</xdr:row>
      <xdr:rowOff>0</xdr:rowOff>
    </xdr:from>
    <xdr:to>
      <xdr:col>1</xdr:col>
      <xdr:colOff>76200</xdr:colOff>
      <xdr:row>64</xdr:row>
      <xdr:rowOff>19050</xdr:rowOff>
    </xdr:to>
    <xdr:sp macro="" textlink="">
      <xdr:nvSpPr>
        <xdr:cNvPr id="452872" name="Text Box 274"/>
        <xdr:cNvSpPr txBox="1">
          <a:spLocks noChangeArrowheads="1"/>
        </xdr:cNvSpPr>
      </xdr:nvSpPr>
      <xdr:spPr bwMode="auto">
        <a:xfrm>
          <a:off x="1209675" y="11953875"/>
          <a:ext cx="76200" cy="209550"/>
        </a:xfrm>
        <a:prstGeom prst="rect">
          <a:avLst/>
        </a:prstGeom>
        <a:noFill/>
        <a:ln w="9525">
          <a:noFill/>
          <a:miter lim="800000"/>
          <a:headEnd/>
          <a:tailEnd/>
        </a:ln>
      </xdr:spPr>
    </xdr:sp>
    <xdr:clientData/>
  </xdr:twoCellAnchor>
  <xdr:twoCellAnchor editAs="oneCell">
    <xdr:from>
      <xdr:col>1</xdr:col>
      <xdr:colOff>0</xdr:colOff>
      <xdr:row>64</xdr:row>
      <xdr:rowOff>0</xdr:rowOff>
    </xdr:from>
    <xdr:to>
      <xdr:col>1</xdr:col>
      <xdr:colOff>76200</xdr:colOff>
      <xdr:row>65</xdr:row>
      <xdr:rowOff>19050</xdr:rowOff>
    </xdr:to>
    <xdr:sp macro="" textlink="">
      <xdr:nvSpPr>
        <xdr:cNvPr id="452873" name="Text Box 275"/>
        <xdr:cNvSpPr txBox="1">
          <a:spLocks noChangeArrowheads="1"/>
        </xdr:cNvSpPr>
      </xdr:nvSpPr>
      <xdr:spPr bwMode="auto">
        <a:xfrm>
          <a:off x="1209675" y="12144375"/>
          <a:ext cx="76200" cy="209550"/>
        </a:xfrm>
        <a:prstGeom prst="rect">
          <a:avLst/>
        </a:prstGeom>
        <a:noFill/>
        <a:ln w="9525">
          <a:noFill/>
          <a:miter lim="800000"/>
          <a:headEnd/>
          <a:tailEnd/>
        </a:ln>
      </xdr:spPr>
    </xdr:sp>
    <xdr:clientData/>
  </xdr:twoCellAnchor>
  <xdr:twoCellAnchor editAs="oneCell">
    <xdr:from>
      <xdr:col>1</xdr:col>
      <xdr:colOff>0</xdr:colOff>
      <xdr:row>64</xdr:row>
      <xdr:rowOff>0</xdr:rowOff>
    </xdr:from>
    <xdr:to>
      <xdr:col>1</xdr:col>
      <xdr:colOff>76200</xdr:colOff>
      <xdr:row>65</xdr:row>
      <xdr:rowOff>19050</xdr:rowOff>
    </xdr:to>
    <xdr:sp macro="" textlink="">
      <xdr:nvSpPr>
        <xdr:cNvPr id="452874" name="Text Box 276"/>
        <xdr:cNvSpPr txBox="1">
          <a:spLocks noChangeArrowheads="1"/>
        </xdr:cNvSpPr>
      </xdr:nvSpPr>
      <xdr:spPr bwMode="auto">
        <a:xfrm>
          <a:off x="1209675" y="12144375"/>
          <a:ext cx="76200" cy="209550"/>
        </a:xfrm>
        <a:prstGeom prst="rect">
          <a:avLst/>
        </a:prstGeom>
        <a:noFill/>
        <a:ln w="9525">
          <a:noFill/>
          <a:miter lim="800000"/>
          <a:headEnd/>
          <a:tailEnd/>
        </a:ln>
      </xdr:spPr>
    </xdr:sp>
    <xdr:clientData/>
  </xdr:twoCellAnchor>
  <xdr:twoCellAnchor editAs="oneCell">
    <xdr:from>
      <xdr:col>1</xdr:col>
      <xdr:colOff>0</xdr:colOff>
      <xdr:row>64</xdr:row>
      <xdr:rowOff>0</xdr:rowOff>
    </xdr:from>
    <xdr:to>
      <xdr:col>1</xdr:col>
      <xdr:colOff>76200</xdr:colOff>
      <xdr:row>65</xdr:row>
      <xdr:rowOff>19050</xdr:rowOff>
    </xdr:to>
    <xdr:sp macro="" textlink="">
      <xdr:nvSpPr>
        <xdr:cNvPr id="452875" name="Text Box 277"/>
        <xdr:cNvSpPr txBox="1">
          <a:spLocks noChangeArrowheads="1"/>
        </xdr:cNvSpPr>
      </xdr:nvSpPr>
      <xdr:spPr bwMode="auto">
        <a:xfrm>
          <a:off x="1209675" y="12144375"/>
          <a:ext cx="76200" cy="209550"/>
        </a:xfrm>
        <a:prstGeom prst="rect">
          <a:avLst/>
        </a:prstGeom>
        <a:noFill/>
        <a:ln w="9525">
          <a:noFill/>
          <a:miter lim="800000"/>
          <a:headEnd/>
          <a:tailEnd/>
        </a:ln>
      </xdr:spPr>
    </xdr:sp>
    <xdr:clientData/>
  </xdr:twoCellAnchor>
  <xdr:twoCellAnchor editAs="oneCell">
    <xdr:from>
      <xdr:col>1</xdr:col>
      <xdr:colOff>0</xdr:colOff>
      <xdr:row>64</xdr:row>
      <xdr:rowOff>0</xdr:rowOff>
    </xdr:from>
    <xdr:to>
      <xdr:col>1</xdr:col>
      <xdr:colOff>76200</xdr:colOff>
      <xdr:row>65</xdr:row>
      <xdr:rowOff>19050</xdr:rowOff>
    </xdr:to>
    <xdr:sp macro="" textlink="">
      <xdr:nvSpPr>
        <xdr:cNvPr id="452876" name="Text Box 278"/>
        <xdr:cNvSpPr txBox="1">
          <a:spLocks noChangeArrowheads="1"/>
        </xdr:cNvSpPr>
      </xdr:nvSpPr>
      <xdr:spPr bwMode="auto">
        <a:xfrm>
          <a:off x="1209675" y="12144375"/>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66</xdr:row>
      <xdr:rowOff>19050</xdr:rowOff>
    </xdr:to>
    <xdr:sp macro="" textlink="">
      <xdr:nvSpPr>
        <xdr:cNvPr id="452877" name="Text Box 279"/>
        <xdr:cNvSpPr txBox="1">
          <a:spLocks noChangeArrowheads="1"/>
        </xdr:cNvSpPr>
      </xdr:nvSpPr>
      <xdr:spPr bwMode="auto">
        <a:xfrm>
          <a:off x="1209675" y="12334875"/>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66</xdr:row>
      <xdr:rowOff>19050</xdr:rowOff>
    </xdr:to>
    <xdr:sp macro="" textlink="">
      <xdr:nvSpPr>
        <xdr:cNvPr id="452878" name="Text Box 280"/>
        <xdr:cNvSpPr txBox="1">
          <a:spLocks noChangeArrowheads="1"/>
        </xdr:cNvSpPr>
      </xdr:nvSpPr>
      <xdr:spPr bwMode="auto">
        <a:xfrm>
          <a:off x="1209675" y="12334875"/>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66</xdr:row>
      <xdr:rowOff>19050</xdr:rowOff>
    </xdr:to>
    <xdr:sp macro="" textlink="">
      <xdr:nvSpPr>
        <xdr:cNvPr id="452879" name="Text Box 281"/>
        <xdr:cNvSpPr txBox="1">
          <a:spLocks noChangeArrowheads="1"/>
        </xdr:cNvSpPr>
      </xdr:nvSpPr>
      <xdr:spPr bwMode="auto">
        <a:xfrm>
          <a:off x="1209675" y="12334875"/>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66</xdr:row>
      <xdr:rowOff>19050</xdr:rowOff>
    </xdr:to>
    <xdr:sp macro="" textlink="">
      <xdr:nvSpPr>
        <xdr:cNvPr id="452880" name="Text Box 282"/>
        <xdr:cNvSpPr txBox="1">
          <a:spLocks noChangeArrowheads="1"/>
        </xdr:cNvSpPr>
      </xdr:nvSpPr>
      <xdr:spPr bwMode="auto">
        <a:xfrm>
          <a:off x="1209675" y="12334875"/>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19050</xdr:rowOff>
    </xdr:to>
    <xdr:sp macro="" textlink="">
      <xdr:nvSpPr>
        <xdr:cNvPr id="452881" name="Text Box 283"/>
        <xdr:cNvSpPr txBox="1">
          <a:spLocks noChangeArrowheads="1"/>
        </xdr:cNvSpPr>
      </xdr:nvSpPr>
      <xdr:spPr bwMode="auto">
        <a:xfrm>
          <a:off x="1209675" y="12525375"/>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19050</xdr:rowOff>
    </xdr:to>
    <xdr:sp macro="" textlink="">
      <xdr:nvSpPr>
        <xdr:cNvPr id="452882" name="Text Box 284"/>
        <xdr:cNvSpPr txBox="1">
          <a:spLocks noChangeArrowheads="1"/>
        </xdr:cNvSpPr>
      </xdr:nvSpPr>
      <xdr:spPr bwMode="auto">
        <a:xfrm>
          <a:off x="1209675" y="12525375"/>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19050</xdr:rowOff>
    </xdr:to>
    <xdr:sp macro="" textlink="">
      <xdr:nvSpPr>
        <xdr:cNvPr id="452883" name="Text Box 285"/>
        <xdr:cNvSpPr txBox="1">
          <a:spLocks noChangeArrowheads="1"/>
        </xdr:cNvSpPr>
      </xdr:nvSpPr>
      <xdr:spPr bwMode="auto">
        <a:xfrm>
          <a:off x="1209675" y="12525375"/>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19050</xdr:rowOff>
    </xdr:to>
    <xdr:sp macro="" textlink="">
      <xdr:nvSpPr>
        <xdr:cNvPr id="452884" name="Text Box 286"/>
        <xdr:cNvSpPr txBox="1">
          <a:spLocks noChangeArrowheads="1"/>
        </xdr:cNvSpPr>
      </xdr:nvSpPr>
      <xdr:spPr bwMode="auto">
        <a:xfrm>
          <a:off x="1209675" y="12525375"/>
          <a:ext cx="76200" cy="209550"/>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19050</xdr:rowOff>
    </xdr:to>
    <xdr:sp macro="" textlink="">
      <xdr:nvSpPr>
        <xdr:cNvPr id="452885" name="Text Box 287"/>
        <xdr:cNvSpPr txBox="1">
          <a:spLocks noChangeArrowheads="1"/>
        </xdr:cNvSpPr>
      </xdr:nvSpPr>
      <xdr:spPr bwMode="auto">
        <a:xfrm>
          <a:off x="1209675" y="12715875"/>
          <a:ext cx="76200" cy="209550"/>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19050</xdr:rowOff>
    </xdr:to>
    <xdr:sp macro="" textlink="">
      <xdr:nvSpPr>
        <xdr:cNvPr id="452886" name="Text Box 288"/>
        <xdr:cNvSpPr txBox="1">
          <a:spLocks noChangeArrowheads="1"/>
        </xdr:cNvSpPr>
      </xdr:nvSpPr>
      <xdr:spPr bwMode="auto">
        <a:xfrm>
          <a:off x="1209675" y="12715875"/>
          <a:ext cx="76200" cy="209550"/>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19050</xdr:rowOff>
    </xdr:to>
    <xdr:sp macro="" textlink="">
      <xdr:nvSpPr>
        <xdr:cNvPr id="452887" name="Text Box 289"/>
        <xdr:cNvSpPr txBox="1">
          <a:spLocks noChangeArrowheads="1"/>
        </xdr:cNvSpPr>
      </xdr:nvSpPr>
      <xdr:spPr bwMode="auto">
        <a:xfrm>
          <a:off x="1209675" y="12715875"/>
          <a:ext cx="76200" cy="209550"/>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19050</xdr:rowOff>
    </xdr:to>
    <xdr:sp macro="" textlink="">
      <xdr:nvSpPr>
        <xdr:cNvPr id="452888" name="Text Box 290"/>
        <xdr:cNvSpPr txBox="1">
          <a:spLocks noChangeArrowheads="1"/>
        </xdr:cNvSpPr>
      </xdr:nvSpPr>
      <xdr:spPr bwMode="auto">
        <a:xfrm>
          <a:off x="1209675" y="12715875"/>
          <a:ext cx="76200" cy="209550"/>
        </a:xfrm>
        <a:prstGeom prst="rect">
          <a:avLst/>
        </a:prstGeom>
        <a:noFill/>
        <a:ln w="9525">
          <a:noFill/>
          <a:miter lim="800000"/>
          <a:headEnd/>
          <a:tailEnd/>
        </a:ln>
      </xdr:spPr>
    </xdr:sp>
    <xdr:clientData/>
  </xdr:twoCellAnchor>
  <xdr:twoCellAnchor editAs="oneCell">
    <xdr:from>
      <xdr:col>1</xdr:col>
      <xdr:colOff>0</xdr:colOff>
      <xdr:row>68</xdr:row>
      <xdr:rowOff>0</xdr:rowOff>
    </xdr:from>
    <xdr:to>
      <xdr:col>1</xdr:col>
      <xdr:colOff>76200</xdr:colOff>
      <xdr:row>69</xdr:row>
      <xdr:rowOff>19050</xdr:rowOff>
    </xdr:to>
    <xdr:sp macro="" textlink="">
      <xdr:nvSpPr>
        <xdr:cNvPr id="452889" name="Text Box 291"/>
        <xdr:cNvSpPr txBox="1">
          <a:spLocks noChangeArrowheads="1"/>
        </xdr:cNvSpPr>
      </xdr:nvSpPr>
      <xdr:spPr bwMode="auto">
        <a:xfrm>
          <a:off x="1209675" y="12906375"/>
          <a:ext cx="76200" cy="209550"/>
        </a:xfrm>
        <a:prstGeom prst="rect">
          <a:avLst/>
        </a:prstGeom>
        <a:noFill/>
        <a:ln w="9525">
          <a:noFill/>
          <a:miter lim="800000"/>
          <a:headEnd/>
          <a:tailEnd/>
        </a:ln>
      </xdr:spPr>
    </xdr:sp>
    <xdr:clientData/>
  </xdr:twoCellAnchor>
  <xdr:twoCellAnchor editAs="oneCell">
    <xdr:from>
      <xdr:col>1</xdr:col>
      <xdr:colOff>0</xdr:colOff>
      <xdr:row>68</xdr:row>
      <xdr:rowOff>0</xdr:rowOff>
    </xdr:from>
    <xdr:to>
      <xdr:col>1</xdr:col>
      <xdr:colOff>76200</xdr:colOff>
      <xdr:row>69</xdr:row>
      <xdr:rowOff>19050</xdr:rowOff>
    </xdr:to>
    <xdr:sp macro="" textlink="">
      <xdr:nvSpPr>
        <xdr:cNvPr id="452890" name="Text Box 292"/>
        <xdr:cNvSpPr txBox="1">
          <a:spLocks noChangeArrowheads="1"/>
        </xdr:cNvSpPr>
      </xdr:nvSpPr>
      <xdr:spPr bwMode="auto">
        <a:xfrm>
          <a:off x="1209675" y="12906375"/>
          <a:ext cx="76200" cy="209550"/>
        </a:xfrm>
        <a:prstGeom prst="rect">
          <a:avLst/>
        </a:prstGeom>
        <a:noFill/>
        <a:ln w="9525">
          <a:noFill/>
          <a:miter lim="800000"/>
          <a:headEnd/>
          <a:tailEnd/>
        </a:ln>
      </xdr:spPr>
    </xdr:sp>
    <xdr:clientData/>
  </xdr:twoCellAnchor>
  <xdr:twoCellAnchor editAs="oneCell">
    <xdr:from>
      <xdr:col>1</xdr:col>
      <xdr:colOff>0</xdr:colOff>
      <xdr:row>68</xdr:row>
      <xdr:rowOff>0</xdr:rowOff>
    </xdr:from>
    <xdr:to>
      <xdr:col>1</xdr:col>
      <xdr:colOff>76200</xdr:colOff>
      <xdr:row>69</xdr:row>
      <xdr:rowOff>19050</xdr:rowOff>
    </xdr:to>
    <xdr:sp macro="" textlink="">
      <xdr:nvSpPr>
        <xdr:cNvPr id="452891" name="Text Box 293"/>
        <xdr:cNvSpPr txBox="1">
          <a:spLocks noChangeArrowheads="1"/>
        </xdr:cNvSpPr>
      </xdr:nvSpPr>
      <xdr:spPr bwMode="auto">
        <a:xfrm>
          <a:off x="1209675" y="12906375"/>
          <a:ext cx="76200" cy="209550"/>
        </a:xfrm>
        <a:prstGeom prst="rect">
          <a:avLst/>
        </a:prstGeom>
        <a:noFill/>
        <a:ln w="9525">
          <a:noFill/>
          <a:miter lim="800000"/>
          <a:headEnd/>
          <a:tailEnd/>
        </a:ln>
      </xdr:spPr>
    </xdr:sp>
    <xdr:clientData/>
  </xdr:twoCellAnchor>
  <xdr:twoCellAnchor editAs="oneCell">
    <xdr:from>
      <xdr:col>1</xdr:col>
      <xdr:colOff>0</xdr:colOff>
      <xdr:row>68</xdr:row>
      <xdr:rowOff>0</xdr:rowOff>
    </xdr:from>
    <xdr:to>
      <xdr:col>1</xdr:col>
      <xdr:colOff>76200</xdr:colOff>
      <xdr:row>69</xdr:row>
      <xdr:rowOff>19050</xdr:rowOff>
    </xdr:to>
    <xdr:sp macro="" textlink="">
      <xdr:nvSpPr>
        <xdr:cNvPr id="452892" name="Text Box 294"/>
        <xdr:cNvSpPr txBox="1">
          <a:spLocks noChangeArrowheads="1"/>
        </xdr:cNvSpPr>
      </xdr:nvSpPr>
      <xdr:spPr bwMode="auto">
        <a:xfrm>
          <a:off x="1209675" y="12906375"/>
          <a:ext cx="76200" cy="209550"/>
        </a:xfrm>
        <a:prstGeom prst="rect">
          <a:avLst/>
        </a:prstGeom>
        <a:noFill/>
        <a:ln w="9525">
          <a:noFill/>
          <a:miter lim="800000"/>
          <a:headEnd/>
          <a:tailEnd/>
        </a:ln>
      </xdr:spPr>
    </xdr:sp>
    <xdr:clientData/>
  </xdr:twoCellAnchor>
  <xdr:twoCellAnchor editAs="oneCell">
    <xdr:from>
      <xdr:col>1</xdr:col>
      <xdr:colOff>0</xdr:colOff>
      <xdr:row>69</xdr:row>
      <xdr:rowOff>0</xdr:rowOff>
    </xdr:from>
    <xdr:to>
      <xdr:col>1</xdr:col>
      <xdr:colOff>76200</xdr:colOff>
      <xdr:row>70</xdr:row>
      <xdr:rowOff>19050</xdr:rowOff>
    </xdr:to>
    <xdr:sp macro="" textlink="">
      <xdr:nvSpPr>
        <xdr:cNvPr id="452893" name="Text Box 295"/>
        <xdr:cNvSpPr txBox="1">
          <a:spLocks noChangeArrowheads="1"/>
        </xdr:cNvSpPr>
      </xdr:nvSpPr>
      <xdr:spPr bwMode="auto">
        <a:xfrm>
          <a:off x="1209675" y="13096875"/>
          <a:ext cx="76200" cy="209550"/>
        </a:xfrm>
        <a:prstGeom prst="rect">
          <a:avLst/>
        </a:prstGeom>
        <a:noFill/>
        <a:ln w="9525">
          <a:noFill/>
          <a:miter lim="800000"/>
          <a:headEnd/>
          <a:tailEnd/>
        </a:ln>
      </xdr:spPr>
    </xdr:sp>
    <xdr:clientData/>
  </xdr:twoCellAnchor>
  <xdr:twoCellAnchor editAs="oneCell">
    <xdr:from>
      <xdr:col>1</xdr:col>
      <xdr:colOff>0</xdr:colOff>
      <xdr:row>69</xdr:row>
      <xdr:rowOff>0</xdr:rowOff>
    </xdr:from>
    <xdr:to>
      <xdr:col>1</xdr:col>
      <xdr:colOff>76200</xdr:colOff>
      <xdr:row>70</xdr:row>
      <xdr:rowOff>19050</xdr:rowOff>
    </xdr:to>
    <xdr:sp macro="" textlink="">
      <xdr:nvSpPr>
        <xdr:cNvPr id="452894" name="Text Box 296"/>
        <xdr:cNvSpPr txBox="1">
          <a:spLocks noChangeArrowheads="1"/>
        </xdr:cNvSpPr>
      </xdr:nvSpPr>
      <xdr:spPr bwMode="auto">
        <a:xfrm>
          <a:off x="1209675" y="13096875"/>
          <a:ext cx="76200" cy="209550"/>
        </a:xfrm>
        <a:prstGeom prst="rect">
          <a:avLst/>
        </a:prstGeom>
        <a:noFill/>
        <a:ln w="9525">
          <a:noFill/>
          <a:miter lim="800000"/>
          <a:headEnd/>
          <a:tailEnd/>
        </a:ln>
      </xdr:spPr>
    </xdr:sp>
    <xdr:clientData/>
  </xdr:twoCellAnchor>
  <xdr:twoCellAnchor editAs="oneCell">
    <xdr:from>
      <xdr:col>1</xdr:col>
      <xdr:colOff>0</xdr:colOff>
      <xdr:row>69</xdr:row>
      <xdr:rowOff>0</xdr:rowOff>
    </xdr:from>
    <xdr:to>
      <xdr:col>1</xdr:col>
      <xdr:colOff>76200</xdr:colOff>
      <xdr:row>70</xdr:row>
      <xdr:rowOff>19050</xdr:rowOff>
    </xdr:to>
    <xdr:sp macro="" textlink="">
      <xdr:nvSpPr>
        <xdr:cNvPr id="452895" name="Text Box 297"/>
        <xdr:cNvSpPr txBox="1">
          <a:spLocks noChangeArrowheads="1"/>
        </xdr:cNvSpPr>
      </xdr:nvSpPr>
      <xdr:spPr bwMode="auto">
        <a:xfrm>
          <a:off x="1209675" y="13096875"/>
          <a:ext cx="76200" cy="209550"/>
        </a:xfrm>
        <a:prstGeom prst="rect">
          <a:avLst/>
        </a:prstGeom>
        <a:noFill/>
        <a:ln w="9525">
          <a:noFill/>
          <a:miter lim="800000"/>
          <a:headEnd/>
          <a:tailEnd/>
        </a:ln>
      </xdr:spPr>
    </xdr:sp>
    <xdr:clientData/>
  </xdr:twoCellAnchor>
  <xdr:twoCellAnchor editAs="oneCell">
    <xdr:from>
      <xdr:col>1</xdr:col>
      <xdr:colOff>0</xdr:colOff>
      <xdr:row>69</xdr:row>
      <xdr:rowOff>0</xdr:rowOff>
    </xdr:from>
    <xdr:to>
      <xdr:col>1</xdr:col>
      <xdr:colOff>76200</xdr:colOff>
      <xdr:row>70</xdr:row>
      <xdr:rowOff>19050</xdr:rowOff>
    </xdr:to>
    <xdr:sp macro="" textlink="">
      <xdr:nvSpPr>
        <xdr:cNvPr id="452896" name="Text Box 298"/>
        <xdr:cNvSpPr txBox="1">
          <a:spLocks noChangeArrowheads="1"/>
        </xdr:cNvSpPr>
      </xdr:nvSpPr>
      <xdr:spPr bwMode="auto">
        <a:xfrm>
          <a:off x="1209675" y="13096875"/>
          <a:ext cx="76200" cy="209550"/>
        </a:xfrm>
        <a:prstGeom prst="rect">
          <a:avLst/>
        </a:prstGeom>
        <a:noFill/>
        <a:ln w="9525">
          <a:noFill/>
          <a:miter lim="800000"/>
          <a:headEnd/>
          <a:tailEnd/>
        </a:ln>
      </xdr:spPr>
    </xdr:sp>
    <xdr:clientData/>
  </xdr:twoCellAnchor>
  <xdr:twoCellAnchor editAs="oneCell">
    <xdr:from>
      <xdr:col>1</xdr:col>
      <xdr:colOff>0</xdr:colOff>
      <xdr:row>70</xdr:row>
      <xdr:rowOff>0</xdr:rowOff>
    </xdr:from>
    <xdr:to>
      <xdr:col>1</xdr:col>
      <xdr:colOff>76200</xdr:colOff>
      <xdr:row>71</xdr:row>
      <xdr:rowOff>19050</xdr:rowOff>
    </xdr:to>
    <xdr:sp macro="" textlink="">
      <xdr:nvSpPr>
        <xdr:cNvPr id="452897" name="Text Box 299"/>
        <xdr:cNvSpPr txBox="1">
          <a:spLocks noChangeArrowheads="1"/>
        </xdr:cNvSpPr>
      </xdr:nvSpPr>
      <xdr:spPr bwMode="auto">
        <a:xfrm>
          <a:off x="1209675" y="13287375"/>
          <a:ext cx="76200" cy="209550"/>
        </a:xfrm>
        <a:prstGeom prst="rect">
          <a:avLst/>
        </a:prstGeom>
        <a:noFill/>
        <a:ln w="9525">
          <a:noFill/>
          <a:miter lim="800000"/>
          <a:headEnd/>
          <a:tailEnd/>
        </a:ln>
      </xdr:spPr>
    </xdr:sp>
    <xdr:clientData/>
  </xdr:twoCellAnchor>
  <xdr:twoCellAnchor editAs="oneCell">
    <xdr:from>
      <xdr:col>1</xdr:col>
      <xdr:colOff>0</xdr:colOff>
      <xdr:row>70</xdr:row>
      <xdr:rowOff>0</xdr:rowOff>
    </xdr:from>
    <xdr:to>
      <xdr:col>1</xdr:col>
      <xdr:colOff>76200</xdr:colOff>
      <xdr:row>71</xdr:row>
      <xdr:rowOff>19050</xdr:rowOff>
    </xdr:to>
    <xdr:sp macro="" textlink="">
      <xdr:nvSpPr>
        <xdr:cNvPr id="452898" name="Text Box 300"/>
        <xdr:cNvSpPr txBox="1">
          <a:spLocks noChangeArrowheads="1"/>
        </xdr:cNvSpPr>
      </xdr:nvSpPr>
      <xdr:spPr bwMode="auto">
        <a:xfrm>
          <a:off x="1209675" y="13287375"/>
          <a:ext cx="76200" cy="209550"/>
        </a:xfrm>
        <a:prstGeom prst="rect">
          <a:avLst/>
        </a:prstGeom>
        <a:noFill/>
        <a:ln w="9525">
          <a:noFill/>
          <a:miter lim="800000"/>
          <a:headEnd/>
          <a:tailEnd/>
        </a:ln>
      </xdr:spPr>
    </xdr:sp>
    <xdr:clientData/>
  </xdr:twoCellAnchor>
  <xdr:twoCellAnchor editAs="oneCell">
    <xdr:from>
      <xdr:col>1</xdr:col>
      <xdr:colOff>0</xdr:colOff>
      <xdr:row>70</xdr:row>
      <xdr:rowOff>0</xdr:rowOff>
    </xdr:from>
    <xdr:to>
      <xdr:col>1</xdr:col>
      <xdr:colOff>76200</xdr:colOff>
      <xdr:row>71</xdr:row>
      <xdr:rowOff>19050</xdr:rowOff>
    </xdr:to>
    <xdr:sp macro="" textlink="">
      <xdr:nvSpPr>
        <xdr:cNvPr id="452899" name="Text Box 301"/>
        <xdr:cNvSpPr txBox="1">
          <a:spLocks noChangeArrowheads="1"/>
        </xdr:cNvSpPr>
      </xdr:nvSpPr>
      <xdr:spPr bwMode="auto">
        <a:xfrm>
          <a:off x="1209675" y="13287375"/>
          <a:ext cx="76200" cy="209550"/>
        </a:xfrm>
        <a:prstGeom prst="rect">
          <a:avLst/>
        </a:prstGeom>
        <a:noFill/>
        <a:ln w="9525">
          <a:noFill/>
          <a:miter lim="800000"/>
          <a:headEnd/>
          <a:tailEnd/>
        </a:ln>
      </xdr:spPr>
    </xdr:sp>
    <xdr:clientData/>
  </xdr:twoCellAnchor>
  <xdr:twoCellAnchor editAs="oneCell">
    <xdr:from>
      <xdr:col>1</xdr:col>
      <xdr:colOff>0</xdr:colOff>
      <xdr:row>70</xdr:row>
      <xdr:rowOff>0</xdr:rowOff>
    </xdr:from>
    <xdr:to>
      <xdr:col>1</xdr:col>
      <xdr:colOff>76200</xdr:colOff>
      <xdr:row>71</xdr:row>
      <xdr:rowOff>19050</xdr:rowOff>
    </xdr:to>
    <xdr:sp macro="" textlink="">
      <xdr:nvSpPr>
        <xdr:cNvPr id="452900" name="Text Box 302"/>
        <xdr:cNvSpPr txBox="1">
          <a:spLocks noChangeArrowheads="1"/>
        </xdr:cNvSpPr>
      </xdr:nvSpPr>
      <xdr:spPr bwMode="auto">
        <a:xfrm>
          <a:off x="1209675" y="1328737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19050</xdr:rowOff>
    </xdr:to>
    <xdr:sp macro="" textlink="">
      <xdr:nvSpPr>
        <xdr:cNvPr id="452901" name="Text Box 303"/>
        <xdr:cNvSpPr txBox="1">
          <a:spLocks noChangeArrowheads="1"/>
        </xdr:cNvSpPr>
      </xdr:nvSpPr>
      <xdr:spPr bwMode="auto">
        <a:xfrm>
          <a:off x="1209675" y="1347787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19050</xdr:rowOff>
    </xdr:to>
    <xdr:sp macro="" textlink="">
      <xdr:nvSpPr>
        <xdr:cNvPr id="452902" name="Text Box 304"/>
        <xdr:cNvSpPr txBox="1">
          <a:spLocks noChangeArrowheads="1"/>
        </xdr:cNvSpPr>
      </xdr:nvSpPr>
      <xdr:spPr bwMode="auto">
        <a:xfrm>
          <a:off x="1209675" y="1347787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19050</xdr:rowOff>
    </xdr:to>
    <xdr:sp macro="" textlink="">
      <xdr:nvSpPr>
        <xdr:cNvPr id="452903" name="Text Box 305"/>
        <xdr:cNvSpPr txBox="1">
          <a:spLocks noChangeArrowheads="1"/>
        </xdr:cNvSpPr>
      </xdr:nvSpPr>
      <xdr:spPr bwMode="auto">
        <a:xfrm>
          <a:off x="1209675" y="1347787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19050</xdr:rowOff>
    </xdr:to>
    <xdr:sp macro="" textlink="">
      <xdr:nvSpPr>
        <xdr:cNvPr id="452904" name="Text Box 306"/>
        <xdr:cNvSpPr txBox="1">
          <a:spLocks noChangeArrowheads="1"/>
        </xdr:cNvSpPr>
      </xdr:nvSpPr>
      <xdr:spPr bwMode="auto">
        <a:xfrm>
          <a:off x="1209675" y="134778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19050</xdr:rowOff>
    </xdr:to>
    <xdr:sp macro="" textlink="">
      <xdr:nvSpPr>
        <xdr:cNvPr id="452905" name="Text Box 307"/>
        <xdr:cNvSpPr txBox="1">
          <a:spLocks noChangeArrowheads="1"/>
        </xdr:cNvSpPr>
      </xdr:nvSpPr>
      <xdr:spPr bwMode="auto">
        <a:xfrm>
          <a:off x="1209675" y="13668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19050</xdr:rowOff>
    </xdr:to>
    <xdr:sp macro="" textlink="">
      <xdr:nvSpPr>
        <xdr:cNvPr id="452906" name="Text Box 308"/>
        <xdr:cNvSpPr txBox="1">
          <a:spLocks noChangeArrowheads="1"/>
        </xdr:cNvSpPr>
      </xdr:nvSpPr>
      <xdr:spPr bwMode="auto">
        <a:xfrm>
          <a:off x="1209675" y="13668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19050</xdr:rowOff>
    </xdr:to>
    <xdr:sp macro="" textlink="">
      <xdr:nvSpPr>
        <xdr:cNvPr id="452907" name="Text Box 309"/>
        <xdr:cNvSpPr txBox="1">
          <a:spLocks noChangeArrowheads="1"/>
        </xdr:cNvSpPr>
      </xdr:nvSpPr>
      <xdr:spPr bwMode="auto">
        <a:xfrm>
          <a:off x="1209675" y="13668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19050</xdr:rowOff>
    </xdr:to>
    <xdr:sp macro="" textlink="">
      <xdr:nvSpPr>
        <xdr:cNvPr id="452908" name="Text Box 310"/>
        <xdr:cNvSpPr txBox="1">
          <a:spLocks noChangeArrowheads="1"/>
        </xdr:cNvSpPr>
      </xdr:nvSpPr>
      <xdr:spPr bwMode="auto">
        <a:xfrm>
          <a:off x="1209675" y="13668375"/>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19050</xdr:rowOff>
    </xdr:to>
    <xdr:sp macro="" textlink="">
      <xdr:nvSpPr>
        <xdr:cNvPr id="452909" name="Text Box 311"/>
        <xdr:cNvSpPr txBox="1">
          <a:spLocks noChangeArrowheads="1"/>
        </xdr:cNvSpPr>
      </xdr:nvSpPr>
      <xdr:spPr bwMode="auto">
        <a:xfrm>
          <a:off x="1209675" y="13858875"/>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19050</xdr:rowOff>
    </xdr:to>
    <xdr:sp macro="" textlink="">
      <xdr:nvSpPr>
        <xdr:cNvPr id="452910" name="Text Box 312"/>
        <xdr:cNvSpPr txBox="1">
          <a:spLocks noChangeArrowheads="1"/>
        </xdr:cNvSpPr>
      </xdr:nvSpPr>
      <xdr:spPr bwMode="auto">
        <a:xfrm>
          <a:off x="1209675" y="13858875"/>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19050</xdr:rowOff>
    </xdr:to>
    <xdr:sp macro="" textlink="">
      <xdr:nvSpPr>
        <xdr:cNvPr id="452911" name="Text Box 313"/>
        <xdr:cNvSpPr txBox="1">
          <a:spLocks noChangeArrowheads="1"/>
        </xdr:cNvSpPr>
      </xdr:nvSpPr>
      <xdr:spPr bwMode="auto">
        <a:xfrm>
          <a:off x="1209675" y="13858875"/>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19050</xdr:rowOff>
    </xdr:to>
    <xdr:sp macro="" textlink="">
      <xdr:nvSpPr>
        <xdr:cNvPr id="452912" name="Text Box 314"/>
        <xdr:cNvSpPr txBox="1">
          <a:spLocks noChangeArrowheads="1"/>
        </xdr:cNvSpPr>
      </xdr:nvSpPr>
      <xdr:spPr bwMode="auto">
        <a:xfrm>
          <a:off x="1209675" y="13858875"/>
          <a:ext cx="76200" cy="209550"/>
        </a:xfrm>
        <a:prstGeom prst="rect">
          <a:avLst/>
        </a:prstGeom>
        <a:noFill/>
        <a:ln w="9525">
          <a:noFill/>
          <a:miter lim="800000"/>
          <a:headEnd/>
          <a:tailEnd/>
        </a:ln>
      </xdr:spPr>
    </xdr:sp>
    <xdr:clientData/>
  </xdr:twoCellAnchor>
  <xdr:twoCellAnchor editAs="oneCell">
    <xdr:from>
      <xdr:col>1</xdr:col>
      <xdr:colOff>0</xdr:colOff>
      <xdr:row>74</xdr:row>
      <xdr:rowOff>0</xdr:rowOff>
    </xdr:from>
    <xdr:to>
      <xdr:col>1</xdr:col>
      <xdr:colOff>76200</xdr:colOff>
      <xdr:row>75</xdr:row>
      <xdr:rowOff>19050</xdr:rowOff>
    </xdr:to>
    <xdr:sp macro="" textlink="">
      <xdr:nvSpPr>
        <xdr:cNvPr id="452913" name="Text Box 315"/>
        <xdr:cNvSpPr txBox="1">
          <a:spLocks noChangeArrowheads="1"/>
        </xdr:cNvSpPr>
      </xdr:nvSpPr>
      <xdr:spPr bwMode="auto">
        <a:xfrm>
          <a:off x="1209675" y="14049375"/>
          <a:ext cx="76200" cy="209550"/>
        </a:xfrm>
        <a:prstGeom prst="rect">
          <a:avLst/>
        </a:prstGeom>
        <a:noFill/>
        <a:ln w="9525">
          <a:noFill/>
          <a:miter lim="800000"/>
          <a:headEnd/>
          <a:tailEnd/>
        </a:ln>
      </xdr:spPr>
    </xdr:sp>
    <xdr:clientData/>
  </xdr:twoCellAnchor>
  <xdr:twoCellAnchor editAs="oneCell">
    <xdr:from>
      <xdr:col>1</xdr:col>
      <xdr:colOff>0</xdr:colOff>
      <xdr:row>74</xdr:row>
      <xdr:rowOff>0</xdr:rowOff>
    </xdr:from>
    <xdr:to>
      <xdr:col>1</xdr:col>
      <xdr:colOff>76200</xdr:colOff>
      <xdr:row>75</xdr:row>
      <xdr:rowOff>19050</xdr:rowOff>
    </xdr:to>
    <xdr:sp macro="" textlink="">
      <xdr:nvSpPr>
        <xdr:cNvPr id="452914" name="Text Box 316"/>
        <xdr:cNvSpPr txBox="1">
          <a:spLocks noChangeArrowheads="1"/>
        </xdr:cNvSpPr>
      </xdr:nvSpPr>
      <xdr:spPr bwMode="auto">
        <a:xfrm>
          <a:off x="1209675" y="14049375"/>
          <a:ext cx="76200" cy="209550"/>
        </a:xfrm>
        <a:prstGeom prst="rect">
          <a:avLst/>
        </a:prstGeom>
        <a:noFill/>
        <a:ln w="9525">
          <a:noFill/>
          <a:miter lim="800000"/>
          <a:headEnd/>
          <a:tailEnd/>
        </a:ln>
      </xdr:spPr>
    </xdr:sp>
    <xdr:clientData/>
  </xdr:twoCellAnchor>
  <xdr:twoCellAnchor editAs="oneCell">
    <xdr:from>
      <xdr:col>1</xdr:col>
      <xdr:colOff>0</xdr:colOff>
      <xdr:row>74</xdr:row>
      <xdr:rowOff>0</xdr:rowOff>
    </xdr:from>
    <xdr:to>
      <xdr:col>1</xdr:col>
      <xdr:colOff>76200</xdr:colOff>
      <xdr:row>75</xdr:row>
      <xdr:rowOff>19050</xdr:rowOff>
    </xdr:to>
    <xdr:sp macro="" textlink="">
      <xdr:nvSpPr>
        <xdr:cNvPr id="452915" name="Text Box 317"/>
        <xdr:cNvSpPr txBox="1">
          <a:spLocks noChangeArrowheads="1"/>
        </xdr:cNvSpPr>
      </xdr:nvSpPr>
      <xdr:spPr bwMode="auto">
        <a:xfrm>
          <a:off x="1209675" y="14049375"/>
          <a:ext cx="76200" cy="209550"/>
        </a:xfrm>
        <a:prstGeom prst="rect">
          <a:avLst/>
        </a:prstGeom>
        <a:noFill/>
        <a:ln w="9525">
          <a:noFill/>
          <a:miter lim="800000"/>
          <a:headEnd/>
          <a:tailEnd/>
        </a:ln>
      </xdr:spPr>
    </xdr:sp>
    <xdr:clientData/>
  </xdr:twoCellAnchor>
  <xdr:twoCellAnchor editAs="oneCell">
    <xdr:from>
      <xdr:col>1</xdr:col>
      <xdr:colOff>0</xdr:colOff>
      <xdr:row>74</xdr:row>
      <xdr:rowOff>0</xdr:rowOff>
    </xdr:from>
    <xdr:to>
      <xdr:col>1</xdr:col>
      <xdr:colOff>76200</xdr:colOff>
      <xdr:row>75</xdr:row>
      <xdr:rowOff>19050</xdr:rowOff>
    </xdr:to>
    <xdr:sp macro="" textlink="">
      <xdr:nvSpPr>
        <xdr:cNvPr id="452916" name="Text Box 318"/>
        <xdr:cNvSpPr txBox="1">
          <a:spLocks noChangeArrowheads="1"/>
        </xdr:cNvSpPr>
      </xdr:nvSpPr>
      <xdr:spPr bwMode="auto">
        <a:xfrm>
          <a:off x="1209675" y="14049375"/>
          <a:ext cx="76200" cy="209550"/>
        </a:xfrm>
        <a:prstGeom prst="rect">
          <a:avLst/>
        </a:prstGeom>
        <a:noFill/>
        <a:ln w="9525">
          <a:noFill/>
          <a:miter lim="800000"/>
          <a:headEnd/>
          <a:tailEnd/>
        </a:ln>
      </xdr:spPr>
    </xdr:sp>
    <xdr:clientData/>
  </xdr:twoCellAnchor>
  <xdr:twoCellAnchor editAs="oneCell">
    <xdr:from>
      <xdr:col>1</xdr:col>
      <xdr:colOff>0</xdr:colOff>
      <xdr:row>75</xdr:row>
      <xdr:rowOff>0</xdr:rowOff>
    </xdr:from>
    <xdr:to>
      <xdr:col>1</xdr:col>
      <xdr:colOff>76200</xdr:colOff>
      <xdr:row>76</xdr:row>
      <xdr:rowOff>19050</xdr:rowOff>
    </xdr:to>
    <xdr:sp macro="" textlink="">
      <xdr:nvSpPr>
        <xdr:cNvPr id="452917" name="Text Box 319"/>
        <xdr:cNvSpPr txBox="1">
          <a:spLocks noChangeArrowheads="1"/>
        </xdr:cNvSpPr>
      </xdr:nvSpPr>
      <xdr:spPr bwMode="auto">
        <a:xfrm>
          <a:off x="1209675" y="14239875"/>
          <a:ext cx="76200" cy="209550"/>
        </a:xfrm>
        <a:prstGeom prst="rect">
          <a:avLst/>
        </a:prstGeom>
        <a:noFill/>
        <a:ln w="9525">
          <a:noFill/>
          <a:miter lim="800000"/>
          <a:headEnd/>
          <a:tailEnd/>
        </a:ln>
      </xdr:spPr>
    </xdr:sp>
    <xdr:clientData/>
  </xdr:twoCellAnchor>
  <xdr:twoCellAnchor editAs="oneCell">
    <xdr:from>
      <xdr:col>1</xdr:col>
      <xdr:colOff>0</xdr:colOff>
      <xdr:row>75</xdr:row>
      <xdr:rowOff>0</xdr:rowOff>
    </xdr:from>
    <xdr:to>
      <xdr:col>1</xdr:col>
      <xdr:colOff>76200</xdr:colOff>
      <xdr:row>76</xdr:row>
      <xdr:rowOff>19050</xdr:rowOff>
    </xdr:to>
    <xdr:sp macro="" textlink="">
      <xdr:nvSpPr>
        <xdr:cNvPr id="452918" name="Text Box 320"/>
        <xdr:cNvSpPr txBox="1">
          <a:spLocks noChangeArrowheads="1"/>
        </xdr:cNvSpPr>
      </xdr:nvSpPr>
      <xdr:spPr bwMode="auto">
        <a:xfrm>
          <a:off x="1209675" y="14239875"/>
          <a:ext cx="76200" cy="209550"/>
        </a:xfrm>
        <a:prstGeom prst="rect">
          <a:avLst/>
        </a:prstGeom>
        <a:noFill/>
        <a:ln w="9525">
          <a:noFill/>
          <a:miter lim="800000"/>
          <a:headEnd/>
          <a:tailEnd/>
        </a:ln>
      </xdr:spPr>
    </xdr:sp>
    <xdr:clientData/>
  </xdr:twoCellAnchor>
  <xdr:twoCellAnchor editAs="oneCell">
    <xdr:from>
      <xdr:col>1</xdr:col>
      <xdr:colOff>0</xdr:colOff>
      <xdr:row>75</xdr:row>
      <xdr:rowOff>0</xdr:rowOff>
    </xdr:from>
    <xdr:to>
      <xdr:col>1</xdr:col>
      <xdr:colOff>76200</xdr:colOff>
      <xdr:row>76</xdr:row>
      <xdr:rowOff>19050</xdr:rowOff>
    </xdr:to>
    <xdr:sp macro="" textlink="">
      <xdr:nvSpPr>
        <xdr:cNvPr id="452919" name="Text Box 321"/>
        <xdr:cNvSpPr txBox="1">
          <a:spLocks noChangeArrowheads="1"/>
        </xdr:cNvSpPr>
      </xdr:nvSpPr>
      <xdr:spPr bwMode="auto">
        <a:xfrm>
          <a:off x="1209675" y="14239875"/>
          <a:ext cx="76200" cy="209550"/>
        </a:xfrm>
        <a:prstGeom prst="rect">
          <a:avLst/>
        </a:prstGeom>
        <a:noFill/>
        <a:ln w="9525">
          <a:noFill/>
          <a:miter lim="800000"/>
          <a:headEnd/>
          <a:tailEnd/>
        </a:ln>
      </xdr:spPr>
    </xdr:sp>
    <xdr:clientData/>
  </xdr:twoCellAnchor>
  <xdr:twoCellAnchor editAs="oneCell">
    <xdr:from>
      <xdr:col>1</xdr:col>
      <xdr:colOff>0</xdr:colOff>
      <xdr:row>75</xdr:row>
      <xdr:rowOff>0</xdr:rowOff>
    </xdr:from>
    <xdr:to>
      <xdr:col>1</xdr:col>
      <xdr:colOff>76200</xdr:colOff>
      <xdr:row>76</xdr:row>
      <xdr:rowOff>19050</xdr:rowOff>
    </xdr:to>
    <xdr:sp macro="" textlink="">
      <xdr:nvSpPr>
        <xdr:cNvPr id="452920" name="Text Box 322"/>
        <xdr:cNvSpPr txBox="1">
          <a:spLocks noChangeArrowheads="1"/>
        </xdr:cNvSpPr>
      </xdr:nvSpPr>
      <xdr:spPr bwMode="auto">
        <a:xfrm>
          <a:off x="1209675" y="1423987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19050</xdr:rowOff>
    </xdr:to>
    <xdr:sp macro="" textlink="">
      <xdr:nvSpPr>
        <xdr:cNvPr id="452921" name="Text Box 323"/>
        <xdr:cNvSpPr txBox="1">
          <a:spLocks noChangeArrowheads="1"/>
        </xdr:cNvSpPr>
      </xdr:nvSpPr>
      <xdr:spPr bwMode="auto">
        <a:xfrm>
          <a:off x="1209675" y="1443037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19050</xdr:rowOff>
    </xdr:to>
    <xdr:sp macro="" textlink="">
      <xdr:nvSpPr>
        <xdr:cNvPr id="452922" name="Text Box 324"/>
        <xdr:cNvSpPr txBox="1">
          <a:spLocks noChangeArrowheads="1"/>
        </xdr:cNvSpPr>
      </xdr:nvSpPr>
      <xdr:spPr bwMode="auto">
        <a:xfrm>
          <a:off x="1209675" y="1443037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19050</xdr:rowOff>
    </xdr:to>
    <xdr:sp macro="" textlink="">
      <xdr:nvSpPr>
        <xdr:cNvPr id="452923" name="Text Box 325"/>
        <xdr:cNvSpPr txBox="1">
          <a:spLocks noChangeArrowheads="1"/>
        </xdr:cNvSpPr>
      </xdr:nvSpPr>
      <xdr:spPr bwMode="auto">
        <a:xfrm>
          <a:off x="1209675" y="1443037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19050</xdr:rowOff>
    </xdr:to>
    <xdr:sp macro="" textlink="">
      <xdr:nvSpPr>
        <xdr:cNvPr id="452924" name="Text Box 326"/>
        <xdr:cNvSpPr txBox="1">
          <a:spLocks noChangeArrowheads="1"/>
        </xdr:cNvSpPr>
      </xdr:nvSpPr>
      <xdr:spPr bwMode="auto">
        <a:xfrm>
          <a:off x="1209675" y="14430375"/>
          <a:ext cx="76200" cy="209550"/>
        </a:xfrm>
        <a:prstGeom prst="rect">
          <a:avLst/>
        </a:prstGeom>
        <a:noFill/>
        <a:ln w="9525">
          <a:noFill/>
          <a:miter lim="800000"/>
          <a:headEnd/>
          <a:tailEnd/>
        </a:ln>
      </xdr:spPr>
    </xdr:sp>
    <xdr:clientData/>
  </xdr:twoCellAnchor>
  <xdr:twoCellAnchor editAs="oneCell">
    <xdr:from>
      <xdr:col>1</xdr:col>
      <xdr:colOff>0</xdr:colOff>
      <xdr:row>77</xdr:row>
      <xdr:rowOff>0</xdr:rowOff>
    </xdr:from>
    <xdr:to>
      <xdr:col>1</xdr:col>
      <xdr:colOff>76200</xdr:colOff>
      <xdr:row>78</xdr:row>
      <xdr:rowOff>19050</xdr:rowOff>
    </xdr:to>
    <xdr:sp macro="" textlink="">
      <xdr:nvSpPr>
        <xdr:cNvPr id="452925" name="Text Box 327"/>
        <xdr:cNvSpPr txBox="1">
          <a:spLocks noChangeArrowheads="1"/>
        </xdr:cNvSpPr>
      </xdr:nvSpPr>
      <xdr:spPr bwMode="auto">
        <a:xfrm>
          <a:off x="1209675" y="14620875"/>
          <a:ext cx="76200" cy="209550"/>
        </a:xfrm>
        <a:prstGeom prst="rect">
          <a:avLst/>
        </a:prstGeom>
        <a:noFill/>
        <a:ln w="9525">
          <a:noFill/>
          <a:miter lim="800000"/>
          <a:headEnd/>
          <a:tailEnd/>
        </a:ln>
      </xdr:spPr>
    </xdr:sp>
    <xdr:clientData/>
  </xdr:twoCellAnchor>
  <xdr:twoCellAnchor editAs="oneCell">
    <xdr:from>
      <xdr:col>1</xdr:col>
      <xdr:colOff>0</xdr:colOff>
      <xdr:row>77</xdr:row>
      <xdr:rowOff>0</xdr:rowOff>
    </xdr:from>
    <xdr:to>
      <xdr:col>1</xdr:col>
      <xdr:colOff>76200</xdr:colOff>
      <xdr:row>78</xdr:row>
      <xdr:rowOff>19050</xdr:rowOff>
    </xdr:to>
    <xdr:sp macro="" textlink="">
      <xdr:nvSpPr>
        <xdr:cNvPr id="452926" name="Text Box 328"/>
        <xdr:cNvSpPr txBox="1">
          <a:spLocks noChangeArrowheads="1"/>
        </xdr:cNvSpPr>
      </xdr:nvSpPr>
      <xdr:spPr bwMode="auto">
        <a:xfrm>
          <a:off x="1209675" y="14620875"/>
          <a:ext cx="76200" cy="209550"/>
        </a:xfrm>
        <a:prstGeom prst="rect">
          <a:avLst/>
        </a:prstGeom>
        <a:noFill/>
        <a:ln w="9525">
          <a:noFill/>
          <a:miter lim="800000"/>
          <a:headEnd/>
          <a:tailEnd/>
        </a:ln>
      </xdr:spPr>
    </xdr:sp>
    <xdr:clientData/>
  </xdr:twoCellAnchor>
  <xdr:twoCellAnchor editAs="oneCell">
    <xdr:from>
      <xdr:col>1</xdr:col>
      <xdr:colOff>0</xdr:colOff>
      <xdr:row>77</xdr:row>
      <xdr:rowOff>0</xdr:rowOff>
    </xdr:from>
    <xdr:to>
      <xdr:col>1</xdr:col>
      <xdr:colOff>76200</xdr:colOff>
      <xdr:row>78</xdr:row>
      <xdr:rowOff>19050</xdr:rowOff>
    </xdr:to>
    <xdr:sp macro="" textlink="">
      <xdr:nvSpPr>
        <xdr:cNvPr id="452927" name="Text Box 329"/>
        <xdr:cNvSpPr txBox="1">
          <a:spLocks noChangeArrowheads="1"/>
        </xdr:cNvSpPr>
      </xdr:nvSpPr>
      <xdr:spPr bwMode="auto">
        <a:xfrm>
          <a:off x="1209675" y="14620875"/>
          <a:ext cx="76200" cy="209550"/>
        </a:xfrm>
        <a:prstGeom prst="rect">
          <a:avLst/>
        </a:prstGeom>
        <a:noFill/>
        <a:ln w="9525">
          <a:noFill/>
          <a:miter lim="800000"/>
          <a:headEnd/>
          <a:tailEnd/>
        </a:ln>
      </xdr:spPr>
    </xdr:sp>
    <xdr:clientData/>
  </xdr:twoCellAnchor>
  <xdr:twoCellAnchor editAs="oneCell">
    <xdr:from>
      <xdr:col>1</xdr:col>
      <xdr:colOff>0</xdr:colOff>
      <xdr:row>77</xdr:row>
      <xdr:rowOff>0</xdr:rowOff>
    </xdr:from>
    <xdr:to>
      <xdr:col>1</xdr:col>
      <xdr:colOff>76200</xdr:colOff>
      <xdr:row>78</xdr:row>
      <xdr:rowOff>19050</xdr:rowOff>
    </xdr:to>
    <xdr:sp macro="" textlink="">
      <xdr:nvSpPr>
        <xdr:cNvPr id="452928" name="Text Box 330"/>
        <xdr:cNvSpPr txBox="1">
          <a:spLocks noChangeArrowheads="1"/>
        </xdr:cNvSpPr>
      </xdr:nvSpPr>
      <xdr:spPr bwMode="auto">
        <a:xfrm>
          <a:off x="1209675" y="146208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19050</xdr:rowOff>
    </xdr:to>
    <xdr:sp macro="" textlink="">
      <xdr:nvSpPr>
        <xdr:cNvPr id="452929" name="Text Box 331"/>
        <xdr:cNvSpPr txBox="1">
          <a:spLocks noChangeArrowheads="1"/>
        </xdr:cNvSpPr>
      </xdr:nvSpPr>
      <xdr:spPr bwMode="auto">
        <a:xfrm>
          <a:off x="1209675" y="148113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19050</xdr:rowOff>
    </xdr:to>
    <xdr:sp macro="" textlink="">
      <xdr:nvSpPr>
        <xdr:cNvPr id="452930" name="Text Box 332"/>
        <xdr:cNvSpPr txBox="1">
          <a:spLocks noChangeArrowheads="1"/>
        </xdr:cNvSpPr>
      </xdr:nvSpPr>
      <xdr:spPr bwMode="auto">
        <a:xfrm>
          <a:off x="1209675" y="148113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19050</xdr:rowOff>
    </xdr:to>
    <xdr:sp macro="" textlink="">
      <xdr:nvSpPr>
        <xdr:cNvPr id="452931" name="Text Box 333"/>
        <xdr:cNvSpPr txBox="1">
          <a:spLocks noChangeArrowheads="1"/>
        </xdr:cNvSpPr>
      </xdr:nvSpPr>
      <xdr:spPr bwMode="auto">
        <a:xfrm>
          <a:off x="1209675" y="148113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19050</xdr:rowOff>
    </xdr:to>
    <xdr:sp macro="" textlink="">
      <xdr:nvSpPr>
        <xdr:cNvPr id="452932" name="Text Box 334"/>
        <xdr:cNvSpPr txBox="1">
          <a:spLocks noChangeArrowheads="1"/>
        </xdr:cNvSpPr>
      </xdr:nvSpPr>
      <xdr:spPr bwMode="auto">
        <a:xfrm>
          <a:off x="1209675" y="14811375"/>
          <a:ext cx="76200" cy="209550"/>
        </a:xfrm>
        <a:prstGeom prst="rect">
          <a:avLst/>
        </a:prstGeom>
        <a:noFill/>
        <a:ln w="9525">
          <a:noFill/>
          <a:miter lim="800000"/>
          <a:headEnd/>
          <a:tailEnd/>
        </a:ln>
      </xdr:spPr>
    </xdr:sp>
    <xdr:clientData/>
  </xdr:twoCellAnchor>
  <xdr:twoCellAnchor editAs="oneCell">
    <xdr:from>
      <xdr:col>1</xdr:col>
      <xdr:colOff>0</xdr:colOff>
      <xdr:row>79</xdr:row>
      <xdr:rowOff>0</xdr:rowOff>
    </xdr:from>
    <xdr:to>
      <xdr:col>1</xdr:col>
      <xdr:colOff>76200</xdr:colOff>
      <xdr:row>80</xdr:row>
      <xdr:rowOff>19050</xdr:rowOff>
    </xdr:to>
    <xdr:sp macro="" textlink="">
      <xdr:nvSpPr>
        <xdr:cNvPr id="452933" name="Text Box 335"/>
        <xdr:cNvSpPr txBox="1">
          <a:spLocks noChangeArrowheads="1"/>
        </xdr:cNvSpPr>
      </xdr:nvSpPr>
      <xdr:spPr bwMode="auto">
        <a:xfrm>
          <a:off x="1209675" y="15001875"/>
          <a:ext cx="76200" cy="209550"/>
        </a:xfrm>
        <a:prstGeom prst="rect">
          <a:avLst/>
        </a:prstGeom>
        <a:noFill/>
        <a:ln w="9525">
          <a:noFill/>
          <a:miter lim="800000"/>
          <a:headEnd/>
          <a:tailEnd/>
        </a:ln>
      </xdr:spPr>
    </xdr:sp>
    <xdr:clientData/>
  </xdr:twoCellAnchor>
  <xdr:twoCellAnchor editAs="oneCell">
    <xdr:from>
      <xdr:col>1</xdr:col>
      <xdr:colOff>0</xdr:colOff>
      <xdr:row>79</xdr:row>
      <xdr:rowOff>0</xdr:rowOff>
    </xdr:from>
    <xdr:to>
      <xdr:col>1</xdr:col>
      <xdr:colOff>76200</xdr:colOff>
      <xdr:row>80</xdr:row>
      <xdr:rowOff>19050</xdr:rowOff>
    </xdr:to>
    <xdr:sp macro="" textlink="">
      <xdr:nvSpPr>
        <xdr:cNvPr id="452934" name="Text Box 336"/>
        <xdr:cNvSpPr txBox="1">
          <a:spLocks noChangeArrowheads="1"/>
        </xdr:cNvSpPr>
      </xdr:nvSpPr>
      <xdr:spPr bwMode="auto">
        <a:xfrm>
          <a:off x="1209675" y="15001875"/>
          <a:ext cx="76200" cy="209550"/>
        </a:xfrm>
        <a:prstGeom prst="rect">
          <a:avLst/>
        </a:prstGeom>
        <a:noFill/>
        <a:ln w="9525">
          <a:noFill/>
          <a:miter lim="800000"/>
          <a:headEnd/>
          <a:tailEnd/>
        </a:ln>
      </xdr:spPr>
    </xdr:sp>
    <xdr:clientData/>
  </xdr:twoCellAnchor>
  <xdr:twoCellAnchor editAs="oneCell">
    <xdr:from>
      <xdr:col>1</xdr:col>
      <xdr:colOff>0</xdr:colOff>
      <xdr:row>79</xdr:row>
      <xdr:rowOff>0</xdr:rowOff>
    </xdr:from>
    <xdr:to>
      <xdr:col>1</xdr:col>
      <xdr:colOff>76200</xdr:colOff>
      <xdr:row>80</xdr:row>
      <xdr:rowOff>19050</xdr:rowOff>
    </xdr:to>
    <xdr:sp macro="" textlink="">
      <xdr:nvSpPr>
        <xdr:cNvPr id="452935" name="Text Box 337"/>
        <xdr:cNvSpPr txBox="1">
          <a:spLocks noChangeArrowheads="1"/>
        </xdr:cNvSpPr>
      </xdr:nvSpPr>
      <xdr:spPr bwMode="auto">
        <a:xfrm>
          <a:off x="1209675" y="15001875"/>
          <a:ext cx="76200" cy="209550"/>
        </a:xfrm>
        <a:prstGeom prst="rect">
          <a:avLst/>
        </a:prstGeom>
        <a:noFill/>
        <a:ln w="9525">
          <a:noFill/>
          <a:miter lim="800000"/>
          <a:headEnd/>
          <a:tailEnd/>
        </a:ln>
      </xdr:spPr>
    </xdr:sp>
    <xdr:clientData/>
  </xdr:twoCellAnchor>
  <xdr:twoCellAnchor editAs="oneCell">
    <xdr:from>
      <xdr:col>1</xdr:col>
      <xdr:colOff>0</xdr:colOff>
      <xdr:row>79</xdr:row>
      <xdr:rowOff>0</xdr:rowOff>
    </xdr:from>
    <xdr:to>
      <xdr:col>1</xdr:col>
      <xdr:colOff>76200</xdr:colOff>
      <xdr:row>80</xdr:row>
      <xdr:rowOff>19050</xdr:rowOff>
    </xdr:to>
    <xdr:sp macro="" textlink="">
      <xdr:nvSpPr>
        <xdr:cNvPr id="452936" name="Text Box 338"/>
        <xdr:cNvSpPr txBox="1">
          <a:spLocks noChangeArrowheads="1"/>
        </xdr:cNvSpPr>
      </xdr:nvSpPr>
      <xdr:spPr bwMode="auto">
        <a:xfrm>
          <a:off x="1209675" y="15001875"/>
          <a:ext cx="76200" cy="209550"/>
        </a:xfrm>
        <a:prstGeom prst="rect">
          <a:avLst/>
        </a:prstGeom>
        <a:noFill/>
        <a:ln w="9525">
          <a:noFill/>
          <a:miter lim="800000"/>
          <a:headEnd/>
          <a:tailEnd/>
        </a:ln>
      </xdr:spPr>
    </xdr:sp>
    <xdr:clientData/>
  </xdr:twoCellAnchor>
  <xdr:twoCellAnchor editAs="oneCell">
    <xdr:from>
      <xdr:col>1</xdr:col>
      <xdr:colOff>0</xdr:colOff>
      <xdr:row>80</xdr:row>
      <xdr:rowOff>0</xdr:rowOff>
    </xdr:from>
    <xdr:to>
      <xdr:col>1</xdr:col>
      <xdr:colOff>76200</xdr:colOff>
      <xdr:row>81</xdr:row>
      <xdr:rowOff>19050</xdr:rowOff>
    </xdr:to>
    <xdr:sp macro="" textlink="">
      <xdr:nvSpPr>
        <xdr:cNvPr id="452937" name="Text Box 339"/>
        <xdr:cNvSpPr txBox="1">
          <a:spLocks noChangeArrowheads="1"/>
        </xdr:cNvSpPr>
      </xdr:nvSpPr>
      <xdr:spPr bwMode="auto">
        <a:xfrm>
          <a:off x="1209675" y="15192375"/>
          <a:ext cx="76200" cy="209550"/>
        </a:xfrm>
        <a:prstGeom prst="rect">
          <a:avLst/>
        </a:prstGeom>
        <a:noFill/>
        <a:ln w="9525">
          <a:noFill/>
          <a:miter lim="800000"/>
          <a:headEnd/>
          <a:tailEnd/>
        </a:ln>
      </xdr:spPr>
    </xdr:sp>
    <xdr:clientData/>
  </xdr:twoCellAnchor>
  <xdr:twoCellAnchor editAs="oneCell">
    <xdr:from>
      <xdr:col>1</xdr:col>
      <xdr:colOff>0</xdr:colOff>
      <xdr:row>80</xdr:row>
      <xdr:rowOff>0</xdr:rowOff>
    </xdr:from>
    <xdr:to>
      <xdr:col>1</xdr:col>
      <xdr:colOff>76200</xdr:colOff>
      <xdr:row>81</xdr:row>
      <xdr:rowOff>19050</xdr:rowOff>
    </xdr:to>
    <xdr:sp macro="" textlink="">
      <xdr:nvSpPr>
        <xdr:cNvPr id="452938" name="Text Box 340"/>
        <xdr:cNvSpPr txBox="1">
          <a:spLocks noChangeArrowheads="1"/>
        </xdr:cNvSpPr>
      </xdr:nvSpPr>
      <xdr:spPr bwMode="auto">
        <a:xfrm>
          <a:off x="1209675" y="15192375"/>
          <a:ext cx="76200" cy="209550"/>
        </a:xfrm>
        <a:prstGeom prst="rect">
          <a:avLst/>
        </a:prstGeom>
        <a:noFill/>
        <a:ln w="9525">
          <a:noFill/>
          <a:miter lim="800000"/>
          <a:headEnd/>
          <a:tailEnd/>
        </a:ln>
      </xdr:spPr>
    </xdr:sp>
    <xdr:clientData/>
  </xdr:twoCellAnchor>
  <xdr:twoCellAnchor editAs="oneCell">
    <xdr:from>
      <xdr:col>1</xdr:col>
      <xdr:colOff>0</xdr:colOff>
      <xdr:row>80</xdr:row>
      <xdr:rowOff>0</xdr:rowOff>
    </xdr:from>
    <xdr:to>
      <xdr:col>1</xdr:col>
      <xdr:colOff>76200</xdr:colOff>
      <xdr:row>81</xdr:row>
      <xdr:rowOff>19050</xdr:rowOff>
    </xdr:to>
    <xdr:sp macro="" textlink="">
      <xdr:nvSpPr>
        <xdr:cNvPr id="452939" name="Text Box 341"/>
        <xdr:cNvSpPr txBox="1">
          <a:spLocks noChangeArrowheads="1"/>
        </xdr:cNvSpPr>
      </xdr:nvSpPr>
      <xdr:spPr bwMode="auto">
        <a:xfrm>
          <a:off x="1209675" y="15192375"/>
          <a:ext cx="76200" cy="209550"/>
        </a:xfrm>
        <a:prstGeom prst="rect">
          <a:avLst/>
        </a:prstGeom>
        <a:noFill/>
        <a:ln w="9525">
          <a:noFill/>
          <a:miter lim="800000"/>
          <a:headEnd/>
          <a:tailEnd/>
        </a:ln>
      </xdr:spPr>
    </xdr:sp>
    <xdr:clientData/>
  </xdr:twoCellAnchor>
  <xdr:twoCellAnchor editAs="oneCell">
    <xdr:from>
      <xdr:col>1</xdr:col>
      <xdr:colOff>0</xdr:colOff>
      <xdr:row>80</xdr:row>
      <xdr:rowOff>0</xdr:rowOff>
    </xdr:from>
    <xdr:to>
      <xdr:col>1</xdr:col>
      <xdr:colOff>76200</xdr:colOff>
      <xdr:row>81</xdr:row>
      <xdr:rowOff>19050</xdr:rowOff>
    </xdr:to>
    <xdr:sp macro="" textlink="">
      <xdr:nvSpPr>
        <xdr:cNvPr id="452940" name="Text Box 342"/>
        <xdr:cNvSpPr txBox="1">
          <a:spLocks noChangeArrowheads="1"/>
        </xdr:cNvSpPr>
      </xdr:nvSpPr>
      <xdr:spPr bwMode="auto">
        <a:xfrm>
          <a:off x="1209675" y="15192375"/>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19050</xdr:rowOff>
    </xdr:to>
    <xdr:sp macro="" textlink="">
      <xdr:nvSpPr>
        <xdr:cNvPr id="452941" name="Text Box 343"/>
        <xdr:cNvSpPr txBox="1">
          <a:spLocks noChangeArrowheads="1"/>
        </xdr:cNvSpPr>
      </xdr:nvSpPr>
      <xdr:spPr bwMode="auto">
        <a:xfrm>
          <a:off x="1209675" y="15382875"/>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19050</xdr:rowOff>
    </xdr:to>
    <xdr:sp macro="" textlink="">
      <xdr:nvSpPr>
        <xdr:cNvPr id="452942" name="Text Box 344"/>
        <xdr:cNvSpPr txBox="1">
          <a:spLocks noChangeArrowheads="1"/>
        </xdr:cNvSpPr>
      </xdr:nvSpPr>
      <xdr:spPr bwMode="auto">
        <a:xfrm>
          <a:off x="1209675" y="15382875"/>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19050</xdr:rowOff>
    </xdr:to>
    <xdr:sp macro="" textlink="">
      <xdr:nvSpPr>
        <xdr:cNvPr id="452943" name="Text Box 345"/>
        <xdr:cNvSpPr txBox="1">
          <a:spLocks noChangeArrowheads="1"/>
        </xdr:cNvSpPr>
      </xdr:nvSpPr>
      <xdr:spPr bwMode="auto">
        <a:xfrm>
          <a:off x="1209675" y="15382875"/>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19050</xdr:rowOff>
    </xdr:to>
    <xdr:sp macro="" textlink="">
      <xdr:nvSpPr>
        <xdr:cNvPr id="452944" name="Text Box 346"/>
        <xdr:cNvSpPr txBox="1">
          <a:spLocks noChangeArrowheads="1"/>
        </xdr:cNvSpPr>
      </xdr:nvSpPr>
      <xdr:spPr bwMode="auto">
        <a:xfrm>
          <a:off x="1209675" y="15382875"/>
          <a:ext cx="76200" cy="209550"/>
        </a:xfrm>
        <a:prstGeom prst="rect">
          <a:avLst/>
        </a:prstGeom>
        <a:noFill/>
        <a:ln w="9525">
          <a:noFill/>
          <a:miter lim="800000"/>
          <a:headEnd/>
          <a:tailEnd/>
        </a:ln>
      </xdr:spPr>
    </xdr:sp>
    <xdr:clientData/>
  </xdr:twoCellAnchor>
  <xdr:twoCellAnchor editAs="oneCell">
    <xdr:from>
      <xdr:col>1</xdr:col>
      <xdr:colOff>0</xdr:colOff>
      <xdr:row>82</xdr:row>
      <xdr:rowOff>0</xdr:rowOff>
    </xdr:from>
    <xdr:to>
      <xdr:col>1</xdr:col>
      <xdr:colOff>76200</xdr:colOff>
      <xdr:row>83</xdr:row>
      <xdr:rowOff>19050</xdr:rowOff>
    </xdr:to>
    <xdr:sp macro="" textlink="">
      <xdr:nvSpPr>
        <xdr:cNvPr id="452945" name="Text Box 347"/>
        <xdr:cNvSpPr txBox="1">
          <a:spLocks noChangeArrowheads="1"/>
        </xdr:cNvSpPr>
      </xdr:nvSpPr>
      <xdr:spPr bwMode="auto">
        <a:xfrm>
          <a:off x="1209675" y="15573375"/>
          <a:ext cx="76200" cy="209550"/>
        </a:xfrm>
        <a:prstGeom prst="rect">
          <a:avLst/>
        </a:prstGeom>
        <a:noFill/>
        <a:ln w="9525">
          <a:noFill/>
          <a:miter lim="800000"/>
          <a:headEnd/>
          <a:tailEnd/>
        </a:ln>
      </xdr:spPr>
    </xdr:sp>
    <xdr:clientData/>
  </xdr:twoCellAnchor>
  <xdr:twoCellAnchor editAs="oneCell">
    <xdr:from>
      <xdr:col>1</xdr:col>
      <xdr:colOff>0</xdr:colOff>
      <xdr:row>82</xdr:row>
      <xdr:rowOff>0</xdr:rowOff>
    </xdr:from>
    <xdr:to>
      <xdr:col>1</xdr:col>
      <xdr:colOff>76200</xdr:colOff>
      <xdr:row>83</xdr:row>
      <xdr:rowOff>19050</xdr:rowOff>
    </xdr:to>
    <xdr:sp macro="" textlink="">
      <xdr:nvSpPr>
        <xdr:cNvPr id="452946" name="Text Box 348"/>
        <xdr:cNvSpPr txBox="1">
          <a:spLocks noChangeArrowheads="1"/>
        </xdr:cNvSpPr>
      </xdr:nvSpPr>
      <xdr:spPr bwMode="auto">
        <a:xfrm>
          <a:off x="1209675" y="15573375"/>
          <a:ext cx="76200" cy="209550"/>
        </a:xfrm>
        <a:prstGeom prst="rect">
          <a:avLst/>
        </a:prstGeom>
        <a:noFill/>
        <a:ln w="9525">
          <a:noFill/>
          <a:miter lim="800000"/>
          <a:headEnd/>
          <a:tailEnd/>
        </a:ln>
      </xdr:spPr>
    </xdr:sp>
    <xdr:clientData/>
  </xdr:twoCellAnchor>
  <xdr:twoCellAnchor editAs="oneCell">
    <xdr:from>
      <xdr:col>1</xdr:col>
      <xdr:colOff>0</xdr:colOff>
      <xdr:row>82</xdr:row>
      <xdr:rowOff>0</xdr:rowOff>
    </xdr:from>
    <xdr:to>
      <xdr:col>1</xdr:col>
      <xdr:colOff>76200</xdr:colOff>
      <xdr:row>83</xdr:row>
      <xdr:rowOff>19050</xdr:rowOff>
    </xdr:to>
    <xdr:sp macro="" textlink="">
      <xdr:nvSpPr>
        <xdr:cNvPr id="452947" name="Text Box 349"/>
        <xdr:cNvSpPr txBox="1">
          <a:spLocks noChangeArrowheads="1"/>
        </xdr:cNvSpPr>
      </xdr:nvSpPr>
      <xdr:spPr bwMode="auto">
        <a:xfrm>
          <a:off x="1209675" y="15573375"/>
          <a:ext cx="76200" cy="209550"/>
        </a:xfrm>
        <a:prstGeom prst="rect">
          <a:avLst/>
        </a:prstGeom>
        <a:noFill/>
        <a:ln w="9525">
          <a:noFill/>
          <a:miter lim="800000"/>
          <a:headEnd/>
          <a:tailEnd/>
        </a:ln>
      </xdr:spPr>
    </xdr:sp>
    <xdr:clientData/>
  </xdr:twoCellAnchor>
  <xdr:twoCellAnchor editAs="oneCell">
    <xdr:from>
      <xdr:col>1</xdr:col>
      <xdr:colOff>0</xdr:colOff>
      <xdr:row>82</xdr:row>
      <xdr:rowOff>0</xdr:rowOff>
    </xdr:from>
    <xdr:to>
      <xdr:col>1</xdr:col>
      <xdr:colOff>76200</xdr:colOff>
      <xdr:row>83</xdr:row>
      <xdr:rowOff>19050</xdr:rowOff>
    </xdr:to>
    <xdr:sp macro="" textlink="">
      <xdr:nvSpPr>
        <xdr:cNvPr id="452948" name="Text Box 350"/>
        <xdr:cNvSpPr txBox="1">
          <a:spLocks noChangeArrowheads="1"/>
        </xdr:cNvSpPr>
      </xdr:nvSpPr>
      <xdr:spPr bwMode="auto">
        <a:xfrm>
          <a:off x="1209675" y="15573375"/>
          <a:ext cx="76200" cy="2095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1</xdr:col>
      <xdr:colOff>76200</xdr:colOff>
      <xdr:row>84</xdr:row>
      <xdr:rowOff>19050</xdr:rowOff>
    </xdr:to>
    <xdr:sp macro="" textlink="">
      <xdr:nvSpPr>
        <xdr:cNvPr id="452949" name="Text Box 351"/>
        <xdr:cNvSpPr txBox="1">
          <a:spLocks noChangeArrowheads="1"/>
        </xdr:cNvSpPr>
      </xdr:nvSpPr>
      <xdr:spPr bwMode="auto">
        <a:xfrm>
          <a:off x="1209675" y="15763875"/>
          <a:ext cx="76200" cy="2095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1</xdr:col>
      <xdr:colOff>76200</xdr:colOff>
      <xdr:row>84</xdr:row>
      <xdr:rowOff>19050</xdr:rowOff>
    </xdr:to>
    <xdr:sp macro="" textlink="">
      <xdr:nvSpPr>
        <xdr:cNvPr id="452950" name="Text Box 352"/>
        <xdr:cNvSpPr txBox="1">
          <a:spLocks noChangeArrowheads="1"/>
        </xdr:cNvSpPr>
      </xdr:nvSpPr>
      <xdr:spPr bwMode="auto">
        <a:xfrm>
          <a:off x="1209675" y="15763875"/>
          <a:ext cx="76200" cy="2095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1</xdr:col>
      <xdr:colOff>76200</xdr:colOff>
      <xdr:row>84</xdr:row>
      <xdr:rowOff>19050</xdr:rowOff>
    </xdr:to>
    <xdr:sp macro="" textlink="">
      <xdr:nvSpPr>
        <xdr:cNvPr id="452951" name="Text Box 353"/>
        <xdr:cNvSpPr txBox="1">
          <a:spLocks noChangeArrowheads="1"/>
        </xdr:cNvSpPr>
      </xdr:nvSpPr>
      <xdr:spPr bwMode="auto">
        <a:xfrm>
          <a:off x="1209675" y="15763875"/>
          <a:ext cx="76200" cy="2095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1</xdr:col>
      <xdr:colOff>76200</xdr:colOff>
      <xdr:row>84</xdr:row>
      <xdr:rowOff>19050</xdr:rowOff>
    </xdr:to>
    <xdr:sp macro="" textlink="">
      <xdr:nvSpPr>
        <xdr:cNvPr id="452952" name="Text Box 354"/>
        <xdr:cNvSpPr txBox="1">
          <a:spLocks noChangeArrowheads="1"/>
        </xdr:cNvSpPr>
      </xdr:nvSpPr>
      <xdr:spPr bwMode="auto">
        <a:xfrm>
          <a:off x="1209675" y="15763875"/>
          <a:ext cx="76200" cy="209550"/>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1</xdr:col>
      <xdr:colOff>76200</xdr:colOff>
      <xdr:row>85</xdr:row>
      <xdr:rowOff>19050</xdr:rowOff>
    </xdr:to>
    <xdr:sp macro="" textlink="">
      <xdr:nvSpPr>
        <xdr:cNvPr id="452953" name="Text Box 355"/>
        <xdr:cNvSpPr txBox="1">
          <a:spLocks noChangeArrowheads="1"/>
        </xdr:cNvSpPr>
      </xdr:nvSpPr>
      <xdr:spPr bwMode="auto">
        <a:xfrm>
          <a:off x="1209675" y="15954375"/>
          <a:ext cx="76200" cy="209550"/>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1</xdr:col>
      <xdr:colOff>76200</xdr:colOff>
      <xdr:row>85</xdr:row>
      <xdr:rowOff>19050</xdr:rowOff>
    </xdr:to>
    <xdr:sp macro="" textlink="">
      <xdr:nvSpPr>
        <xdr:cNvPr id="452954" name="Text Box 356"/>
        <xdr:cNvSpPr txBox="1">
          <a:spLocks noChangeArrowheads="1"/>
        </xdr:cNvSpPr>
      </xdr:nvSpPr>
      <xdr:spPr bwMode="auto">
        <a:xfrm>
          <a:off x="1209675" y="15954375"/>
          <a:ext cx="76200" cy="209550"/>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1</xdr:col>
      <xdr:colOff>76200</xdr:colOff>
      <xdr:row>85</xdr:row>
      <xdr:rowOff>19050</xdr:rowOff>
    </xdr:to>
    <xdr:sp macro="" textlink="">
      <xdr:nvSpPr>
        <xdr:cNvPr id="452955" name="Text Box 357"/>
        <xdr:cNvSpPr txBox="1">
          <a:spLocks noChangeArrowheads="1"/>
        </xdr:cNvSpPr>
      </xdr:nvSpPr>
      <xdr:spPr bwMode="auto">
        <a:xfrm>
          <a:off x="1209675" y="15954375"/>
          <a:ext cx="76200" cy="209550"/>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1</xdr:col>
      <xdr:colOff>76200</xdr:colOff>
      <xdr:row>85</xdr:row>
      <xdr:rowOff>19050</xdr:rowOff>
    </xdr:to>
    <xdr:sp macro="" textlink="">
      <xdr:nvSpPr>
        <xdr:cNvPr id="452956" name="Text Box 358"/>
        <xdr:cNvSpPr txBox="1">
          <a:spLocks noChangeArrowheads="1"/>
        </xdr:cNvSpPr>
      </xdr:nvSpPr>
      <xdr:spPr bwMode="auto">
        <a:xfrm>
          <a:off x="1209675" y="15954375"/>
          <a:ext cx="76200" cy="209550"/>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1</xdr:col>
      <xdr:colOff>76200</xdr:colOff>
      <xdr:row>86</xdr:row>
      <xdr:rowOff>19050</xdr:rowOff>
    </xdr:to>
    <xdr:sp macro="" textlink="">
      <xdr:nvSpPr>
        <xdr:cNvPr id="452957" name="Text Box 359"/>
        <xdr:cNvSpPr txBox="1">
          <a:spLocks noChangeArrowheads="1"/>
        </xdr:cNvSpPr>
      </xdr:nvSpPr>
      <xdr:spPr bwMode="auto">
        <a:xfrm>
          <a:off x="1209675" y="16144875"/>
          <a:ext cx="76200" cy="209550"/>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1</xdr:col>
      <xdr:colOff>76200</xdr:colOff>
      <xdr:row>86</xdr:row>
      <xdr:rowOff>19050</xdr:rowOff>
    </xdr:to>
    <xdr:sp macro="" textlink="">
      <xdr:nvSpPr>
        <xdr:cNvPr id="452958" name="Text Box 360"/>
        <xdr:cNvSpPr txBox="1">
          <a:spLocks noChangeArrowheads="1"/>
        </xdr:cNvSpPr>
      </xdr:nvSpPr>
      <xdr:spPr bwMode="auto">
        <a:xfrm>
          <a:off x="1209675" y="16144875"/>
          <a:ext cx="76200" cy="209550"/>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1</xdr:col>
      <xdr:colOff>76200</xdr:colOff>
      <xdr:row>86</xdr:row>
      <xdr:rowOff>19050</xdr:rowOff>
    </xdr:to>
    <xdr:sp macro="" textlink="">
      <xdr:nvSpPr>
        <xdr:cNvPr id="452959" name="Text Box 361"/>
        <xdr:cNvSpPr txBox="1">
          <a:spLocks noChangeArrowheads="1"/>
        </xdr:cNvSpPr>
      </xdr:nvSpPr>
      <xdr:spPr bwMode="auto">
        <a:xfrm>
          <a:off x="1209675" y="16144875"/>
          <a:ext cx="76200" cy="209550"/>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1</xdr:col>
      <xdr:colOff>76200</xdr:colOff>
      <xdr:row>86</xdr:row>
      <xdr:rowOff>19050</xdr:rowOff>
    </xdr:to>
    <xdr:sp macro="" textlink="">
      <xdr:nvSpPr>
        <xdr:cNvPr id="452960" name="Text Box 362"/>
        <xdr:cNvSpPr txBox="1">
          <a:spLocks noChangeArrowheads="1"/>
        </xdr:cNvSpPr>
      </xdr:nvSpPr>
      <xdr:spPr bwMode="auto">
        <a:xfrm>
          <a:off x="1209675" y="16144875"/>
          <a:ext cx="76200" cy="209550"/>
        </a:xfrm>
        <a:prstGeom prst="rect">
          <a:avLst/>
        </a:prstGeom>
        <a:noFill/>
        <a:ln w="9525">
          <a:noFill/>
          <a:miter lim="800000"/>
          <a:headEnd/>
          <a:tailEnd/>
        </a:ln>
      </xdr:spPr>
    </xdr:sp>
    <xdr:clientData/>
  </xdr:twoCellAnchor>
  <xdr:twoCellAnchor editAs="oneCell">
    <xdr:from>
      <xdr:col>1</xdr:col>
      <xdr:colOff>0</xdr:colOff>
      <xdr:row>86</xdr:row>
      <xdr:rowOff>0</xdr:rowOff>
    </xdr:from>
    <xdr:to>
      <xdr:col>1</xdr:col>
      <xdr:colOff>76200</xdr:colOff>
      <xdr:row>87</xdr:row>
      <xdr:rowOff>19050</xdr:rowOff>
    </xdr:to>
    <xdr:sp macro="" textlink="">
      <xdr:nvSpPr>
        <xdr:cNvPr id="452961" name="Text Box 363"/>
        <xdr:cNvSpPr txBox="1">
          <a:spLocks noChangeArrowheads="1"/>
        </xdr:cNvSpPr>
      </xdr:nvSpPr>
      <xdr:spPr bwMode="auto">
        <a:xfrm>
          <a:off x="1209675" y="16335375"/>
          <a:ext cx="76200" cy="209550"/>
        </a:xfrm>
        <a:prstGeom prst="rect">
          <a:avLst/>
        </a:prstGeom>
        <a:noFill/>
        <a:ln w="9525">
          <a:noFill/>
          <a:miter lim="800000"/>
          <a:headEnd/>
          <a:tailEnd/>
        </a:ln>
      </xdr:spPr>
    </xdr:sp>
    <xdr:clientData/>
  </xdr:twoCellAnchor>
  <xdr:twoCellAnchor editAs="oneCell">
    <xdr:from>
      <xdr:col>1</xdr:col>
      <xdr:colOff>0</xdr:colOff>
      <xdr:row>86</xdr:row>
      <xdr:rowOff>0</xdr:rowOff>
    </xdr:from>
    <xdr:to>
      <xdr:col>1</xdr:col>
      <xdr:colOff>76200</xdr:colOff>
      <xdr:row>87</xdr:row>
      <xdr:rowOff>19050</xdr:rowOff>
    </xdr:to>
    <xdr:sp macro="" textlink="">
      <xdr:nvSpPr>
        <xdr:cNvPr id="452962" name="Text Box 364"/>
        <xdr:cNvSpPr txBox="1">
          <a:spLocks noChangeArrowheads="1"/>
        </xdr:cNvSpPr>
      </xdr:nvSpPr>
      <xdr:spPr bwMode="auto">
        <a:xfrm>
          <a:off x="1209675" y="16335375"/>
          <a:ext cx="76200" cy="209550"/>
        </a:xfrm>
        <a:prstGeom prst="rect">
          <a:avLst/>
        </a:prstGeom>
        <a:noFill/>
        <a:ln w="9525">
          <a:noFill/>
          <a:miter lim="800000"/>
          <a:headEnd/>
          <a:tailEnd/>
        </a:ln>
      </xdr:spPr>
    </xdr:sp>
    <xdr:clientData/>
  </xdr:twoCellAnchor>
  <xdr:twoCellAnchor editAs="oneCell">
    <xdr:from>
      <xdr:col>1</xdr:col>
      <xdr:colOff>0</xdr:colOff>
      <xdr:row>86</xdr:row>
      <xdr:rowOff>0</xdr:rowOff>
    </xdr:from>
    <xdr:to>
      <xdr:col>1</xdr:col>
      <xdr:colOff>76200</xdr:colOff>
      <xdr:row>87</xdr:row>
      <xdr:rowOff>19050</xdr:rowOff>
    </xdr:to>
    <xdr:sp macro="" textlink="">
      <xdr:nvSpPr>
        <xdr:cNvPr id="452963" name="Text Box 365"/>
        <xdr:cNvSpPr txBox="1">
          <a:spLocks noChangeArrowheads="1"/>
        </xdr:cNvSpPr>
      </xdr:nvSpPr>
      <xdr:spPr bwMode="auto">
        <a:xfrm>
          <a:off x="1209675" y="16335375"/>
          <a:ext cx="76200" cy="209550"/>
        </a:xfrm>
        <a:prstGeom prst="rect">
          <a:avLst/>
        </a:prstGeom>
        <a:noFill/>
        <a:ln w="9525">
          <a:noFill/>
          <a:miter lim="800000"/>
          <a:headEnd/>
          <a:tailEnd/>
        </a:ln>
      </xdr:spPr>
    </xdr:sp>
    <xdr:clientData/>
  </xdr:twoCellAnchor>
  <xdr:twoCellAnchor editAs="oneCell">
    <xdr:from>
      <xdr:col>1</xdr:col>
      <xdr:colOff>0</xdr:colOff>
      <xdr:row>86</xdr:row>
      <xdr:rowOff>0</xdr:rowOff>
    </xdr:from>
    <xdr:to>
      <xdr:col>1</xdr:col>
      <xdr:colOff>76200</xdr:colOff>
      <xdr:row>87</xdr:row>
      <xdr:rowOff>19050</xdr:rowOff>
    </xdr:to>
    <xdr:sp macro="" textlink="">
      <xdr:nvSpPr>
        <xdr:cNvPr id="452964" name="Text Box 366"/>
        <xdr:cNvSpPr txBox="1">
          <a:spLocks noChangeArrowheads="1"/>
        </xdr:cNvSpPr>
      </xdr:nvSpPr>
      <xdr:spPr bwMode="auto">
        <a:xfrm>
          <a:off x="1209675" y="16335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19050</xdr:rowOff>
    </xdr:to>
    <xdr:sp macro="" textlink="">
      <xdr:nvSpPr>
        <xdr:cNvPr id="452965" name="Text Box 367"/>
        <xdr:cNvSpPr txBox="1">
          <a:spLocks noChangeArrowheads="1"/>
        </xdr:cNvSpPr>
      </xdr:nvSpPr>
      <xdr:spPr bwMode="auto">
        <a:xfrm>
          <a:off x="1209675" y="165258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19050</xdr:rowOff>
    </xdr:to>
    <xdr:sp macro="" textlink="">
      <xdr:nvSpPr>
        <xdr:cNvPr id="452966" name="Text Box 368"/>
        <xdr:cNvSpPr txBox="1">
          <a:spLocks noChangeArrowheads="1"/>
        </xdr:cNvSpPr>
      </xdr:nvSpPr>
      <xdr:spPr bwMode="auto">
        <a:xfrm>
          <a:off x="1209675" y="165258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19050</xdr:rowOff>
    </xdr:to>
    <xdr:sp macro="" textlink="">
      <xdr:nvSpPr>
        <xdr:cNvPr id="452967" name="Text Box 369"/>
        <xdr:cNvSpPr txBox="1">
          <a:spLocks noChangeArrowheads="1"/>
        </xdr:cNvSpPr>
      </xdr:nvSpPr>
      <xdr:spPr bwMode="auto">
        <a:xfrm>
          <a:off x="1209675" y="165258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19050</xdr:rowOff>
    </xdr:to>
    <xdr:sp macro="" textlink="">
      <xdr:nvSpPr>
        <xdr:cNvPr id="452968" name="Text Box 370"/>
        <xdr:cNvSpPr txBox="1">
          <a:spLocks noChangeArrowheads="1"/>
        </xdr:cNvSpPr>
      </xdr:nvSpPr>
      <xdr:spPr bwMode="auto">
        <a:xfrm>
          <a:off x="1209675" y="165258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19050</xdr:rowOff>
    </xdr:to>
    <xdr:sp macro="" textlink="">
      <xdr:nvSpPr>
        <xdr:cNvPr id="452969" name="Text Box 371"/>
        <xdr:cNvSpPr txBox="1">
          <a:spLocks noChangeArrowheads="1"/>
        </xdr:cNvSpPr>
      </xdr:nvSpPr>
      <xdr:spPr bwMode="auto">
        <a:xfrm>
          <a:off x="1209675" y="167163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19050</xdr:rowOff>
    </xdr:to>
    <xdr:sp macro="" textlink="">
      <xdr:nvSpPr>
        <xdr:cNvPr id="452970" name="Text Box 372"/>
        <xdr:cNvSpPr txBox="1">
          <a:spLocks noChangeArrowheads="1"/>
        </xdr:cNvSpPr>
      </xdr:nvSpPr>
      <xdr:spPr bwMode="auto">
        <a:xfrm>
          <a:off x="1209675" y="167163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19050</xdr:rowOff>
    </xdr:to>
    <xdr:sp macro="" textlink="">
      <xdr:nvSpPr>
        <xdr:cNvPr id="452971" name="Text Box 373"/>
        <xdr:cNvSpPr txBox="1">
          <a:spLocks noChangeArrowheads="1"/>
        </xdr:cNvSpPr>
      </xdr:nvSpPr>
      <xdr:spPr bwMode="auto">
        <a:xfrm>
          <a:off x="1209675" y="167163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19050</xdr:rowOff>
    </xdr:to>
    <xdr:sp macro="" textlink="">
      <xdr:nvSpPr>
        <xdr:cNvPr id="452972" name="Text Box 374"/>
        <xdr:cNvSpPr txBox="1">
          <a:spLocks noChangeArrowheads="1"/>
        </xdr:cNvSpPr>
      </xdr:nvSpPr>
      <xdr:spPr bwMode="auto">
        <a:xfrm>
          <a:off x="1209675" y="16716375"/>
          <a:ext cx="76200" cy="20955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1</xdr:col>
      <xdr:colOff>76200</xdr:colOff>
      <xdr:row>90</xdr:row>
      <xdr:rowOff>19050</xdr:rowOff>
    </xdr:to>
    <xdr:sp macro="" textlink="">
      <xdr:nvSpPr>
        <xdr:cNvPr id="452973" name="Text Box 375"/>
        <xdr:cNvSpPr txBox="1">
          <a:spLocks noChangeArrowheads="1"/>
        </xdr:cNvSpPr>
      </xdr:nvSpPr>
      <xdr:spPr bwMode="auto">
        <a:xfrm>
          <a:off x="1209675" y="16906875"/>
          <a:ext cx="76200" cy="20955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1</xdr:col>
      <xdr:colOff>76200</xdr:colOff>
      <xdr:row>90</xdr:row>
      <xdr:rowOff>19050</xdr:rowOff>
    </xdr:to>
    <xdr:sp macro="" textlink="">
      <xdr:nvSpPr>
        <xdr:cNvPr id="452974" name="Text Box 376"/>
        <xdr:cNvSpPr txBox="1">
          <a:spLocks noChangeArrowheads="1"/>
        </xdr:cNvSpPr>
      </xdr:nvSpPr>
      <xdr:spPr bwMode="auto">
        <a:xfrm>
          <a:off x="1209675" y="16906875"/>
          <a:ext cx="76200" cy="20955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1</xdr:col>
      <xdr:colOff>76200</xdr:colOff>
      <xdr:row>90</xdr:row>
      <xdr:rowOff>19050</xdr:rowOff>
    </xdr:to>
    <xdr:sp macro="" textlink="">
      <xdr:nvSpPr>
        <xdr:cNvPr id="452975" name="Text Box 377"/>
        <xdr:cNvSpPr txBox="1">
          <a:spLocks noChangeArrowheads="1"/>
        </xdr:cNvSpPr>
      </xdr:nvSpPr>
      <xdr:spPr bwMode="auto">
        <a:xfrm>
          <a:off x="1209675" y="16906875"/>
          <a:ext cx="76200" cy="20955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1</xdr:col>
      <xdr:colOff>76200</xdr:colOff>
      <xdr:row>90</xdr:row>
      <xdr:rowOff>19050</xdr:rowOff>
    </xdr:to>
    <xdr:sp macro="" textlink="">
      <xdr:nvSpPr>
        <xdr:cNvPr id="452976" name="Text Box 378"/>
        <xdr:cNvSpPr txBox="1">
          <a:spLocks noChangeArrowheads="1"/>
        </xdr:cNvSpPr>
      </xdr:nvSpPr>
      <xdr:spPr bwMode="auto">
        <a:xfrm>
          <a:off x="1209675" y="169068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19050</xdr:rowOff>
    </xdr:to>
    <xdr:sp macro="" textlink="">
      <xdr:nvSpPr>
        <xdr:cNvPr id="452977" name="Text Box 379"/>
        <xdr:cNvSpPr txBox="1">
          <a:spLocks noChangeArrowheads="1"/>
        </xdr:cNvSpPr>
      </xdr:nvSpPr>
      <xdr:spPr bwMode="auto">
        <a:xfrm>
          <a:off x="1209675" y="170973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19050</xdr:rowOff>
    </xdr:to>
    <xdr:sp macro="" textlink="">
      <xdr:nvSpPr>
        <xdr:cNvPr id="452978" name="Text Box 380"/>
        <xdr:cNvSpPr txBox="1">
          <a:spLocks noChangeArrowheads="1"/>
        </xdr:cNvSpPr>
      </xdr:nvSpPr>
      <xdr:spPr bwMode="auto">
        <a:xfrm>
          <a:off x="1209675" y="170973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19050</xdr:rowOff>
    </xdr:to>
    <xdr:sp macro="" textlink="">
      <xdr:nvSpPr>
        <xdr:cNvPr id="452979" name="Text Box 381"/>
        <xdr:cNvSpPr txBox="1">
          <a:spLocks noChangeArrowheads="1"/>
        </xdr:cNvSpPr>
      </xdr:nvSpPr>
      <xdr:spPr bwMode="auto">
        <a:xfrm>
          <a:off x="1209675" y="170973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19050</xdr:rowOff>
    </xdr:to>
    <xdr:sp macro="" textlink="">
      <xdr:nvSpPr>
        <xdr:cNvPr id="452980" name="Text Box 382"/>
        <xdr:cNvSpPr txBox="1">
          <a:spLocks noChangeArrowheads="1"/>
        </xdr:cNvSpPr>
      </xdr:nvSpPr>
      <xdr:spPr bwMode="auto">
        <a:xfrm>
          <a:off x="1209675" y="170973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19050</xdr:rowOff>
    </xdr:to>
    <xdr:sp macro="" textlink="">
      <xdr:nvSpPr>
        <xdr:cNvPr id="452981" name="Text Box 383"/>
        <xdr:cNvSpPr txBox="1">
          <a:spLocks noChangeArrowheads="1"/>
        </xdr:cNvSpPr>
      </xdr:nvSpPr>
      <xdr:spPr bwMode="auto">
        <a:xfrm>
          <a:off x="1209675" y="172878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19050</xdr:rowOff>
    </xdr:to>
    <xdr:sp macro="" textlink="">
      <xdr:nvSpPr>
        <xdr:cNvPr id="452982" name="Text Box 384"/>
        <xdr:cNvSpPr txBox="1">
          <a:spLocks noChangeArrowheads="1"/>
        </xdr:cNvSpPr>
      </xdr:nvSpPr>
      <xdr:spPr bwMode="auto">
        <a:xfrm>
          <a:off x="1209675" y="172878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19050</xdr:rowOff>
    </xdr:to>
    <xdr:sp macro="" textlink="">
      <xdr:nvSpPr>
        <xdr:cNvPr id="452983" name="Text Box 385"/>
        <xdr:cNvSpPr txBox="1">
          <a:spLocks noChangeArrowheads="1"/>
        </xdr:cNvSpPr>
      </xdr:nvSpPr>
      <xdr:spPr bwMode="auto">
        <a:xfrm>
          <a:off x="1209675" y="172878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19050</xdr:rowOff>
    </xdr:to>
    <xdr:sp macro="" textlink="">
      <xdr:nvSpPr>
        <xdr:cNvPr id="452984" name="Text Box 386"/>
        <xdr:cNvSpPr txBox="1">
          <a:spLocks noChangeArrowheads="1"/>
        </xdr:cNvSpPr>
      </xdr:nvSpPr>
      <xdr:spPr bwMode="auto">
        <a:xfrm>
          <a:off x="1209675" y="17287875"/>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19050</xdr:rowOff>
    </xdr:to>
    <xdr:sp macro="" textlink="">
      <xdr:nvSpPr>
        <xdr:cNvPr id="452985" name="Text Box 387"/>
        <xdr:cNvSpPr txBox="1">
          <a:spLocks noChangeArrowheads="1"/>
        </xdr:cNvSpPr>
      </xdr:nvSpPr>
      <xdr:spPr bwMode="auto">
        <a:xfrm>
          <a:off x="1209675" y="17478375"/>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19050</xdr:rowOff>
    </xdr:to>
    <xdr:sp macro="" textlink="">
      <xdr:nvSpPr>
        <xdr:cNvPr id="452986" name="Text Box 388"/>
        <xdr:cNvSpPr txBox="1">
          <a:spLocks noChangeArrowheads="1"/>
        </xdr:cNvSpPr>
      </xdr:nvSpPr>
      <xdr:spPr bwMode="auto">
        <a:xfrm>
          <a:off x="1209675" y="17478375"/>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19050</xdr:rowOff>
    </xdr:to>
    <xdr:sp macro="" textlink="">
      <xdr:nvSpPr>
        <xdr:cNvPr id="452987" name="Text Box 389"/>
        <xdr:cNvSpPr txBox="1">
          <a:spLocks noChangeArrowheads="1"/>
        </xdr:cNvSpPr>
      </xdr:nvSpPr>
      <xdr:spPr bwMode="auto">
        <a:xfrm>
          <a:off x="1209675" y="17478375"/>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19050</xdr:rowOff>
    </xdr:to>
    <xdr:sp macro="" textlink="">
      <xdr:nvSpPr>
        <xdr:cNvPr id="452988" name="Text Box 390"/>
        <xdr:cNvSpPr txBox="1">
          <a:spLocks noChangeArrowheads="1"/>
        </xdr:cNvSpPr>
      </xdr:nvSpPr>
      <xdr:spPr bwMode="auto">
        <a:xfrm>
          <a:off x="1209675" y="174783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19050</xdr:rowOff>
    </xdr:to>
    <xdr:sp macro="" textlink="">
      <xdr:nvSpPr>
        <xdr:cNvPr id="452989" name="Text Box 391"/>
        <xdr:cNvSpPr txBox="1">
          <a:spLocks noChangeArrowheads="1"/>
        </xdr:cNvSpPr>
      </xdr:nvSpPr>
      <xdr:spPr bwMode="auto">
        <a:xfrm>
          <a:off x="1209675" y="176688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19050</xdr:rowOff>
    </xdr:to>
    <xdr:sp macro="" textlink="">
      <xdr:nvSpPr>
        <xdr:cNvPr id="452990" name="Text Box 392"/>
        <xdr:cNvSpPr txBox="1">
          <a:spLocks noChangeArrowheads="1"/>
        </xdr:cNvSpPr>
      </xdr:nvSpPr>
      <xdr:spPr bwMode="auto">
        <a:xfrm>
          <a:off x="1209675" y="176688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19050</xdr:rowOff>
    </xdr:to>
    <xdr:sp macro="" textlink="">
      <xdr:nvSpPr>
        <xdr:cNvPr id="452991" name="Text Box 393"/>
        <xdr:cNvSpPr txBox="1">
          <a:spLocks noChangeArrowheads="1"/>
        </xdr:cNvSpPr>
      </xdr:nvSpPr>
      <xdr:spPr bwMode="auto">
        <a:xfrm>
          <a:off x="1209675" y="176688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19050</xdr:rowOff>
    </xdr:to>
    <xdr:sp macro="" textlink="">
      <xdr:nvSpPr>
        <xdr:cNvPr id="452992" name="Text Box 394"/>
        <xdr:cNvSpPr txBox="1">
          <a:spLocks noChangeArrowheads="1"/>
        </xdr:cNvSpPr>
      </xdr:nvSpPr>
      <xdr:spPr bwMode="auto">
        <a:xfrm>
          <a:off x="1209675" y="1766887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19050</xdr:rowOff>
    </xdr:to>
    <xdr:sp macro="" textlink="">
      <xdr:nvSpPr>
        <xdr:cNvPr id="452993" name="Text Box 395"/>
        <xdr:cNvSpPr txBox="1">
          <a:spLocks noChangeArrowheads="1"/>
        </xdr:cNvSpPr>
      </xdr:nvSpPr>
      <xdr:spPr bwMode="auto">
        <a:xfrm>
          <a:off x="1209675" y="1785937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19050</xdr:rowOff>
    </xdr:to>
    <xdr:sp macro="" textlink="">
      <xdr:nvSpPr>
        <xdr:cNvPr id="452994" name="Text Box 396"/>
        <xdr:cNvSpPr txBox="1">
          <a:spLocks noChangeArrowheads="1"/>
        </xdr:cNvSpPr>
      </xdr:nvSpPr>
      <xdr:spPr bwMode="auto">
        <a:xfrm>
          <a:off x="1209675" y="1785937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19050</xdr:rowOff>
    </xdr:to>
    <xdr:sp macro="" textlink="">
      <xdr:nvSpPr>
        <xdr:cNvPr id="452995" name="Text Box 397"/>
        <xdr:cNvSpPr txBox="1">
          <a:spLocks noChangeArrowheads="1"/>
        </xdr:cNvSpPr>
      </xdr:nvSpPr>
      <xdr:spPr bwMode="auto">
        <a:xfrm>
          <a:off x="1209675" y="1785937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19050</xdr:rowOff>
    </xdr:to>
    <xdr:sp macro="" textlink="">
      <xdr:nvSpPr>
        <xdr:cNvPr id="452996" name="Text Box 398"/>
        <xdr:cNvSpPr txBox="1">
          <a:spLocks noChangeArrowheads="1"/>
        </xdr:cNvSpPr>
      </xdr:nvSpPr>
      <xdr:spPr bwMode="auto">
        <a:xfrm>
          <a:off x="1209675" y="17859375"/>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19050</xdr:rowOff>
    </xdr:to>
    <xdr:sp macro="" textlink="">
      <xdr:nvSpPr>
        <xdr:cNvPr id="452997" name="Text Box 399"/>
        <xdr:cNvSpPr txBox="1">
          <a:spLocks noChangeArrowheads="1"/>
        </xdr:cNvSpPr>
      </xdr:nvSpPr>
      <xdr:spPr bwMode="auto">
        <a:xfrm>
          <a:off x="1209675" y="18049875"/>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19050</xdr:rowOff>
    </xdr:to>
    <xdr:sp macro="" textlink="">
      <xdr:nvSpPr>
        <xdr:cNvPr id="452998" name="Text Box 400"/>
        <xdr:cNvSpPr txBox="1">
          <a:spLocks noChangeArrowheads="1"/>
        </xdr:cNvSpPr>
      </xdr:nvSpPr>
      <xdr:spPr bwMode="auto">
        <a:xfrm>
          <a:off x="1209675" y="18049875"/>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19050</xdr:rowOff>
    </xdr:to>
    <xdr:sp macro="" textlink="">
      <xdr:nvSpPr>
        <xdr:cNvPr id="452999" name="Text Box 401"/>
        <xdr:cNvSpPr txBox="1">
          <a:spLocks noChangeArrowheads="1"/>
        </xdr:cNvSpPr>
      </xdr:nvSpPr>
      <xdr:spPr bwMode="auto">
        <a:xfrm>
          <a:off x="1209675" y="18049875"/>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19050</xdr:rowOff>
    </xdr:to>
    <xdr:sp macro="" textlink="">
      <xdr:nvSpPr>
        <xdr:cNvPr id="453000" name="Text Box 402"/>
        <xdr:cNvSpPr txBox="1">
          <a:spLocks noChangeArrowheads="1"/>
        </xdr:cNvSpPr>
      </xdr:nvSpPr>
      <xdr:spPr bwMode="auto">
        <a:xfrm>
          <a:off x="1209675" y="180498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19050</xdr:rowOff>
    </xdr:to>
    <xdr:sp macro="" textlink="">
      <xdr:nvSpPr>
        <xdr:cNvPr id="453001" name="Text Box 403"/>
        <xdr:cNvSpPr txBox="1">
          <a:spLocks noChangeArrowheads="1"/>
        </xdr:cNvSpPr>
      </xdr:nvSpPr>
      <xdr:spPr bwMode="auto">
        <a:xfrm>
          <a:off x="1209675" y="182403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19050</xdr:rowOff>
    </xdr:to>
    <xdr:sp macro="" textlink="">
      <xdr:nvSpPr>
        <xdr:cNvPr id="453002" name="Text Box 404"/>
        <xdr:cNvSpPr txBox="1">
          <a:spLocks noChangeArrowheads="1"/>
        </xdr:cNvSpPr>
      </xdr:nvSpPr>
      <xdr:spPr bwMode="auto">
        <a:xfrm>
          <a:off x="1209675" y="182403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19050</xdr:rowOff>
    </xdr:to>
    <xdr:sp macro="" textlink="">
      <xdr:nvSpPr>
        <xdr:cNvPr id="453003" name="Text Box 405"/>
        <xdr:cNvSpPr txBox="1">
          <a:spLocks noChangeArrowheads="1"/>
        </xdr:cNvSpPr>
      </xdr:nvSpPr>
      <xdr:spPr bwMode="auto">
        <a:xfrm>
          <a:off x="1209675" y="182403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19050</xdr:rowOff>
    </xdr:to>
    <xdr:sp macro="" textlink="">
      <xdr:nvSpPr>
        <xdr:cNvPr id="453004" name="Text Box 406"/>
        <xdr:cNvSpPr txBox="1">
          <a:spLocks noChangeArrowheads="1"/>
        </xdr:cNvSpPr>
      </xdr:nvSpPr>
      <xdr:spPr bwMode="auto">
        <a:xfrm>
          <a:off x="1209675" y="18240375"/>
          <a:ext cx="76200" cy="209550"/>
        </a:xfrm>
        <a:prstGeom prst="rect">
          <a:avLst/>
        </a:prstGeom>
        <a:noFill/>
        <a:ln w="9525">
          <a:noFill/>
          <a:miter lim="800000"/>
          <a:headEnd/>
          <a:tailEnd/>
        </a:ln>
      </xdr:spPr>
    </xdr:sp>
    <xdr:clientData/>
  </xdr:twoCellAnchor>
  <xdr:twoCellAnchor editAs="oneCell">
    <xdr:from>
      <xdr:col>1</xdr:col>
      <xdr:colOff>0</xdr:colOff>
      <xdr:row>97</xdr:row>
      <xdr:rowOff>0</xdr:rowOff>
    </xdr:from>
    <xdr:to>
      <xdr:col>1</xdr:col>
      <xdr:colOff>76200</xdr:colOff>
      <xdr:row>98</xdr:row>
      <xdr:rowOff>19050</xdr:rowOff>
    </xdr:to>
    <xdr:sp macro="" textlink="">
      <xdr:nvSpPr>
        <xdr:cNvPr id="453005" name="Text Box 407"/>
        <xdr:cNvSpPr txBox="1">
          <a:spLocks noChangeArrowheads="1"/>
        </xdr:cNvSpPr>
      </xdr:nvSpPr>
      <xdr:spPr bwMode="auto">
        <a:xfrm>
          <a:off x="1209675" y="18430875"/>
          <a:ext cx="76200" cy="209550"/>
        </a:xfrm>
        <a:prstGeom prst="rect">
          <a:avLst/>
        </a:prstGeom>
        <a:noFill/>
        <a:ln w="9525">
          <a:noFill/>
          <a:miter lim="800000"/>
          <a:headEnd/>
          <a:tailEnd/>
        </a:ln>
      </xdr:spPr>
    </xdr:sp>
    <xdr:clientData/>
  </xdr:twoCellAnchor>
  <xdr:twoCellAnchor editAs="oneCell">
    <xdr:from>
      <xdr:col>1</xdr:col>
      <xdr:colOff>0</xdr:colOff>
      <xdr:row>97</xdr:row>
      <xdr:rowOff>0</xdr:rowOff>
    </xdr:from>
    <xdr:to>
      <xdr:col>1</xdr:col>
      <xdr:colOff>76200</xdr:colOff>
      <xdr:row>98</xdr:row>
      <xdr:rowOff>19050</xdr:rowOff>
    </xdr:to>
    <xdr:sp macro="" textlink="">
      <xdr:nvSpPr>
        <xdr:cNvPr id="453006" name="Text Box 408"/>
        <xdr:cNvSpPr txBox="1">
          <a:spLocks noChangeArrowheads="1"/>
        </xdr:cNvSpPr>
      </xdr:nvSpPr>
      <xdr:spPr bwMode="auto">
        <a:xfrm>
          <a:off x="1209675" y="18430875"/>
          <a:ext cx="76200" cy="209550"/>
        </a:xfrm>
        <a:prstGeom prst="rect">
          <a:avLst/>
        </a:prstGeom>
        <a:noFill/>
        <a:ln w="9525">
          <a:noFill/>
          <a:miter lim="800000"/>
          <a:headEnd/>
          <a:tailEnd/>
        </a:ln>
      </xdr:spPr>
    </xdr:sp>
    <xdr:clientData/>
  </xdr:twoCellAnchor>
  <xdr:twoCellAnchor editAs="oneCell">
    <xdr:from>
      <xdr:col>1</xdr:col>
      <xdr:colOff>0</xdr:colOff>
      <xdr:row>97</xdr:row>
      <xdr:rowOff>0</xdr:rowOff>
    </xdr:from>
    <xdr:to>
      <xdr:col>1</xdr:col>
      <xdr:colOff>76200</xdr:colOff>
      <xdr:row>98</xdr:row>
      <xdr:rowOff>19050</xdr:rowOff>
    </xdr:to>
    <xdr:sp macro="" textlink="">
      <xdr:nvSpPr>
        <xdr:cNvPr id="453007" name="Text Box 409"/>
        <xdr:cNvSpPr txBox="1">
          <a:spLocks noChangeArrowheads="1"/>
        </xdr:cNvSpPr>
      </xdr:nvSpPr>
      <xdr:spPr bwMode="auto">
        <a:xfrm>
          <a:off x="1209675" y="18430875"/>
          <a:ext cx="76200" cy="209550"/>
        </a:xfrm>
        <a:prstGeom prst="rect">
          <a:avLst/>
        </a:prstGeom>
        <a:noFill/>
        <a:ln w="9525">
          <a:noFill/>
          <a:miter lim="800000"/>
          <a:headEnd/>
          <a:tailEnd/>
        </a:ln>
      </xdr:spPr>
    </xdr:sp>
    <xdr:clientData/>
  </xdr:twoCellAnchor>
  <xdr:twoCellAnchor editAs="oneCell">
    <xdr:from>
      <xdr:col>1</xdr:col>
      <xdr:colOff>0</xdr:colOff>
      <xdr:row>97</xdr:row>
      <xdr:rowOff>0</xdr:rowOff>
    </xdr:from>
    <xdr:to>
      <xdr:col>1</xdr:col>
      <xdr:colOff>76200</xdr:colOff>
      <xdr:row>98</xdr:row>
      <xdr:rowOff>19050</xdr:rowOff>
    </xdr:to>
    <xdr:sp macro="" textlink="">
      <xdr:nvSpPr>
        <xdr:cNvPr id="453008" name="Text Box 410"/>
        <xdr:cNvSpPr txBox="1">
          <a:spLocks noChangeArrowheads="1"/>
        </xdr:cNvSpPr>
      </xdr:nvSpPr>
      <xdr:spPr bwMode="auto">
        <a:xfrm>
          <a:off x="1209675" y="18430875"/>
          <a:ext cx="76200" cy="209550"/>
        </a:xfrm>
        <a:prstGeom prst="rect">
          <a:avLst/>
        </a:prstGeom>
        <a:noFill/>
        <a:ln w="9525">
          <a:noFill/>
          <a:miter lim="800000"/>
          <a:headEnd/>
          <a:tailEnd/>
        </a:ln>
      </xdr:spPr>
    </xdr:sp>
    <xdr:clientData/>
  </xdr:twoCellAnchor>
  <xdr:twoCellAnchor editAs="oneCell">
    <xdr:from>
      <xdr:col>1</xdr:col>
      <xdr:colOff>0</xdr:colOff>
      <xdr:row>98</xdr:row>
      <xdr:rowOff>0</xdr:rowOff>
    </xdr:from>
    <xdr:to>
      <xdr:col>1</xdr:col>
      <xdr:colOff>76200</xdr:colOff>
      <xdr:row>99</xdr:row>
      <xdr:rowOff>19050</xdr:rowOff>
    </xdr:to>
    <xdr:sp macro="" textlink="">
      <xdr:nvSpPr>
        <xdr:cNvPr id="453009" name="Text Box 411"/>
        <xdr:cNvSpPr txBox="1">
          <a:spLocks noChangeArrowheads="1"/>
        </xdr:cNvSpPr>
      </xdr:nvSpPr>
      <xdr:spPr bwMode="auto">
        <a:xfrm>
          <a:off x="1209675" y="18621375"/>
          <a:ext cx="76200" cy="209550"/>
        </a:xfrm>
        <a:prstGeom prst="rect">
          <a:avLst/>
        </a:prstGeom>
        <a:noFill/>
        <a:ln w="9525">
          <a:noFill/>
          <a:miter lim="800000"/>
          <a:headEnd/>
          <a:tailEnd/>
        </a:ln>
      </xdr:spPr>
    </xdr:sp>
    <xdr:clientData/>
  </xdr:twoCellAnchor>
  <xdr:twoCellAnchor editAs="oneCell">
    <xdr:from>
      <xdr:col>1</xdr:col>
      <xdr:colOff>0</xdr:colOff>
      <xdr:row>98</xdr:row>
      <xdr:rowOff>0</xdr:rowOff>
    </xdr:from>
    <xdr:to>
      <xdr:col>1</xdr:col>
      <xdr:colOff>76200</xdr:colOff>
      <xdr:row>99</xdr:row>
      <xdr:rowOff>19050</xdr:rowOff>
    </xdr:to>
    <xdr:sp macro="" textlink="">
      <xdr:nvSpPr>
        <xdr:cNvPr id="453010" name="Text Box 412"/>
        <xdr:cNvSpPr txBox="1">
          <a:spLocks noChangeArrowheads="1"/>
        </xdr:cNvSpPr>
      </xdr:nvSpPr>
      <xdr:spPr bwMode="auto">
        <a:xfrm>
          <a:off x="1209675" y="18621375"/>
          <a:ext cx="76200" cy="209550"/>
        </a:xfrm>
        <a:prstGeom prst="rect">
          <a:avLst/>
        </a:prstGeom>
        <a:noFill/>
        <a:ln w="9525">
          <a:noFill/>
          <a:miter lim="800000"/>
          <a:headEnd/>
          <a:tailEnd/>
        </a:ln>
      </xdr:spPr>
    </xdr:sp>
    <xdr:clientData/>
  </xdr:twoCellAnchor>
  <xdr:twoCellAnchor editAs="oneCell">
    <xdr:from>
      <xdr:col>1</xdr:col>
      <xdr:colOff>0</xdr:colOff>
      <xdr:row>98</xdr:row>
      <xdr:rowOff>0</xdr:rowOff>
    </xdr:from>
    <xdr:to>
      <xdr:col>1</xdr:col>
      <xdr:colOff>76200</xdr:colOff>
      <xdr:row>99</xdr:row>
      <xdr:rowOff>19050</xdr:rowOff>
    </xdr:to>
    <xdr:sp macro="" textlink="">
      <xdr:nvSpPr>
        <xdr:cNvPr id="453011" name="Text Box 413"/>
        <xdr:cNvSpPr txBox="1">
          <a:spLocks noChangeArrowheads="1"/>
        </xdr:cNvSpPr>
      </xdr:nvSpPr>
      <xdr:spPr bwMode="auto">
        <a:xfrm>
          <a:off x="1209675" y="18621375"/>
          <a:ext cx="76200" cy="209550"/>
        </a:xfrm>
        <a:prstGeom prst="rect">
          <a:avLst/>
        </a:prstGeom>
        <a:noFill/>
        <a:ln w="9525">
          <a:noFill/>
          <a:miter lim="800000"/>
          <a:headEnd/>
          <a:tailEnd/>
        </a:ln>
      </xdr:spPr>
    </xdr:sp>
    <xdr:clientData/>
  </xdr:twoCellAnchor>
  <xdr:twoCellAnchor editAs="oneCell">
    <xdr:from>
      <xdr:col>1</xdr:col>
      <xdr:colOff>0</xdr:colOff>
      <xdr:row>98</xdr:row>
      <xdr:rowOff>0</xdr:rowOff>
    </xdr:from>
    <xdr:to>
      <xdr:col>1</xdr:col>
      <xdr:colOff>76200</xdr:colOff>
      <xdr:row>99</xdr:row>
      <xdr:rowOff>19050</xdr:rowOff>
    </xdr:to>
    <xdr:sp macro="" textlink="">
      <xdr:nvSpPr>
        <xdr:cNvPr id="453012" name="Text Box 414"/>
        <xdr:cNvSpPr txBox="1">
          <a:spLocks noChangeArrowheads="1"/>
        </xdr:cNvSpPr>
      </xdr:nvSpPr>
      <xdr:spPr bwMode="auto">
        <a:xfrm>
          <a:off x="1209675" y="18621375"/>
          <a:ext cx="76200" cy="209550"/>
        </a:xfrm>
        <a:prstGeom prst="rect">
          <a:avLst/>
        </a:prstGeom>
        <a:noFill/>
        <a:ln w="9525">
          <a:noFill/>
          <a:miter lim="800000"/>
          <a:headEnd/>
          <a:tailEnd/>
        </a:ln>
      </xdr:spPr>
    </xdr:sp>
    <xdr:clientData/>
  </xdr:twoCellAnchor>
  <xdr:twoCellAnchor editAs="oneCell">
    <xdr:from>
      <xdr:col>1</xdr:col>
      <xdr:colOff>0</xdr:colOff>
      <xdr:row>99</xdr:row>
      <xdr:rowOff>0</xdr:rowOff>
    </xdr:from>
    <xdr:to>
      <xdr:col>1</xdr:col>
      <xdr:colOff>76200</xdr:colOff>
      <xdr:row>100</xdr:row>
      <xdr:rowOff>19050</xdr:rowOff>
    </xdr:to>
    <xdr:sp macro="" textlink="">
      <xdr:nvSpPr>
        <xdr:cNvPr id="453013" name="Text Box 415"/>
        <xdr:cNvSpPr txBox="1">
          <a:spLocks noChangeArrowheads="1"/>
        </xdr:cNvSpPr>
      </xdr:nvSpPr>
      <xdr:spPr bwMode="auto">
        <a:xfrm>
          <a:off x="1209675" y="18811875"/>
          <a:ext cx="76200" cy="209550"/>
        </a:xfrm>
        <a:prstGeom prst="rect">
          <a:avLst/>
        </a:prstGeom>
        <a:noFill/>
        <a:ln w="9525">
          <a:noFill/>
          <a:miter lim="800000"/>
          <a:headEnd/>
          <a:tailEnd/>
        </a:ln>
      </xdr:spPr>
    </xdr:sp>
    <xdr:clientData/>
  </xdr:twoCellAnchor>
  <xdr:twoCellAnchor editAs="oneCell">
    <xdr:from>
      <xdr:col>1</xdr:col>
      <xdr:colOff>0</xdr:colOff>
      <xdr:row>99</xdr:row>
      <xdr:rowOff>0</xdr:rowOff>
    </xdr:from>
    <xdr:to>
      <xdr:col>1</xdr:col>
      <xdr:colOff>76200</xdr:colOff>
      <xdr:row>100</xdr:row>
      <xdr:rowOff>19050</xdr:rowOff>
    </xdr:to>
    <xdr:sp macro="" textlink="">
      <xdr:nvSpPr>
        <xdr:cNvPr id="453014" name="Text Box 416"/>
        <xdr:cNvSpPr txBox="1">
          <a:spLocks noChangeArrowheads="1"/>
        </xdr:cNvSpPr>
      </xdr:nvSpPr>
      <xdr:spPr bwMode="auto">
        <a:xfrm>
          <a:off x="1209675" y="18811875"/>
          <a:ext cx="76200" cy="209550"/>
        </a:xfrm>
        <a:prstGeom prst="rect">
          <a:avLst/>
        </a:prstGeom>
        <a:noFill/>
        <a:ln w="9525">
          <a:noFill/>
          <a:miter lim="800000"/>
          <a:headEnd/>
          <a:tailEnd/>
        </a:ln>
      </xdr:spPr>
    </xdr:sp>
    <xdr:clientData/>
  </xdr:twoCellAnchor>
  <xdr:twoCellAnchor editAs="oneCell">
    <xdr:from>
      <xdr:col>1</xdr:col>
      <xdr:colOff>0</xdr:colOff>
      <xdr:row>99</xdr:row>
      <xdr:rowOff>0</xdr:rowOff>
    </xdr:from>
    <xdr:to>
      <xdr:col>1</xdr:col>
      <xdr:colOff>76200</xdr:colOff>
      <xdr:row>100</xdr:row>
      <xdr:rowOff>19050</xdr:rowOff>
    </xdr:to>
    <xdr:sp macro="" textlink="">
      <xdr:nvSpPr>
        <xdr:cNvPr id="453015" name="Text Box 417"/>
        <xdr:cNvSpPr txBox="1">
          <a:spLocks noChangeArrowheads="1"/>
        </xdr:cNvSpPr>
      </xdr:nvSpPr>
      <xdr:spPr bwMode="auto">
        <a:xfrm>
          <a:off x="1209675" y="18811875"/>
          <a:ext cx="76200" cy="209550"/>
        </a:xfrm>
        <a:prstGeom prst="rect">
          <a:avLst/>
        </a:prstGeom>
        <a:noFill/>
        <a:ln w="9525">
          <a:noFill/>
          <a:miter lim="800000"/>
          <a:headEnd/>
          <a:tailEnd/>
        </a:ln>
      </xdr:spPr>
    </xdr:sp>
    <xdr:clientData/>
  </xdr:twoCellAnchor>
  <xdr:twoCellAnchor editAs="oneCell">
    <xdr:from>
      <xdr:col>1</xdr:col>
      <xdr:colOff>0</xdr:colOff>
      <xdr:row>99</xdr:row>
      <xdr:rowOff>0</xdr:rowOff>
    </xdr:from>
    <xdr:to>
      <xdr:col>1</xdr:col>
      <xdr:colOff>76200</xdr:colOff>
      <xdr:row>100</xdr:row>
      <xdr:rowOff>19050</xdr:rowOff>
    </xdr:to>
    <xdr:sp macro="" textlink="">
      <xdr:nvSpPr>
        <xdr:cNvPr id="453016" name="Text Box 418"/>
        <xdr:cNvSpPr txBox="1">
          <a:spLocks noChangeArrowheads="1"/>
        </xdr:cNvSpPr>
      </xdr:nvSpPr>
      <xdr:spPr bwMode="auto">
        <a:xfrm>
          <a:off x="1209675" y="18811875"/>
          <a:ext cx="76200" cy="209550"/>
        </a:xfrm>
        <a:prstGeom prst="rect">
          <a:avLst/>
        </a:prstGeom>
        <a:noFill/>
        <a:ln w="9525">
          <a:noFill/>
          <a:miter lim="800000"/>
          <a:headEnd/>
          <a:tailEnd/>
        </a:ln>
      </xdr:spPr>
    </xdr:sp>
    <xdr:clientData/>
  </xdr:twoCellAnchor>
  <xdr:twoCellAnchor editAs="oneCell">
    <xdr:from>
      <xdr:col>1</xdr:col>
      <xdr:colOff>0</xdr:colOff>
      <xdr:row>100</xdr:row>
      <xdr:rowOff>0</xdr:rowOff>
    </xdr:from>
    <xdr:to>
      <xdr:col>1</xdr:col>
      <xdr:colOff>76200</xdr:colOff>
      <xdr:row>101</xdr:row>
      <xdr:rowOff>19050</xdr:rowOff>
    </xdr:to>
    <xdr:sp macro="" textlink="">
      <xdr:nvSpPr>
        <xdr:cNvPr id="453017" name="Text Box 419"/>
        <xdr:cNvSpPr txBox="1">
          <a:spLocks noChangeArrowheads="1"/>
        </xdr:cNvSpPr>
      </xdr:nvSpPr>
      <xdr:spPr bwMode="auto">
        <a:xfrm>
          <a:off x="1209675" y="19002375"/>
          <a:ext cx="76200" cy="209550"/>
        </a:xfrm>
        <a:prstGeom prst="rect">
          <a:avLst/>
        </a:prstGeom>
        <a:noFill/>
        <a:ln w="9525">
          <a:noFill/>
          <a:miter lim="800000"/>
          <a:headEnd/>
          <a:tailEnd/>
        </a:ln>
      </xdr:spPr>
    </xdr:sp>
    <xdr:clientData/>
  </xdr:twoCellAnchor>
  <xdr:twoCellAnchor editAs="oneCell">
    <xdr:from>
      <xdr:col>1</xdr:col>
      <xdr:colOff>0</xdr:colOff>
      <xdr:row>100</xdr:row>
      <xdr:rowOff>0</xdr:rowOff>
    </xdr:from>
    <xdr:to>
      <xdr:col>1</xdr:col>
      <xdr:colOff>76200</xdr:colOff>
      <xdr:row>101</xdr:row>
      <xdr:rowOff>19050</xdr:rowOff>
    </xdr:to>
    <xdr:sp macro="" textlink="">
      <xdr:nvSpPr>
        <xdr:cNvPr id="453018" name="Text Box 420"/>
        <xdr:cNvSpPr txBox="1">
          <a:spLocks noChangeArrowheads="1"/>
        </xdr:cNvSpPr>
      </xdr:nvSpPr>
      <xdr:spPr bwMode="auto">
        <a:xfrm>
          <a:off x="1209675" y="19002375"/>
          <a:ext cx="76200" cy="209550"/>
        </a:xfrm>
        <a:prstGeom prst="rect">
          <a:avLst/>
        </a:prstGeom>
        <a:noFill/>
        <a:ln w="9525">
          <a:noFill/>
          <a:miter lim="800000"/>
          <a:headEnd/>
          <a:tailEnd/>
        </a:ln>
      </xdr:spPr>
    </xdr:sp>
    <xdr:clientData/>
  </xdr:twoCellAnchor>
  <xdr:twoCellAnchor editAs="oneCell">
    <xdr:from>
      <xdr:col>1</xdr:col>
      <xdr:colOff>0</xdr:colOff>
      <xdr:row>100</xdr:row>
      <xdr:rowOff>0</xdr:rowOff>
    </xdr:from>
    <xdr:to>
      <xdr:col>1</xdr:col>
      <xdr:colOff>76200</xdr:colOff>
      <xdr:row>101</xdr:row>
      <xdr:rowOff>19050</xdr:rowOff>
    </xdr:to>
    <xdr:sp macro="" textlink="">
      <xdr:nvSpPr>
        <xdr:cNvPr id="453019" name="Text Box 421"/>
        <xdr:cNvSpPr txBox="1">
          <a:spLocks noChangeArrowheads="1"/>
        </xdr:cNvSpPr>
      </xdr:nvSpPr>
      <xdr:spPr bwMode="auto">
        <a:xfrm>
          <a:off x="1209675" y="19002375"/>
          <a:ext cx="76200" cy="209550"/>
        </a:xfrm>
        <a:prstGeom prst="rect">
          <a:avLst/>
        </a:prstGeom>
        <a:noFill/>
        <a:ln w="9525">
          <a:noFill/>
          <a:miter lim="800000"/>
          <a:headEnd/>
          <a:tailEnd/>
        </a:ln>
      </xdr:spPr>
    </xdr:sp>
    <xdr:clientData/>
  </xdr:twoCellAnchor>
  <xdr:twoCellAnchor editAs="oneCell">
    <xdr:from>
      <xdr:col>1</xdr:col>
      <xdr:colOff>0</xdr:colOff>
      <xdr:row>100</xdr:row>
      <xdr:rowOff>0</xdr:rowOff>
    </xdr:from>
    <xdr:to>
      <xdr:col>1</xdr:col>
      <xdr:colOff>76200</xdr:colOff>
      <xdr:row>101</xdr:row>
      <xdr:rowOff>19050</xdr:rowOff>
    </xdr:to>
    <xdr:sp macro="" textlink="">
      <xdr:nvSpPr>
        <xdr:cNvPr id="453020" name="Text Box 422"/>
        <xdr:cNvSpPr txBox="1">
          <a:spLocks noChangeArrowheads="1"/>
        </xdr:cNvSpPr>
      </xdr:nvSpPr>
      <xdr:spPr bwMode="auto">
        <a:xfrm>
          <a:off x="1209675" y="19002375"/>
          <a:ext cx="76200" cy="209550"/>
        </a:xfrm>
        <a:prstGeom prst="rect">
          <a:avLst/>
        </a:prstGeom>
        <a:noFill/>
        <a:ln w="9525">
          <a:noFill/>
          <a:miter lim="800000"/>
          <a:headEnd/>
          <a:tailEnd/>
        </a:ln>
      </xdr:spPr>
    </xdr:sp>
    <xdr:clientData/>
  </xdr:twoCellAnchor>
  <xdr:twoCellAnchor editAs="oneCell">
    <xdr:from>
      <xdr:col>1</xdr:col>
      <xdr:colOff>0</xdr:colOff>
      <xdr:row>101</xdr:row>
      <xdr:rowOff>0</xdr:rowOff>
    </xdr:from>
    <xdr:to>
      <xdr:col>1</xdr:col>
      <xdr:colOff>76200</xdr:colOff>
      <xdr:row>102</xdr:row>
      <xdr:rowOff>19050</xdr:rowOff>
    </xdr:to>
    <xdr:sp macro="" textlink="">
      <xdr:nvSpPr>
        <xdr:cNvPr id="453021" name="Text Box 423"/>
        <xdr:cNvSpPr txBox="1">
          <a:spLocks noChangeArrowheads="1"/>
        </xdr:cNvSpPr>
      </xdr:nvSpPr>
      <xdr:spPr bwMode="auto">
        <a:xfrm>
          <a:off x="1209675" y="19192875"/>
          <a:ext cx="76200" cy="209550"/>
        </a:xfrm>
        <a:prstGeom prst="rect">
          <a:avLst/>
        </a:prstGeom>
        <a:noFill/>
        <a:ln w="9525">
          <a:noFill/>
          <a:miter lim="800000"/>
          <a:headEnd/>
          <a:tailEnd/>
        </a:ln>
      </xdr:spPr>
    </xdr:sp>
    <xdr:clientData/>
  </xdr:twoCellAnchor>
  <xdr:twoCellAnchor editAs="oneCell">
    <xdr:from>
      <xdr:col>1</xdr:col>
      <xdr:colOff>0</xdr:colOff>
      <xdr:row>101</xdr:row>
      <xdr:rowOff>0</xdr:rowOff>
    </xdr:from>
    <xdr:to>
      <xdr:col>1</xdr:col>
      <xdr:colOff>76200</xdr:colOff>
      <xdr:row>102</xdr:row>
      <xdr:rowOff>19050</xdr:rowOff>
    </xdr:to>
    <xdr:sp macro="" textlink="">
      <xdr:nvSpPr>
        <xdr:cNvPr id="453022" name="Text Box 424"/>
        <xdr:cNvSpPr txBox="1">
          <a:spLocks noChangeArrowheads="1"/>
        </xdr:cNvSpPr>
      </xdr:nvSpPr>
      <xdr:spPr bwMode="auto">
        <a:xfrm>
          <a:off x="1209675" y="19192875"/>
          <a:ext cx="76200" cy="209550"/>
        </a:xfrm>
        <a:prstGeom prst="rect">
          <a:avLst/>
        </a:prstGeom>
        <a:noFill/>
        <a:ln w="9525">
          <a:noFill/>
          <a:miter lim="800000"/>
          <a:headEnd/>
          <a:tailEnd/>
        </a:ln>
      </xdr:spPr>
    </xdr:sp>
    <xdr:clientData/>
  </xdr:twoCellAnchor>
  <xdr:twoCellAnchor editAs="oneCell">
    <xdr:from>
      <xdr:col>1</xdr:col>
      <xdr:colOff>0</xdr:colOff>
      <xdr:row>101</xdr:row>
      <xdr:rowOff>0</xdr:rowOff>
    </xdr:from>
    <xdr:to>
      <xdr:col>1</xdr:col>
      <xdr:colOff>76200</xdr:colOff>
      <xdr:row>102</xdr:row>
      <xdr:rowOff>19050</xdr:rowOff>
    </xdr:to>
    <xdr:sp macro="" textlink="">
      <xdr:nvSpPr>
        <xdr:cNvPr id="453023" name="Text Box 425"/>
        <xdr:cNvSpPr txBox="1">
          <a:spLocks noChangeArrowheads="1"/>
        </xdr:cNvSpPr>
      </xdr:nvSpPr>
      <xdr:spPr bwMode="auto">
        <a:xfrm>
          <a:off x="1209675" y="19192875"/>
          <a:ext cx="76200" cy="209550"/>
        </a:xfrm>
        <a:prstGeom prst="rect">
          <a:avLst/>
        </a:prstGeom>
        <a:noFill/>
        <a:ln w="9525">
          <a:noFill/>
          <a:miter lim="800000"/>
          <a:headEnd/>
          <a:tailEnd/>
        </a:ln>
      </xdr:spPr>
    </xdr:sp>
    <xdr:clientData/>
  </xdr:twoCellAnchor>
  <xdr:twoCellAnchor editAs="oneCell">
    <xdr:from>
      <xdr:col>1</xdr:col>
      <xdr:colOff>0</xdr:colOff>
      <xdr:row>101</xdr:row>
      <xdr:rowOff>0</xdr:rowOff>
    </xdr:from>
    <xdr:to>
      <xdr:col>1</xdr:col>
      <xdr:colOff>76200</xdr:colOff>
      <xdr:row>102</xdr:row>
      <xdr:rowOff>19050</xdr:rowOff>
    </xdr:to>
    <xdr:sp macro="" textlink="">
      <xdr:nvSpPr>
        <xdr:cNvPr id="453024" name="Text Box 426"/>
        <xdr:cNvSpPr txBox="1">
          <a:spLocks noChangeArrowheads="1"/>
        </xdr:cNvSpPr>
      </xdr:nvSpPr>
      <xdr:spPr bwMode="auto">
        <a:xfrm>
          <a:off x="1209675" y="19192875"/>
          <a:ext cx="76200" cy="209550"/>
        </a:xfrm>
        <a:prstGeom prst="rect">
          <a:avLst/>
        </a:prstGeom>
        <a:noFill/>
        <a:ln w="9525">
          <a:noFill/>
          <a:miter lim="800000"/>
          <a:headEnd/>
          <a:tailEnd/>
        </a:ln>
      </xdr:spPr>
    </xdr:sp>
    <xdr:clientData/>
  </xdr:twoCellAnchor>
  <xdr:twoCellAnchor editAs="oneCell">
    <xdr:from>
      <xdr:col>1</xdr:col>
      <xdr:colOff>0</xdr:colOff>
      <xdr:row>102</xdr:row>
      <xdr:rowOff>0</xdr:rowOff>
    </xdr:from>
    <xdr:to>
      <xdr:col>1</xdr:col>
      <xdr:colOff>76200</xdr:colOff>
      <xdr:row>103</xdr:row>
      <xdr:rowOff>19050</xdr:rowOff>
    </xdr:to>
    <xdr:sp macro="" textlink="">
      <xdr:nvSpPr>
        <xdr:cNvPr id="453025" name="Text Box 427"/>
        <xdr:cNvSpPr txBox="1">
          <a:spLocks noChangeArrowheads="1"/>
        </xdr:cNvSpPr>
      </xdr:nvSpPr>
      <xdr:spPr bwMode="auto">
        <a:xfrm>
          <a:off x="1209675" y="19383375"/>
          <a:ext cx="76200" cy="209550"/>
        </a:xfrm>
        <a:prstGeom prst="rect">
          <a:avLst/>
        </a:prstGeom>
        <a:noFill/>
        <a:ln w="9525">
          <a:noFill/>
          <a:miter lim="800000"/>
          <a:headEnd/>
          <a:tailEnd/>
        </a:ln>
      </xdr:spPr>
    </xdr:sp>
    <xdr:clientData/>
  </xdr:twoCellAnchor>
  <xdr:twoCellAnchor editAs="oneCell">
    <xdr:from>
      <xdr:col>1</xdr:col>
      <xdr:colOff>0</xdr:colOff>
      <xdr:row>102</xdr:row>
      <xdr:rowOff>0</xdr:rowOff>
    </xdr:from>
    <xdr:to>
      <xdr:col>1</xdr:col>
      <xdr:colOff>76200</xdr:colOff>
      <xdr:row>103</xdr:row>
      <xdr:rowOff>19050</xdr:rowOff>
    </xdr:to>
    <xdr:sp macro="" textlink="">
      <xdr:nvSpPr>
        <xdr:cNvPr id="453026" name="Text Box 428"/>
        <xdr:cNvSpPr txBox="1">
          <a:spLocks noChangeArrowheads="1"/>
        </xdr:cNvSpPr>
      </xdr:nvSpPr>
      <xdr:spPr bwMode="auto">
        <a:xfrm>
          <a:off x="1209675" y="19383375"/>
          <a:ext cx="76200" cy="209550"/>
        </a:xfrm>
        <a:prstGeom prst="rect">
          <a:avLst/>
        </a:prstGeom>
        <a:noFill/>
        <a:ln w="9525">
          <a:noFill/>
          <a:miter lim="800000"/>
          <a:headEnd/>
          <a:tailEnd/>
        </a:ln>
      </xdr:spPr>
    </xdr:sp>
    <xdr:clientData/>
  </xdr:twoCellAnchor>
  <xdr:twoCellAnchor editAs="oneCell">
    <xdr:from>
      <xdr:col>1</xdr:col>
      <xdr:colOff>0</xdr:colOff>
      <xdr:row>102</xdr:row>
      <xdr:rowOff>0</xdr:rowOff>
    </xdr:from>
    <xdr:to>
      <xdr:col>1</xdr:col>
      <xdr:colOff>76200</xdr:colOff>
      <xdr:row>103</xdr:row>
      <xdr:rowOff>19050</xdr:rowOff>
    </xdr:to>
    <xdr:sp macro="" textlink="">
      <xdr:nvSpPr>
        <xdr:cNvPr id="453027" name="Text Box 429"/>
        <xdr:cNvSpPr txBox="1">
          <a:spLocks noChangeArrowheads="1"/>
        </xdr:cNvSpPr>
      </xdr:nvSpPr>
      <xdr:spPr bwMode="auto">
        <a:xfrm>
          <a:off x="1209675" y="19383375"/>
          <a:ext cx="76200" cy="209550"/>
        </a:xfrm>
        <a:prstGeom prst="rect">
          <a:avLst/>
        </a:prstGeom>
        <a:noFill/>
        <a:ln w="9525">
          <a:noFill/>
          <a:miter lim="800000"/>
          <a:headEnd/>
          <a:tailEnd/>
        </a:ln>
      </xdr:spPr>
    </xdr:sp>
    <xdr:clientData/>
  </xdr:twoCellAnchor>
  <xdr:twoCellAnchor editAs="oneCell">
    <xdr:from>
      <xdr:col>1</xdr:col>
      <xdr:colOff>0</xdr:colOff>
      <xdr:row>102</xdr:row>
      <xdr:rowOff>0</xdr:rowOff>
    </xdr:from>
    <xdr:to>
      <xdr:col>1</xdr:col>
      <xdr:colOff>76200</xdr:colOff>
      <xdr:row>103</xdr:row>
      <xdr:rowOff>19050</xdr:rowOff>
    </xdr:to>
    <xdr:sp macro="" textlink="">
      <xdr:nvSpPr>
        <xdr:cNvPr id="453028" name="Text Box 430"/>
        <xdr:cNvSpPr txBox="1">
          <a:spLocks noChangeArrowheads="1"/>
        </xdr:cNvSpPr>
      </xdr:nvSpPr>
      <xdr:spPr bwMode="auto">
        <a:xfrm>
          <a:off x="1209675" y="19383375"/>
          <a:ext cx="76200" cy="2095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1</xdr:col>
      <xdr:colOff>76200</xdr:colOff>
      <xdr:row>104</xdr:row>
      <xdr:rowOff>19050</xdr:rowOff>
    </xdr:to>
    <xdr:sp macro="" textlink="">
      <xdr:nvSpPr>
        <xdr:cNvPr id="453029" name="Text Box 431"/>
        <xdr:cNvSpPr txBox="1">
          <a:spLocks noChangeArrowheads="1"/>
        </xdr:cNvSpPr>
      </xdr:nvSpPr>
      <xdr:spPr bwMode="auto">
        <a:xfrm>
          <a:off x="1209675" y="19573875"/>
          <a:ext cx="76200" cy="2095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1</xdr:col>
      <xdr:colOff>76200</xdr:colOff>
      <xdr:row>104</xdr:row>
      <xdr:rowOff>19050</xdr:rowOff>
    </xdr:to>
    <xdr:sp macro="" textlink="">
      <xdr:nvSpPr>
        <xdr:cNvPr id="453030" name="Text Box 432"/>
        <xdr:cNvSpPr txBox="1">
          <a:spLocks noChangeArrowheads="1"/>
        </xdr:cNvSpPr>
      </xdr:nvSpPr>
      <xdr:spPr bwMode="auto">
        <a:xfrm>
          <a:off x="1209675" y="19573875"/>
          <a:ext cx="76200" cy="2095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1</xdr:col>
      <xdr:colOff>76200</xdr:colOff>
      <xdr:row>104</xdr:row>
      <xdr:rowOff>19050</xdr:rowOff>
    </xdr:to>
    <xdr:sp macro="" textlink="">
      <xdr:nvSpPr>
        <xdr:cNvPr id="453031" name="Text Box 433"/>
        <xdr:cNvSpPr txBox="1">
          <a:spLocks noChangeArrowheads="1"/>
        </xdr:cNvSpPr>
      </xdr:nvSpPr>
      <xdr:spPr bwMode="auto">
        <a:xfrm>
          <a:off x="1209675" y="19573875"/>
          <a:ext cx="76200" cy="2095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1</xdr:col>
      <xdr:colOff>76200</xdr:colOff>
      <xdr:row>104</xdr:row>
      <xdr:rowOff>19050</xdr:rowOff>
    </xdr:to>
    <xdr:sp macro="" textlink="">
      <xdr:nvSpPr>
        <xdr:cNvPr id="453032" name="Text Box 434"/>
        <xdr:cNvSpPr txBox="1">
          <a:spLocks noChangeArrowheads="1"/>
        </xdr:cNvSpPr>
      </xdr:nvSpPr>
      <xdr:spPr bwMode="auto">
        <a:xfrm>
          <a:off x="1209675" y="19573875"/>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453033" name="Text Box 435"/>
        <xdr:cNvSpPr txBox="1">
          <a:spLocks noChangeArrowheads="1"/>
        </xdr:cNvSpPr>
      </xdr:nvSpPr>
      <xdr:spPr bwMode="auto">
        <a:xfrm>
          <a:off x="1209675" y="19764375"/>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453034" name="Text Box 436"/>
        <xdr:cNvSpPr txBox="1">
          <a:spLocks noChangeArrowheads="1"/>
        </xdr:cNvSpPr>
      </xdr:nvSpPr>
      <xdr:spPr bwMode="auto">
        <a:xfrm>
          <a:off x="1209675" y="19764375"/>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453035" name="Text Box 437"/>
        <xdr:cNvSpPr txBox="1">
          <a:spLocks noChangeArrowheads="1"/>
        </xdr:cNvSpPr>
      </xdr:nvSpPr>
      <xdr:spPr bwMode="auto">
        <a:xfrm>
          <a:off x="1209675" y="19764375"/>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453036" name="Text Box 438"/>
        <xdr:cNvSpPr txBox="1">
          <a:spLocks noChangeArrowheads="1"/>
        </xdr:cNvSpPr>
      </xdr:nvSpPr>
      <xdr:spPr bwMode="auto">
        <a:xfrm>
          <a:off x="1209675" y="19764375"/>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19050</xdr:rowOff>
    </xdr:to>
    <xdr:sp macro="" textlink="">
      <xdr:nvSpPr>
        <xdr:cNvPr id="453037" name="Text Box 439"/>
        <xdr:cNvSpPr txBox="1">
          <a:spLocks noChangeArrowheads="1"/>
        </xdr:cNvSpPr>
      </xdr:nvSpPr>
      <xdr:spPr bwMode="auto">
        <a:xfrm>
          <a:off x="1209675" y="19954875"/>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19050</xdr:rowOff>
    </xdr:to>
    <xdr:sp macro="" textlink="">
      <xdr:nvSpPr>
        <xdr:cNvPr id="453038" name="Text Box 440"/>
        <xdr:cNvSpPr txBox="1">
          <a:spLocks noChangeArrowheads="1"/>
        </xdr:cNvSpPr>
      </xdr:nvSpPr>
      <xdr:spPr bwMode="auto">
        <a:xfrm>
          <a:off x="1209675" y="19954875"/>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19050</xdr:rowOff>
    </xdr:to>
    <xdr:sp macro="" textlink="">
      <xdr:nvSpPr>
        <xdr:cNvPr id="453039" name="Text Box 441"/>
        <xdr:cNvSpPr txBox="1">
          <a:spLocks noChangeArrowheads="1"/>
        </xdr:cNvSpPr>
      </xdr:nvSpPr>
      <xdr:spPr bwMode="auto">
        <a:xfrm>
          <a:off x="1209675" y="19954875"/>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19050</xdr:rowOff>
    </xdr:to>
    <xdr:sp macro="" textlink="">
      <xdr:nvSpPr>
        <xdr:cNvPr id="453040" name="Text Box 442"/>
        <xdr:cNvSpPr txBox="1">
          <a:spLocks noChangeArrowheads="1"/>
        </xdr:cNvSpPr>
      </xdr:nvSpPr>
      <xdr:spPr bwMode="auto">
        <a:xfrm>
          <a:off x="1209675" y="19954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1" name="Text Box 4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2" name="Text Box 4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3" name="Text Box 4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4" name="Text Box 4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5" name="Text Box 4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6" name="Text Box 4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7" name="Text Box 4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8" name="Text Box 4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49" name="Text Box 4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0" name="Text Box 4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1" name="Text Box 4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2" name="Text Box 4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3" name="Text Box 4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4" name="Text Box 4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5" name="Text Box 4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6" name="Text Box 4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7" name="Text Box 4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8" name="Text Box 4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59" name="Text Box 4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0" name="Text Box 4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1" name="Text Box 4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2" name="Text Box 4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3" name="Text Box 4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4" name="Text Box 4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5" name="Text Box 4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6" name="Text Box 4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7" name="Text Box 4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8" name="Text Box 4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69" name="Text Box 4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0" name="Text Box 4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1" name="Text Box 4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2" name="Text Box 4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3" name="Text Box 4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4" name="Text Box 4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5" name="Text Box 4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6" name="Text Box 4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7" name="Text Box 4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8" name="Text Box 4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79" name="Text Box 4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0" name="Text Box 4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1" name="Text Box 4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2" name="Text Box 4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3" name="Text Box 4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4" name="Text Box 4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5" name="Text Box 4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6" name="Text Box 4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7" name="Text Box 4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8" name="Text Box 4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89" name="Text Box 4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0" name="Text Box 4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1" name="Text Box 4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2" name="Text Box 4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3" name="Text Box 4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4" name="Text Box 4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5" name="Text Box 4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6" name="Text Box 4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7" name="Text Box 4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8" name="Text Box 5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099" name="Text Box 5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0" name="Text Box 5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1" name="Text Box 5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2" name="Text Box 5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3" name="Text Box 5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4" name="Text Box 5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5" name="Text Box 5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6" name="Text Box 5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7" name="Text Box 5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8" name="Text Box 5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09" name="Text Box 5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0" name="Text Box 5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1" name="Text Box 5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2" name="Text Box 5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3" name="Text Box 5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4" name="Text Box 5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5" name="Text Box 5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6" name="Text Box 5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7" name="Text Box 5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8" name="Text Box 5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19" name="Text Box 5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0" name="Text Box 5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1" name="Text Box 5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2" name="Text Box 5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3" name="Text Box 5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4" name="Text Box 5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5" name="Text Box 5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6" name="Text Box 5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7" name="Text Box 5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8" name="Text Box 5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29" name="Text Box 5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0" name="Text Box 5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1" name="Text Box 5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2" name="Text Box 5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3" name="Text Box 5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4" name="Text Box 5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5" name="Text Box 5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6" name="Text Box 5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7" name="Text Box 5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8" name="Text Box 5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39" name="Text Box 5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0" name="Text Box 5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1" name="Text Box 5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2" name="Text Box 5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3" name="Text Box 5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4" name="Text Box 5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5" name="Text Box 5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6" name="Text Box 5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7" name="Text Box 5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8" name="Text Box 5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49" name="Text Box 5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0" name="Text Box 5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1" name="Text Box 5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2" name="Text Box 5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3" name="Text Box 5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4" name="Text Box 5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5" name="Text Box 5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6" name="Text Box 5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7" name="Text Box 5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8" name="Text Box 5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59" name="Text Box 5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0" name="Text Box 5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1" name="Text Box 5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2" name="Text Box 5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3" name="Text Box 5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4" name="Text Box 5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5" name="Text Box 5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6" name="Text Box 5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7" name="Text Box 5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8" name="Text Box 5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69" name="Text Box 5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0" name="Text Box 5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1" name="Text Box 5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2" name="Text Box 5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3" name="Text Box 5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4" name="Text Box 5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5" name="Text Box 5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6" name="Text Box 5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7" name="Text Box 5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8" name="Text Box 5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79" name="Text Box 5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0" name="Text Box 5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1" name="Text Box 5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2" name="Text Box 5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3" name="Text Box 5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4" name="Text Box 5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5" name="Text Box 5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6" name="Text Box 5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7" name="Text Box 5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8" name="Text Box 5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89" name="Text Box 5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0" name="Text Box 5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1" name="Text Box 5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2" name="Text Box 5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3" name="Text Box 5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4" name="Text Box 5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5" name="Text Box 5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6" name="Text Box 5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7" name="Text Box 5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8" name="Text Box 6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199" name="Text Box 6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0" name="Text Box 6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1" name="Text Box 6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2" name="Text Box 6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3" name="Text Box 6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4" name="Text Box 6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5" name="Text Box 6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6" name="Text Box 6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7" name="Text Box 6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8" name="Text Box 6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09" name="Text Box 6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0" name="Text Box 6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1" name="Text Box 6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2" name="Text Box 6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3" name="Text Box 6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4" name="Text Box 6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5" name="Text Box 6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6" name="Text Box 6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7" name="Text Box 6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8" name="Text Box 6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19" name="Text Box 6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0" name="Text Box 6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1" name="Text Box 6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2" name="Text Box 6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3" name="Text Box 6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4" name="Text Box 6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5" name="Text Box 6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6" name="Text Box 6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7" name="Text Box 6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8" name="Text Box 6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29" name="Text Box 6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0" name="Text Box 6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1" name="Text Box 6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2" name="Text Box 6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3" name="Text Box 6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4" name="Text Box 6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5" name="Text Box 6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6" name="Text Box 6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7" name="Text Box 6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8" name="Text Box 6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39" name="Text Box 6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0" name="Text Box 6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1" name="Text Box 6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2" name="Text Box 6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3" name="Text Box 6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4" name="Text Box 6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5" name="Text Box 6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6" name="Text Box 6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7" name="Text Box 6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8" name="Text Box 6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49" name="Text Box 6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0" name="Text Box 6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1" name="Text Box 6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2" name="Text Box 6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3" name="Text Box 6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4" name="Text Box 6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5" name="Text Box 6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6" name="Text Box 6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7" name="Text Box 6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8" name="Text Box 6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59" name="Text Box 6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0" name="Text Box 6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1" name="Text Box 6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2" name="Text Box 6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3" name="Text Box 6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4" name="Text Box 6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5" name="Text Box 6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6" name="Text Box 6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7" name="Text Box 6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8" name="Text Box 6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69" name="Text Box 6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0" name="Text Box 6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1" name="Text Box 6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2" name="Text Box 6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3" name="Text Box 6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4" name="Text Box 6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5" name="Text Box 6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6" name="Text Box 6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7" name="Text Box 6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8" name="Text Box 6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79" name="Text Box 6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0" name="Text Box 6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1" name="Text Box 6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2" name="Text Box 6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3" name="Text Box 6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4" name="Text Box 6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5" name="Text Box 6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6" name="Text Box 6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7" name="Text Box 6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8" name="Text Box 6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89" name="Text Box 6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0" name="Text Box 6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1" name="Text Box 6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2" name="Text Box 6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3" name="Text Box 6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4" name="Text Box 6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5" name="Text Box 6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6" name="Text Box 6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7" name="Text Box 6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8" name="Text Box 7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299" name="Text Box 7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0" name="Text Box 7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1" name="Text Box 7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2" name="Text Box 7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3" name="Text Box 7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4" name="Text Box 7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5" name="Text Box 7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6" name="Text Box 7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7" name="Text Box 7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8" name="Text Box 7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09" name="Text Box 7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0" name="Text Box 7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1" name="Text Box 7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2" name="Text Box 7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3" name="Text Box 7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4" name="Text Box 7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5" name="Text Box 7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6" name="Text Box 7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7" name="Text Box 7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8" name="Text Box 7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19" name="Text Box 7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0" name="Text Box 7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1" name="Text Box 7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2" name="Text Box 7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3" name="Text Box 7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4" name="Text Box 7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5" name="Text Box 7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6" name="Text Box 7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7" name="Text Box 7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8" name="Text Box 7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29" name="Text Box 7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0" name="Text Box 7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1" name="Text Box 7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2" name="Text Box 7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3" name="Text Box 7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4" name="Text Box 7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5" name="Text Box 7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6" name="Text Box 7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7" name="Text Box 7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8" name="Text Box 7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39" name="Text Box 7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0" name="Text Box 7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1" name="Text Box 7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2" name="Text Box 7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3" name="Text Box 7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4" name="Text Box 7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5" name="Text Box 7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6" name="Text Box 7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7" name="Text Box 7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8" name="Text Box 7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49" name="Text Box 7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0" name="Text Box 7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1" name="Text Box 7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2" name="Text Box 7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3" name="Text Box 7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4" name="Text Box 7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5" name="Text Box 7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6" name="Text Box 7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7" name="Text Box 7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8" name="Text Box 7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59" name="Text Box 7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0" name="Text Box 7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1" name="Text Box 7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2" name="Text Box 7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3" name="Text Box 7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4" name="Text Box 7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5" name="Text Box 7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6" name="Text Box 7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7" name="Text Box 7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8" name="Text Box 7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69" name="Text Box 7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0" name="Text Box 7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1" name="Text Box 7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2" name="Text Box 7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3" name="Text Box 7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4" name="Text Box 7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5" name="Text Box 7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6" name="Text Box 7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7" name="Text Box 7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8" name="Text Box 7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79" name="Text Box 7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0" name="Text Box 7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1" name="Text Box 7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2" name="Text Box 7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3" name="Text Box 7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4" name="Text Box 7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5" name="Text Box 7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6" name="Text Box 7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7" name="Text Box 7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8" name="Text Box 7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89" name="Text Box 7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0" name="Text Box 7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1" name="Text Box 7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2" name="Text Box 7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3" name="Text Box 7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4" name="Text Box 7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5" name="Text Box 7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6" name="Text Box 7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7" name="Text Box 7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8" name="Text Box 8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399" name="Text Box 8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0" name="Text Box 8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1" name="Text Box 8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2" name="Text Box 8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3" name="Text Box 8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4" name="Text Box 8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5" name="Text Box 8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6" name="Text Box 8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7" name="Text Box 8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8" name="Text Box 8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09" name="Text Box 8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0" name="Text Box 8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1" name="Text Box 8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2" name="Text Box 8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3" name="Text Box 8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4" name="Text Box 8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5" name="Text Box 8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6" name="Text Box 8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7" name="Text Box 8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8" name="Text Box 8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19" name="Text Box 8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0" name="Text Box 8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1" name="Text Box 8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2" name="Text Box 8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3" name="Text Box 8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4" name="Text Box 8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5" name="Text Box 8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6" name="Text Box 8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7" name="Text Box 8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8" name="Text Box 8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29" name="Text Box 8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0" name="Text Box 8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1" name="Text Box 8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2" name="Text Box 8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3" name="Text Box 8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4" name="Text Box 8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5" name="Text Box 8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6" name="Text Box 8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7" name="Text Box 8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8" name="Text Box 8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39" name="Text Box 8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0" name="Text Box 8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1" name="Text Box 8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2" name="Text Box 8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3" name="Text Box 8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4" name="Text Box 8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5" name="Text Box 8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6" name="Text Box 8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7" name="Text Box 8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8" name="Text Box 8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49" name="Text Box 8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0" name="Text Box 8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1" name="Text Box 8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2" name="Text Box 8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3" name="Text Box 8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4" name="Text Box 8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5" name="Text Box 8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6" name="Text Box 8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7" name="Text Box 8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8" name="Text Box 8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59" name="Text Box 8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0" name="Text Box 8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1" name="Text Box 8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2" name="Text Box 8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3" name="Text Box 8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4" name="Text Box 8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5" name="Text Box 8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6" name="Text Box 8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7" name="Text Box 8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8" name="Text Box 8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69" name="Text Box 8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0" name="Text Box 8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1" name="Text Box 8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2" name="Text Box 8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3" name="Text Box 8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4" name="Text Box 8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5" name="Text Box 8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6" name="Text Box 8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7" name="Text Box 8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8" name="Text Box 8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79" name="Text Box 8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0" name="Text Box 8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1" name="Text Box 8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2" name="Text Box 8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3" name="Text Box 8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4" name="Text Box 8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5" name="Text Box 8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6" name="Text Box 8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7" name="Text Box 8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8" name="Text Box 8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89" name="Text Box 8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0" name="Text Box 8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1" name="Text Box 8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2" name="Text Box 8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3" name="Text Box 8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4" name="Text Box 8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5" name="Text Box 8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6" name="Text Box 8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7" name="Text Box 8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8" name="Text Box 9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499" name="Text Box 9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0" name="Text Box 9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1" name="Text Box 9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2" name="Text Box 9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3" name="Text Box 9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4" name="Text Box 9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5" name="Text Box 9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6" name="Text Box 9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7" name="Text Box 9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8" name="Text Box 9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09" name="Text Box 9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0" name="Text Box 9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1" name="Text Box 9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2" name="Text Box 9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3" name="Text Box 9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4" name="Text Box 9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5" name="Text Box 9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6" name="Text Box 9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7" name="Text Box 9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8" name="Text Box 9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19" name="Text Box 9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0" name="Text Box 9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1" name="Text Box 9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2" name="Text Box 9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3" name="Text Box 9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4" name="Text Box 9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5" name="Text Box 9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6" name="Text Box 9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7" name="Text Box 9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8" name="Text Box 9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29" name="Text Box 9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0" name="Text Box 9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1" name="Text Box 9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2" name="Text Box 9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3" name="Text Box 9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4" name="Text Box 9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5" name="Text Box 9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6" name="Text Box 9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7" name="Text Box 9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8" name="Text Box 9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39" name="Text Box 9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0" name="Text Box 9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1" name="Text Box 9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2" name="Text Box 9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3" name="Text Box 9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4" name="Text Box 9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5" name="Text Box 9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6" name="Text Box 9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7" name="Text Box 9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8" name="Text Box 9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49" name="Text Box 9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0" name="Text Box 9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1" name="Text Box 9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2" name="Text Box 9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3" name="Text Box 9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4" name="Text Box 9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5" name="Text Box 9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6" name="Text Box 9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7" name="Text Box 9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8" name="Text Box 9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59" name="Text Box 9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0" name="Text Box 9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1" name="Text Box 9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2" name="Text Box 9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3" name="Text Box 9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4" name="Text Box 9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5" name="Text Box 9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6" name="Text Box 9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7" name="Text Box 9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8" name="Text Box 9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69" name="Text Box 9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0" name="Text Box 9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1" name="Text Box 9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2" name="Text Box 9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3" name="Text Box 9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4" name="Text Box 9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5" name="Text Box 9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6" name="Text Box 9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7" name="Text Box 9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8" name="Text Box 9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79" name="Text Box 9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0" name="Text Box 9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1" name="Text Box 9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2" name="Text Box 9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3" name="Text Box 9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4" name="Text Box 9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5" name="Text Box 9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6" name="Text Box 9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7" name="Text Box 9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8" name="Text Box 9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89" name="Text Box 9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0" name="Text Box 9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1" name="Text Box 9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2" name="Text Box 9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3" name="Text Box 9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4" name="Text Box 9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5" name="Text Box 9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6" name="Text Box 9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7" name="Text Box 9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8" name="Text Box 10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599" name="Text Box 10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0" name="Text Box 10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1" name="Text Box 10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2" name="Text Box 10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3" name="Text Box 10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4" name="Text Box 10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5" name="Text Box 10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6" name="Text Box 10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7" name="Text Box 10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8" name="Text Box 10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09" name="Text Box 10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0" name="Text Box 10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1" name="Text Box 10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2" name="Text Box 10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3" name="Text Box 10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4" name="Text Box 10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5" name="Text Box 10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6" name="Text Box 10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7" name="Text Box 10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8" name="Text Box 10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19" name="Text Box 10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0" name="Text Box 10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1" name="Text Box 10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2" name="Text Box 10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3" name="Text Box 10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4" name="Text Box 10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5" name="Text Box 10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6" name="Text Box 10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7" name="Text Box 10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8" name="Text Box 10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29" name="Text Box 10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0" name="Text Box 10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1" name="Text Box 10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2" name="Text Box 10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3" name="Text Box 10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4" name="Text Box 10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5" name="Text Box 10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6" name="Text Box 10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7" name="Text Box 10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8" name="Text Box 10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39" name="Text Box 10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0" name="Text Box 10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1" name="Text Box 10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2" name="Text Box 10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3" name="Text Box 10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4" name="Text Box 10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5" name="Text Box 10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6" name="Text Box 10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7" name="Text Box 10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8" name="Text Box 10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49" name="Text Box 10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0" name="Text Box 10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1" name="Text Box 10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2" name="Text Box 10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3" name="Text Box 10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4" name="Text Box 10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5" name="Text Box 10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6" name="Text Box 10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7" name="Text Box 10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8" name="Text Box 10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59" name="Text Box 10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0" name="Text Box 10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1" name="Text Box 10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2" name="Text Box 10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3" name="Text Box 10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4" name="Text Box 10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5" name="Text Box 10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6" name="Text Box 10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7" name="Text Box 10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8" name="Text Box 10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69" name="Text Box 10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0" name="Text Box 10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1" name="Text Box 10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2" name="Text Box 10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3" name="Text Box 10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4" name="Text Box 10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5" name="Text Box 10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6" name="Text Box 10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7" name="Text Box 10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8" name="Text Box 10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79" name="Text Box 10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0" name="Text Box 10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1" name="Text Box 10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2" name="Text Box 10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3" name="Text Box 10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4" name="Text Box 10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5" name="Text Box 10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6" name="Text Box 10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7" name="Text Box 10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8" name="Text Box 10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89" name="Text Box 10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0" name="Text Box 10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1" name="Text Box 10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2" name="Text Box 10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3" name="Text Box 10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4" name="Text Box 10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5" name="Text Box 10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6" name="Text Box 10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7" name="Text Box 10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8" name="Text Box 11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699" name="Text Box 11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0" name="Text Box 11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1" name="Text Box 11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2" name="Text Box 11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3" name="Text Box 11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4" name="Text Box 11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5" name="Text Box 11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6" name="Text Box 11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7" name="Text Box 11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8" name="Text Box 11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09" name="Text Box 11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0" name="Text Box 11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1" name="Text Box 11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2" name="Text Box 11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3" name="Text Box 11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4" name="Text Box 11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5" name="Text Box 11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6" name="Text Box 11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7" name="Text Box 11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8" name="Text Box 11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19" name="Text Box 11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0" name="Text Box 11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1" name="Text Box 11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2" name="Text Box 11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3" name="Text Box 11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4" name="Text Box 11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5" name="Text Box 11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6" name="Text Box 11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7" name="Text Box 11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8" name="Text Box 11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29" name="Text Box 11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0" name="Text Box 11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1" name="Text Box 11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2" name="Text Box 11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3" name="Text Box 11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4" name="Text Box 11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5" name="Text Box 11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6" name="Text Box 11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7" name="Text Box 11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8" name="Text Box 11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39" name="Text Box 11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0" name="Text Box 11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1" name="Text Box 11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2" name="Text Box 11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3" name="Text Box 11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4" name="Text Box 11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5" name="Text Box 11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6" name="Text Box 11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7" name="Text Box 11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8" name="Text Box 11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49" name="Text Box 11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0" name="Text Box 11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1" name="Text Box 11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2" name="Text Box 11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3" name="Text Box 11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4" name="Text Box 11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5" name="Text Box 11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6" name="Text Box 11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7" name="Text Box 11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8" name="Text Box 11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59" name="Text Box 11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0" name="Text Box 11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1" name="Text Box 11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2" name="Text Box 11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3" name="Text Box 11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4" name="Text Box 11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5" name="Text Box 11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6" name="Text Box 11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7" name="Text Box 11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8" name="Text Box 11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69" name="Text Box 11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0" name="Text Box 11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1" name="Text Box 11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2" name="Text Box 11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3" name="Text Box 11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4" name="Text Box 11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5" name="Text Box 11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6" name="Text Box 11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7" name="Text Box 11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8" name="Text Box 11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79" name="Text Box 11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0" name="Text Box 11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1" name="Text Box 11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2" name="Text Box 11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3" name="Text Box 11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4" name="Text Box 11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5" name="Text Box 11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6" name="Text Box 11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7" name="Text Box 11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8" name="Text Box 11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89" name="Text Box 11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0" name="Text Box 11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1" name="Text Box 11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2" name="Text Box 11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3" name="Text Box 11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4" name="Text Box 11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5" name="Text Box 11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6" name="Text Box 11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7" name="Text Box 11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8" name="Text Box 12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799" name="Text Box 12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0" name="Text Box 12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1" name="Text Box 12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2" name="Text Box 12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3" name="Text Box 12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4" name="Text Box 12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5" name="Text Box 12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6" name="Text Box 12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7" name="Text Box 12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8" name="Text Box 12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09" name="Text Box 12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0" name="Text Box 12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1" name="Text Box 12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2" name="Text Box 12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3" name="Text Box 12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4" name="Text Box 12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5" name="Text Box 12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6" name="Text Box 12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7" name="Text Box 12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8" name="Text Box 12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19" name="Text Box 12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0" name="Text Box 12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1" name="Text Box 12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2" name="Text Box 12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3" name="Text Box 12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4" name="Text Box 12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5" name="Text Box 12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6" name="Text Box 12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7" name="Text Box 12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8" name="Text Box 12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29" name="Text Box 12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0" name="Text Box 12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1" name="Text Box 12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2" name="Text Box 12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3" name="Text Box 12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4" name="Text Box 12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5" name="Text Box 12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6" name="Text Box 12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7" name="Text Box 12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8" name="Text Box 12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39" name="Text Box 12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0" name="Text Box 12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1" name="Text Box 12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2" name="Text Box 12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3" name="Text Box 12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4" name="Text Box 12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5" name="Text Box 12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6" name="Text Box 12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7" name="Text Box 12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8" name="Text Box 12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49" name="Text Box 12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0" name="Text Box 12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1" name="Text Box 12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2" name="Text Box 12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3" name="Text Box 12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4" name="Text Box 12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5" name="Text Box 12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6" name="Text Box 12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7" name="Text Box 12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8" name="Text Box 12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59" name="Text Box 12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0" name="Text Box 12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1" name="Text Box 12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2" name="Text Box 12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3" name="Text Box 12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4" name="Text Box 12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5" name="Text Box 12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6" name="Text Box 12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7" name="Text Box 12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8" name="Text Box 12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69" name="Text Box 12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0" name="Text Box 12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1" name="Text Box 12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2" name="Text Box 12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3" name="Text Box 12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4" name="Text Box 12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5" name="Text Box 12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6" name="Text Box 12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7" name="Text Box 12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8" name="Text Box 12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79" name="Text Box 12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0" name="Text Box 12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1" name="Text Box 12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2" name="Text Box 12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3" name="Text Box 12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4" name="Text Box 12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5" name="Text Box 12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6" name="Text Box 12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7" name="Text Box 12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8" name="Text Box 12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89" name="Text Box 12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0" name="Text Box 12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1" name="Text Box 12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2" name="Text Box 12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3" name="Text Box 12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4" name="Text Box 12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5" name="Text Box 12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6" name="Text Box 12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7" name="Text Box 12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8" name="Text Box 13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899" name="Text Box 13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0" name="Text Box 13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1" name="Text Box 13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2" name="Text Box 13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3" name="Text Box 13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4" name="Text Box 13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5" name="Text Box 13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6" name="Text Box 13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7" name="Text Box 13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8" name="Text Box 13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09" name="Text Box 13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0" name="Text Box 13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1" name="Text Box 13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2" name="Text Box 13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3" name="Text Box 13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4" name="Text Box 13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5" name="Text Box 13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6" name="Text Box 13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7" name="Text Box 13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8" name="Text Box 13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19" name="Text Box 13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0" name="Text Box 13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1" name="Text Box 13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2" name="Text Box 13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3" name="Text Box 13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4" name="Text Box 13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5" name="Text Box 13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6" name="Text Box 13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7" name="Text Box 13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8" name="Text Box 13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29" name="Text Box 13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0" name="Text Box 13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1" name="Text Box 13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2" name="Text Box 13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3" name="Text Box 13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4" name="Text Box 13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5" name="Text Box 13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6" name="Text Box 13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7" name="Text Box 13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8" name="Text Box 13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39" name="Text Box 13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0" name="Text Box 13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1" name="Text Box 13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2" name="Text Box 13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3" name="Text Box 13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4" name="Text Box 13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5" name="Text Box 13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6" name="Text Box 13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7" name="Text Box 13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8" name="Text Box 13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49" name="Text Box 13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0" name="Text Box 13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1" name="Text Box 13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2" name="Text Box 13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3" name="Text Box 13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4" name="Text Box 13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5" name="Text Box 13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6" name="Text Box 13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7" name="Text Box 13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8" name="Text Box 13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59" name="Text Box 13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0" name="Text Box 13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1" name="Text Box 13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2" name="Text Box 13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3" name="Text Box 13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4" name="Text Box 13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5" name="Text Box 13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6" name="Text Box 13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7" name="Text Box 13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8" name="Text Box 13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69" name="Text Box 13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0" name="Text Box 13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1" name="Text Box 13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2" name="Text Box 13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3" name="Text Box 13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4" name="Text Box 13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5" name="Text Box 13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6" name="Text Box 13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7" name="Text Box 13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8" name="Text Box 13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79" name="Text Box 13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0" name="Text Box 13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1" name="Text Box 13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2" name="Text Box 13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3" name="Text Box 13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4" name="Text Box 13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5" name="Text Box 13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6" name="Text Box 13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7" name="Text Box 13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8" name="Text Box 13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89" name="Text Box 13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0" name="Text Box 13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1" name="Text Box 13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2" name="Text Box 13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3" name="Text Box 13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4" name="Text Box 13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5" name="Text Box 13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6" name="Text Box 13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7" name="Text Box 13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8" name="Text Box 14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3999" name="Text Box 14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0" name="Text Box 14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1" name="Text Box 14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2" name="Text Box 14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3" name="Text Box 14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4" name="Text Box 14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5" name="Text Box 14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6" name="Text Box 14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7" name="Text Box 14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8" name="Text Box 14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09" name="Text Box 14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0" name="Text Box 14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1" name="Text Box 14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2" name="Text Box 14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3" name="Text Box 14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4" name="Text Box 14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5" name="Text Box 14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6" name="Text Box 14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7" name="Text Box 14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8" name="Text Box 14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19" name="Text Box 14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0" name="Text Box 14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1" name="Text Box 14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2" name="Text Box 14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3" name="Text Box 14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4" name="Text Box 14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5" name="Text Box 14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6" name="Text Box 14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7" name="Text Box 14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8" name="Text Box 14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29" name="Text Box 14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0" name="Text Box 14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1" name="Text Box 14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2" name="Text Box 14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3" name="Text Box 14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4" name="Text Box 14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5" name="Text Box 14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6" name="Text Box 14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7" name="Text Box 14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8" name="Text Box 14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39" name="Text Box 14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0" name="Text Box 14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1" name="Text Box 14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2" name="Text Box 14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3" name="Text Box 14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4" name="Text Box 14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5" name="Text Box 14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6" name="Text Box 14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7" name="Text Box 14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8" name="Text Box 14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49" name="Text Box 14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0" name="Text Box 14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1" name="Text Box 14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2" name="Text Box 14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3" name="Text Box 14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4" name="Text Box 14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5" name="Text Box 14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6" name="Text Box 14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7" name="Text Box 14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8" name="Text Box 14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59" name="Text Box 14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0" name="Text Box 14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1" name="Text Box 14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2" name="Text Box 14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3" name="Text Box 14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4" name="Text Box 14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5" name="Text Box 14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6" name="Text Box 14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7" name="Text Box 14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8" name="Text Box 14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69" name="Text Box 14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0" name="Text Box 14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1" name="Text Box 14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2" name="Text Box 14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3" name="Text Box 14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4" name="Text Box 14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5" name="Text Box 14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6" name="Text Box 14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7" name="Text Box 14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8" name="Text Box 14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79" name="Text Box 14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0" name="Text Box 14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1" name="Text Box 14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2" name="Text Box 14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3" name="Text Box 14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4" name="Text Box 14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5" name="Text Box 14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6" name="Text Box 14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7" name="Text Box 14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8" name="Text Box 14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89" name="Text Box 14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0" name="Text Box 14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1" name="Text Box 14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2" name="Text Box 14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3" name="Text Box 14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4" name="Text Box 14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5" name="Text Box 14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6" name="Text Box 14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7" name="Text Box 14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8" name="Text Box 15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099" name="Text Box 15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0" name="Text Box 15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1" name="Text Box 15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2" name="Text Box 15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3" name="Text Box 15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4" name="Text Box 15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5" name="Text Box 15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6" name="Text Box 15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7" name="Text Box 15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8" name="Text Box 15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09" name="Text Box 15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0" name="Text Box 15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1" name="Text Box 15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2" name="Text Box 15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3" name="Text Box 15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4" name="Text Box 15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5" name="Text Box 15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6" name="Text Box 15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7" name="Text Box 15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8" name="Text Box 15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19" name="Text Box 15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0" name="Text Box 15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1" name="Text Box 15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2" name="Text Box 15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3" name="Text Box 15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4" name="Text Box 15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5" name="Text Box 15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6" name="Text Box 15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7" name="Text Box 15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8" name="Text Box 15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29" name="Text Box 15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0" name="Text Box 15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1" name="Text Box 15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2" name="Text Box 15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3" name="Text Box 15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4" name="Text Box 15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5" name="Text Box 15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6" name="Text Box 15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7" name="Text Box 15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8" name="Text Box 15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39" name="Text Box 15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0" name="Text Box 15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1" name="Text Box 15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2" name="Text Box 15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3" name="Text Box 15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4" name="Text Box 15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5" name="Text Box 15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6" name="Text Box 15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7" name="Text Box 15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8" name="Text Box 15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49" name="Text Box 15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0" name="Text Box 15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1" name="Text Box 15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2" name="Text Box 15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3" name="Text Box 15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4" name="Text Box 15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5" name="Text Box 15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6" name="Text Box 15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7" name="Text Box 15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8" name="Text Box 15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59" name="Text Box 15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0" name="Text Box 15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1" name="Text Box 15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2" name="Text Box 15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3" name="Text Box 15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4" name="Text Box 15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5" name="Text Box 15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6" name="Text Box 15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7" name="Text Box 15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8" name="Text Box 15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69" name="Text Box 15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0" name="Text Box 15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1" name="Text Box 15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2" name="Text Box 15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3" name="Text Box 15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4" name="Text Box 15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5" name="Text Box 15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6" name="Text Box 15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7" name="Text Box 15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8" name="Text Box 15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79" name="Text Box 15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0" name="Text Box 15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1" name="Text Box 15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2" name="Text Box 15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3" name="Text Box 15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4" name="Text Box 15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5" name="Text Box 15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6" name="Text Box 15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7" name="Text Box 15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8" name="Text Box 15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89" name="Text Box 15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0" name="Text Box 15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1" name="Text Box 15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2" name="Text Box 15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3" name="Text Box 15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4" name="Text Box 15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5" name="Text Box 15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6" name="Text Box 15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7" name="Text Box 15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8" name="Text Box 16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199" name="Text Box 16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0" name="Text Box 16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1" name="Text Box 16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2" name="Text Box 16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3" name="Text Box 16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4" name="Text Box 16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5" name="Text Box 16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6" name="Text Box 16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7" name="Text Box 16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8" name="Text Box 16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09" name="Text Box 16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0" name="Text Box 16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1" name="Text Box 16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2" name="Text Box 16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3" name="Text Box 16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4" name="Text Box 16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5" name="Text Box 16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6" name="Text Box 16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7" name="Text Box 16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8" name="Text Box 16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19" name="Text Box 16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0" name="Text Box 16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1" name="Text Box 16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2" name="Text Box 16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3" name="Text Box 16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4" name="Text Box 16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5" name="Text Box 16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6" name="Text Box 16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7" name="Text Box 16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8" name="Text Box 16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29" name="Text Box 16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0" name="Text Box 16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1" name="Text Box 16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2" name="Text Box 16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3" name="Text Box 16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4" name="Text Box 16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5" name="Text Box 16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6" name="Text Box 16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7" name="Text Box 16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8" name="Text Box 16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39" name="Text Box 16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0" name="Text Box 16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1" name="Text Box 16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2" name="Text Box 16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3" name="Text Box 16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4" name="Text Box 16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5" name="Text Box 16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6" name="Text Box 16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7" name="Text Box 16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8" name="Text Box 16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49" name="Text Box 16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0" name="Text Box 16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1" name="Text Box 16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2" name="Text Box 16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3" name="Text Box 16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4" name="Text Box 16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5" name="Text Box 16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6" name="Text Box 16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7" name="Text Box 16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8" name="Text Box 16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59" name="Text Box 16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0" name="Text Box 16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1" name="Text Box 16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2" name="Text Box 16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3" name="Text Box 16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4" name="Text Box 16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5" name="Text Box 16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6" name="Text Box 16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7" name="Text Box 16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8" name="Text Box 16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69" name="Text Box 16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0" name="Text Box 16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1" name="Text Box 16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2" name="Text Box 16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3" name="Text Box 16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4" name="Text Box 16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5" name="Text Box 16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6" name="Text Box 16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7" name="Text Box 16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8" name="Text Box 16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79" name="Text Box 16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0" name="Text Box 16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1" name="Text Box 16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2" name="Text Box 16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3" name="Text Box 16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4" name="Text Box 16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5" name="Text Box 16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6" name="Text Box 16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7" name="Text Box 16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8" name="Text Box 16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89" name="Text Box 16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0" name="Text Box 16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1" name="Text Box 16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2" name="Text Box 16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3" name="Text Box 16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4" name="Text Box 16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5" name="Text Box 16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6" name="Text Box 16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7" name="Text Box 16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8" name="Text Box 17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299" name="Text Box 17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0" name="Text Box 17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1" name="Text Box 17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2" name="Text Box 17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3" name="Text Box 17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4" name="Text Box 17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5" name="Text Box 17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6" name="Text Box 17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7" name="Text Box 17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8" name="Text Box 17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09" name="Text Box 17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0" name="Text Box 17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1" name="Text Box 17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2" name="Text Box 17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3" name="Text Box 17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4" name="Text Box 17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5" name="Text Box 17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6" name="Text Box 17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7" name="Text Box 17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8" name="Text Box 17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19" name="Text Box 17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0" name="Text Box 17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1" name="Text Box 17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2" name="Text Box 17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3" name="Text Box 17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4" name="Text Box 17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5" name="Text Box 17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6" name="Text Box 17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7" name="Text Box 17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8" name="Text Box 17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29" name="Text Box 17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0" name="Text Box 17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1" name="Text Box 17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2" name="Text Box 17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3" name="Text Box 17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4" name="Text Box 17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5" name="Text Box 17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6" name="Text Box 17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7" name="Text Box 17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8" name="Text Box 17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39" name="Text Box 17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0" name="Text Box 17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1" name="Text Box 17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2" name="Text Box 17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3" name="Text Box 17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4" name="Text Box 17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5" name="Text Box 17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6" name="Text Box 17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7" name="Text Box 17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8" name="Text Box 17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49" name="Text Box 17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0" name="Text Box 17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1" name="Text Box 17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2" name="Text Box 17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3" name="Text Box 17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4" name="Text Box 17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5" name="Text Box 17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6" name="Text Box 17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7" name="Text Box 17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8" name="Text Box 17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59" name="Text Box 17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0" name="Text Box 17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1" name="Text Box 17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2" name="Text Box 17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3" name="Text Box 17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4" name="Text Box 17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5" name="Text Box 17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6" name="Text Box 17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7" name="Text Box 17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8" name="Text Box 17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69" name="Text Box 17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0" name="Text Box 17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1" name="Text Box 17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2" name="Text Box 17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3" name="Text Box 17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4" name="Text Box 17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5" name="Text Box 17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6" name="Text Box 17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7" name="Text Box 17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8" name="Text Box 17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79" name="Text Box 17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0" name="Text Box 17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1" name="Text Box 17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2" name="Text Box 17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3" name="Text Box 17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4" name="Text Box 17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5" name="Text Box 17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6" name="Text Box 17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7" name="Text Box 17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8" name="Text Box 17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89" name="Text Box 17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0" name="Text Box 17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1" name="Text Box 17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2" name="Text Box 17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3" name="Text Box 17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4" name="Text Box 17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5" name="Text Box 17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6" name="Text Box 17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7" name="Text Box 17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8" name="Text Box 18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399" name="Text Box 18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0" name="Text Box 18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1" name="Text Box 18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2" name="Text Box 18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3" name="Text Box 18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4" name="Text Box 18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5" name="Text Box 18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6" name="Text Box 18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7" name="Text Box 18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8" name="Text Box 18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09" name="Text Box 18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0" name="Text Box 18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1" name="Text Box 18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2" name="Text Box 18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3" name="Text Box 18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4" name="Text Box 18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5" name="Text Box 18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6" name="Text Box 18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7" name="Text Box 18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8" name="Text Box 18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19" name="Text Box 18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0" name="Text Box 18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1" name="Text Box 18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2" name="Text Box 18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3" name="Text Box 18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4" name="Text Box 18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5" name="Text Box 18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6" name="Text Box 18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7" name="Text Box 18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8" name="Text Box 18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29" name="Text Box 18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0" name="Text Box 18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1" name="Text Box 18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2" name="Text Box 18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3" name="Text Box 18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4" name="Text Box 18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5" name="Text Box 18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6" name="Text Box 18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7" name="Text Box 18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8" name="Text Box 18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39" name="Text Box 18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0" name="Text Box 18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1" name="Text Box 18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2" name="Text Box 18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3" name="Text Box 18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4" name="Text Box 18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5" name="Text Box 18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6" name="Text Box 18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7" name="Text Box 18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8" name="Text Box 18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49" name="Text Box 18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0" name="Text Box 18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1" name="Text Box 18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2" name="Text Box 18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3" name="Text Box 18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4" name="Text Box 18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5" name="Text Box 18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6" name="Text Box 18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7" name="Text Box 18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8" name="Text Box 18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59" name="Text Box 18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0" name="Text Box 18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1" name="Text Box 18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2" name="Text Box 18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3" name="Text Box 18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4" name="Text Box 18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5" name="Text Box 18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6" name="Text Box 18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7" name="Text Box 18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8" name="Text Box 18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69" name="Text Box 18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0" name="Text Box 18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1" name="Text Box 18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2" name="Text Box 18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3" name="Text Box 18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4" name="Text Box 18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5" name="Text Box 18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6" name="Text Box 18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7" name="Text Box 18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8" name="Text Box 18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79" name="Text Box 18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0" name="Text Box 18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1" name="Text Box 18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2" name="Text Box 18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3" name="Text Box 18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4" name="Text Box 18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5" name="Text Box 18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6" name="Text Box 18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7" name="Text Box 18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8" name="Text Box 18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89" name="Text Box 18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0" name="Text Box 18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1" name="Text Box 18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2" name="Text Box 18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3" name="Text Box 18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4" name="Text Box 18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5" name="Text Box 18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6" name="Text Box 18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7" name="Text Box 18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8" name="Text Box 19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499" name="Text Box 19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0" name="Text Box 19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1" name="Text Box 19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2" name="Text Box 19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3" name="Text Box 19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4" name="Text Box 19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5" name="Text Box 19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6" name="Text Box 19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7" name="Text Box 19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8" name="Text Box 19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09" name="Text Box 19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0" name="Text Box 19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1" name="Text Box 19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2" name="Text Box 19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3" name="Text Box 19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4" name="Text Box 19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5" name="Text Box 19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6" name="Text Box 19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7" name="Text Box 19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8" name="Text Box 19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19" name="Text Box 19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0" name="Text Box 19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1" name="Text Box 19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2" name="Text Box 19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3" name="Text Box 19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4" name="Text Box 19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5" name="Text Box 19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6" name="Text Box 19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7" name="Text Box 19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8" name="Text Box 19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29" name="Text Box 19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0" name="Text Box 19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1" name="Text Box 19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2" name="Text Box 19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3" name="Text Box 19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4" name="Text Box 19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5" name="Text Box 19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6" name="Text Box 19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7" name="Text Box 19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8" name="Text Box 19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39" name="Text Box 19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0" name="Text Box 19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1" name="Text Box 19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2" name="Text Box 19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3" name="Text Box 19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4" name="Text Box 19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5" name="Text Box 19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6" name="Text Box 19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7" name="Text Box 19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8" name="Text Box 19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49" name="Text Box 19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0" name="Text Box 19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1" name="Text Box 19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2" name="Text Box 19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3" name="Text Box 19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4" name="Text Box 19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5" name="Text Box 19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6" name="Text Box 19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7" name="Text Box 19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8" name="Text Box 19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59" name="Text Box 19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0" name="Text Box 19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1" name="Text Box 19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2" name="Text Box 19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3" name="Text Box 19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4" name="Text Box 19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5" name="Text Box 19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6" name="Text Box 19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7" name="Text Box 19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8" name="Text Box 19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69" name="Text Box 19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0" name="Text Box 19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1" name="Text Box 19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2" name="Text Box 19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3" name="Text Box 19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4" name="Text Box 19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5" name="Text Box 19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6" name="Text Box 19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7" name="Text Box 19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8" name="Text Box 19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79" name="Text Box 19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0" name="Text Box 19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1" name="Text Box 19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2" name="Text Box 19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3" name="Text Box 19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4" name="Text Box 19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5" name="Text Box 19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6" name="Text Box 19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7" name="Text Box 19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8" name="Text Box 19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89" name="Text Box 19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0" name="Text Box 19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1" name="Text Box 19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2" name="Text Box 19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3" name="Text Box 19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4" name="Text Box 19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5" name="Text Box 19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6" name="Text Box 19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7" name="Text Box 19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8" name="Text Box 20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599" name="Text Box 20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0" name="Text Box 20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1" name="Text Box 20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2" name="Text Box 20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3" name="Text Box 20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4" name="Text Box 20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5" name="Text Box 20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6" name="Text Box 20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7" name="Text Box 20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8" name="Text Box 20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09" name="Text Box 20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0" name="Text Box 20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1" name="Text Box 20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2" name="Text Box 20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3" name="Text Box 20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4" name="Text Box 20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5" name="Text Box 20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6" name="Text Box 20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7" name="Text Box 20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8" name="Text Box 20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19" name="Text Box 20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0" name="Text Box 20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1" name="Text Box 20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2" name="Text Box 20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3" name="Text Box 20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4" name="Text Box 20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5" name="Text Box 20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6" name="Text Box 20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7" name="Text Box 20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8" name="Text Box 20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29" name="Text Box 20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0" name="Text Box 20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1" name="Text Box 20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2" name="Text Box 20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3" name="Text Box 20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4" name="Text Box 20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5" name="Text Box 20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6" name="Text Box 20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7" name="Text Box 20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8" name="Text Box 20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39" name="Text Box 20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0" name="Text Box 20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1" name="Text Box 20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2" name="Text Box 20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3" name="Text Box 20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4" name="Text Box 20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5" name="Text Box 20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6" name="Text Box 20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7" name="Text Box 20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8" name="Text Box 20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49" name="Text Box 20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0" name="Text Box 20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1" name="Text Box 20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2" name="Text Box 20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3" name="Text Box 20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4" name="Text Box 20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5" name="Text Box 20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6" name="Text Box 20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7" name="Text Box 20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8" name="Text Box 20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59" name="Text Box 20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0" name="Text Box 20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1" name="Text Box 20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2" name="Text Box 20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3" name="Text Box 20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4" name="Text Box 20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5" name="Text Box 20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6" name="Text Box 20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7" name="Text Box 20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8" name="Text Box 20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69" name="Text Box 20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0" name="Text Box 20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1" name="Text Box 20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2" name="Text Box 20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3" name="Text Box 20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4" name="Text Box 20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5" name="Text Box 20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6" name="Text Box 20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7" name="Text Box 20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8" name="Text Box 20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79" name="Text Box 20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0" name="Text Box 20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1" name="Text Box 20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2" name="Text Box 20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3" name="Text Box 20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4" name="Text Box 20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5" name="Text Box 20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6" name="Text Box 20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7" name="Text Box 20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8" name="Text Box 20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89" name="Text Box 20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0" name="Text Box 20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1" name="Text Box 20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2" name="Text Box 20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3" name="Text Box 20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4" name="Text Box 20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5" name="Text Box 20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6" name="Text Box 20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7" name="Text Box 20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8" name="Text Box 21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699" name="Text Box 21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0" name="Text Box 21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1" name="Text Box 21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2" name="Text Box 21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3" name="Text Box 21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4" name="Text Box 21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5" name="Text Box 21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6" name="Text Box 21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7" name="Text Box 21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8" name="Text Box 21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09" name="Text Box 21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0" name="Text Box 21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1" name="Text Box 21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2" name="Text Box 21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3" name="Text Box 21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4" name="Text Box 21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5" name="Text Box 21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6" name="Text Box 21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7" name="Text Box 21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8" name="Text Box 21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19" name="Text Box 21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0" name="Text Box 21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1" name="Text Box 21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2" name="Text Box 21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3" name="Text Box 21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4" name="Text Box 21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5" name="Text Box 21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6" name="Text Box 21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7" name="Text Box 21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8" name="Text Box 21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29" name="Text Box 21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0" name="Text Box 21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1" name="Text Box 21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2" name="Text Box 21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3" name="Text Box 21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4" name="Text Box 21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5" name="Text Box 21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6" name="Text Box 21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7" name="Text Box 21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8" name="Text Box 21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39" name="Text Box 21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0" name="Text Box 21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1" name="Text Box 21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2" name="Text Box 21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3" name="Text Box 21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4" name="Text Box 21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5" name="Text Box 21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6" name="Text Box 21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7" name="Text Box 21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8" name="Text Box 21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49" name="Text Box 21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0" name="Text Box 21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1" name="Text Box 21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2" name="Text Box 21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3" name="Text Box 21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4" name="Text Box 21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5" name="Text Box 21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6" name="Text Box 21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7" name="Text Box 21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8" name="Text Box 21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59" name="Text Box 21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0" name="Text Box 21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1" name="Text Box 21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2" name="Text Box 21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3" name="Text Box 21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4" name="Text Box 21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5" name="Text Box 21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6" name="Text Box 21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7" name="Text Box 21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8" name="Text Box 21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69" name="Text Box 21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0" name="Text Box 21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1" name="Text Box 21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2" name="Text Box 21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3" name="Text Box 21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4" name="Text Box 21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5" name="Text Box 21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6" name="Text Box 21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7" name="Text Box 21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8" name="Text Box 21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79" name="Text Box 21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0" name="Text Box 21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1" name="Text Box 21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2" name="Text Box 21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3" name="Text Box 21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4" name="Text Box 21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5" name="Text Box 21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6" name="Text Box 21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7" name="Text Box 21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8" name="Text Box 21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89" name="Text Box 21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0" name="Text Box 21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1" name="Text Box 21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2" name="Text Box 21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3" name="Text Box 21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4" name="Text Box 21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5" name="Text Box 21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6" name="Text Box 21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7" name="Text Box 21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8" name="Text Box 22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799" name="Text Box 22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0" name="Text Box 22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1" name="Text Box 22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2" name="Text Box 22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3" name="Text Box 22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4" name="Text Box 22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5" name="Text Box 22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6" name="Text Box 22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7" name="Text Box 22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8" name="Text Box 22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09" name="Text Box 22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0" name="Text Box 22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1" name="Text Box 22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2" name="Text Box 22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3" name="Text Box 22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4" name="Text Box 22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5" name="Text Box 22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6" name="Text Box 22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7" name="Text Box 22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8" name="Text Box 22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19" name="Text Box 22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0" name="Text Box 22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1" name="Text Box 22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2" name="Text Box 22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3" name="Text Box 22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4" name="Text Box 22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5" name="Text Box 22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6" name="Text Box 22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7" name="Text Box 22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8" name="Text Box 22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29" name="Text Box 22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0" name="Text Box 22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1" name="Text Box 22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2" name="Text Box 22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3" name="Text Box 22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4" name="Text Box 22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5" name="Text Box 22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6" name="Text Box 22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7" name="Text Box 22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8" name="Text Box 22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39" name="Text Box 22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0" name="Text Box 22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1" name="Text Box 22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2" name="Text Box 22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3" name="Text Box 22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4" name="Text Box 22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5" name="Text Box 22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6" name="Text Box 22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7" name="Text Box 22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8" name="Text Box 22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49" name="Text Box 22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0" name="Text Box 22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1" name="Text Box 22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2" name="Text Box 22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3" name="Text Box 22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4" name="Text Box 22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5" name="Text Box 22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6" name="Text Box 22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7" name="Text Box 22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8" name="Text Box 22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59" name="Text Box 22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0" name="Text Box 22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1" name="Text Box 22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2" name="Text Box 22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3" name="Text Box 22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4" name="Text Box 22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5" name="Text Box 22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6" name="Text Box 22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7" name="Text Box 22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8" name="Text Box 22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69" name="Text Box 22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0" name="Text Box 22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1" name="Text Box 22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2" name="Text Box 22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3" name="Text Box 22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4" name="Text Box 22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5" name="Text Box 22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6" name="Text Box 22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7" name="Text Box 22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8" name="Text Box 22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79" name="Text Box 22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0" name="Text Box 22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1" name="Text Box 22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2" name="Text Box 22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3" name="Text Box 22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4" name="Text Box 22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5" name="Text Box 22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6" name="Text Box 22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7" name="Text Box 22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8" name="Text Box 22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89" name="Text Box 22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0" name="Text Box 22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1" name="Text Box 22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2" name="Text Box 22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3" name="Text Box 22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4" name="Text Box 22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5" name="Text Box 22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6" name="Text Box 22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7" name="Text Box 22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8" name="Text Box 23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899" name="Text Box 23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0" name="Text Box 23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1" name="Text Box 23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2" name="Text Box 23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3" name="Text Box 23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4" name="Text Box 23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5" name="Text Box 23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6" name="Text Box 23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7" name="Text Box 23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8" name="Text Box 23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09" name="Text Box 23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0" name="Text Box 23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1" name="Text Box 23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2" name="Text Box 23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3" name="Text Box 23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4" name="Text Box 23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5" name="Text Box 23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6" name="Text Box 23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7" name="Text Box 23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8" name="Text Box 23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19" name="Text Box 23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0" name="Text Box 23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1" name="Text Box 23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2" name="Text Box 23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3" name="Text Box 23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4" name="Text Box 23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5" name="Text Box 23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6" name="Text Box 23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7" name="Text Box 23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8" name="Text Box 23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29" name="Text Box 23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0" name="Text Box 23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1" name="Text Box 23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2" name="Text Box 23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3" name="Text Box 23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4" name="Text Box 23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5" name="Text Box 23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6" name="Text Box 23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7" name="Text Box 23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8" name="Text Box 23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39" name="Text Box 23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0" name="Text Box 23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1" name="Text Box 23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2" name="Text Box 23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3" name="Text Box 23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4" name="Text Box 23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5" name="Text Box 23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6" name="Text Box 23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7" name="Text Box 23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8" name="Text Box 23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49" name="Text Box 23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0" name="Text Box 23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1" name="Text Box 23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2" name="Text Box 23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3" name="Text Box 23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4" name="Text Box 23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5" name="Text Box 23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6" name="Text Box 23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7" name="Text Box 23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8" name="Text Box 23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59" name="Text Box 23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0" name="Text Box 23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1" name="Text Box 23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2" name="Text Box 23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3" name="Text Box 23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4" name="Text Box 23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5" name="Text Box 23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6" name="Text Box 23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7" name="Text Box 23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8" name="Text Box 23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69" name="Text Box 23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0" name="Text Box 23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1" name="Text Box 23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2" name="Text Box 23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3" name="Text Box 23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4" name="Text Box 23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5" name="Text Box 23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6" name="Text Box 23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7" name="Text Box 23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8" name="Text Box 23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79" name="Text Box 23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0" name="Text Box 23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1" name="Text Box 23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2" name="Text Box 23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3" name="Text Box 23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4" name="Text Box 23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5" name="Text Box 23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6" name="Text Box 23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7" name="Text Box 23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8" name="Text Box 23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89" name="Text Box 23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0" name="Text Box 23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1" name="Text Box 23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2" name="Text Box 23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3" name="Text Box 23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4" name="Text Box 23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5" name="Text Box 23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6" name="Text Box 23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7" name="Text Box 23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8" name="Text Box 24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4999" name="Text Box 24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0" name="Text Box 24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1" name="Text Box 24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2" name="Text Box 24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3" name="Text Box 24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4" name="Text Box 24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5" name="Text Box 24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6" name="Text Box 24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7" name="Text Box 24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8" name="Text Box 24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09" name="Text Box 24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0" name="Text Box 24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1" name="Text Box 24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2" name="Text Box 24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3" name="Text Box 24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4" name="Text Box 24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5" name="Text Box 24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6" name="Text Box 24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7" name="Text Box 24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8" name="Text Box 24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19" name="Text Box 24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0" name="Text Box 24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1" name="Text Box 24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2" name="Text Box 24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3" name="Text Box 24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4" name="Text Box 24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5" name="Text Box 24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6" name="Text Box 24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7" name="Text Box 24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8" name="Text Box 24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29" name="Text Box 24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0" name="Text Box 24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1" name="Text Box 24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2" name="Text Box 24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3" name="Text Box 24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4" name="Text Box 24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5" name="Text Box 24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6" name="Text Box 24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7" name="Text Box 24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8" name="Text Box 24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39" name="Text Box 24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0" name="Text Box 24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1" name="Text Box 24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2" name="Text Box 24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3" name="Text Box 24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4" name="Text Box 24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5" name="Text Box 24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6" name="Text Box 24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7" name="Text Box 24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8" name="Text Box 24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49" name="Text Box 24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0" name="Text Box 24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1" name="Text Box 24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2" name="Text Box 24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3" name="Text Box 24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4" name="Text Box 24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5" name="Text Box 24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6" name="Text Box 24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7" name="Text Box 24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8" name="Text Box 24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59" name="Text Box 24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0" name="Text Box 24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1" name="Text Box 24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2" name="Text Box 24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3" name="Text Box 24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4" name="Text Box 24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5" name="Text Box 24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6" name="Text Box 24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7" name="Text Box 24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8" name="Text Box 24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69" name="Text Box 24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0" name="Text Box 24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1" name="Text Box 24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2" name="Text Box 24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3" name="Text Box 24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4" name="Text Box 24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5" name="Text Box 24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6" name="Text Box 24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7" name="Text Box 24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8" name="Text Box 24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79" name="Text Box 24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0" name="Text Box 24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1" name="Text Box 24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2" name="Text Box 24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3" name="Text Box 24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4" name="Text Box 24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5" name="Text Box 24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6" name="Text Box 24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7" name="Text Box 24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8" name="Text Box 24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89" name="Text Box 24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0" name="Text Box 24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1" name="Text Box 24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2" name="Text Box 24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3" name="Text Box 24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4" name="Text Box 24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5" name="Text Box 24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6" name="Text Box 24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7" name="Text Box 24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8" name="Text Box 25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099" name="Text Box 25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0" name="Text Box 25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1" name="Text Box 25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2" name="Text Box 25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3" name="Text Box 25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4" name="Text Box 25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5" name="Text Box 25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6" name="Text Box 25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7" name="Text Box 25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8" name="Text Box 25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09" name="Text Box 25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0" name="Text Box 25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1" name="Text Box 25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2" name="Text Box 25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3" name="Text Box 25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4" name="Text Box 25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5" name="Text Box 25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6" name="Text Box 25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7" name="Text Box 25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8" name="Text Box 25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19" name="Text Box 25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0" name="Text Box 25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1" name="Text Box 25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2" name="Text Box 25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3" name="Text Box 25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4" name="Text Box 25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5" name="Text Box 25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6" name="Text Box 25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7" name="Text Box 25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8" name="Text Box 25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29" name="Text Box 25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0" name="Text Box 25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1" name="Text Box 25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2" name="Text Box 25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3" name="Text Box 25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4" name="Text Box 25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5" name="Text Box 25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6" name="Text Box 25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7" name="Text Box 25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8" name="Text Box 25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39" name="Text Box 25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0" name="Text Box 25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1" name="Text Box 25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2" name="Text Box 25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3" name="Text Box 25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4" name="Text Box 25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5" name="Text Box 25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6" name="Text Box 25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7" name="Text Box 25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8" name="Text Box 25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49" name="Text Box 25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0" name="Text Box 25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1" name="Text Box 25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2" name="Text Box 25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3" name="Text Box 25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4" name="Text Box 25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5" name="Text Box 25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6" name="Text Box 25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7" name="Text Box 25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8" name="Text Box 25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59" name="Text Box 25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0" name="Text Box 25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1" name="Text Box 25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2" name="Text Box 25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3" name="Text Box 25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4" name="Text Box 25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5" name="Text Box 25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6" name="Text Box 25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7" name="Text Box 25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8" name="Text Box 25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69" name="Text Box 25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0" name="Text Box 25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1" name="Text Box 25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2" name="Text Box 25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3" name="Text Box 25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4" name="Text Box 25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5" name="Text Box 25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6" name="Text Box 25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7" name="Text Box 25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8" name="Text Box 25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79" name="Text Box 25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0" name="Text Box 25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1" name="Text Box 25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2" name="Text Box 25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3" name="Text Box 25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4" name="Text Box 25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5" name="Text Box 25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6" name="Text Box 25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7" name="Text Box 25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8" name="Text Box 25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89" name="Text Box 25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0" name="Text Box 25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1" name="Text Box 25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2" name="Text Box 25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3" name="Text Box 25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4" name="Text Box 25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5" name="Text Box 25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6" name="Text Box 25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7" name="Text Box 25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8" name="Text Box 26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199" name="Text Box 26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0" name="Text Box 26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1" name="Text Box 26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2" name="Text Box 26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3" name="Text Box 26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4" name="Text Box 26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5" name="Text Box 26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6" name="Text Box 26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7" name="Text Box 26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8" name="Text Box 26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09" name="Text Box 26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0" name="Text Box 26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1" name="Text Box 26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2" name="Text Box 26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3" name="Text Box 26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4" name="Text Box 26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5" name="Text Box 26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6" name="Text Box 26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7" name="Text Box 26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8" name="Text Box 26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19" name="Text Box 26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0" name="Text Box 26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1" name="Text Box 26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2" name="Text Box 26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3" name="Text Box 26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4" name="Text Box 26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5" name="Text Box 26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6" name="Text Box 26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7" name="Text Box 26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8" name="Text Box 26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29" name="Text Box 26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0" name="Text Box 26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1" name="Text Box 26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2" name="Text Box 26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3" name="Text Box 26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4" name="Text Box 26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5" name="Text Box 26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6" name="Text Box 26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7" name="Text Box 26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8" name="Text Box 26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39" name="Text Box 26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0" name="Text Box 26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1" name="Text Box 26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2" name="Text Box 26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3" name="Text Box 26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4" name="Text Box 26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5" name="Text Box 26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6" name="Text Box 26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7" name="Text Box 26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8" name="Text Box 26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49" name="Text Box 26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0" name="Text Box 26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1" name="Text Box 26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2" name="Text Box 26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3" name="Text Box 26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4" name="Text Box 26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5" name="Text Box 26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6" name="Text Box 26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7" name="Text Box 26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8" name="Text Box 26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59" name="Text Box 26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0" name="Text Box 26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1" name="Text Box 26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2" name="Text Box 26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3" name="Text Box 26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4" name="Text Box 26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5" name="Text Box 26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6" name="Text Box 26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7" name="Text Box 26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8" name="Text Box 26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69" name="Text Box 26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0" name="Text Box 26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1" name="Text Box 26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2" name="Text Box 26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3" name="Text Box 26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4" name="Text Box 26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5" name="Text Box 26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6" name="Text Box 26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7" name="Text Box 26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8" name="Text Box 26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79" name="Text Box 26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0" name="Text Box 26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1" name="Text Box 26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2" name="Text Box 26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3" name="Text Box 26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4" name="Text Box 26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5" name="Text Box 26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6" name="Text Box 26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7" name="Text Box 26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8" name="Text Box 26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89" name="Text Box 26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0" name="Text Box 26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1" name="Text Box 26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2" name="Text Box 26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3" name="Text Box 26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4" name="Text Box 26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5" name="Text Box 26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6" name="Text Box 26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7" name="Text Box 26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8" name="Text Box 27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299" name="Text Box 27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0" name="Text Box 27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1" name="Text Box 27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2" name="Text Box 27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3" name="Text Box 27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4" name="Text Box 27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5" name="Text Box 27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6" name="Text Box 27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7" name="Text Box 27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8" name="Text Box 27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09" name="Text Box 27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0" name="Text Box 27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1" name="Text Box 27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2" name="Text Box 27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3" name="Text Box 27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4" name="Text Box 27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5" name="Text Box 27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6" name="Text Box 27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7" name="Text Box 27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8" name="Text Box 27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19" name="Text Box 27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0" name="Text Box 27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1" name="Text Box 27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2" name="Text Box 27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3" name="Text Box 27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4" name="Text Box 27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5" name="Text Box 27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6" name="Text Box 27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7" name="Text Box 27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8" name="Text Box 27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29" name="Text Box 27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0" name="Text Box 27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1" name="Text Box 27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2" name="Text Box 27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3" name="Text Box 27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4" name="Text Box 27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5" name="Text Box 27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6" name="Text Box 27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7" name="Text Box 27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8" name="Text Box 27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39" name="Text Box 27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0" name="Text Box 27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1" name="Text Box 27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2" name="Text Box 27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3" name="Text Box 27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4" name="Text Box 27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5" name="Text Box 27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6" name="Text Box 27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7" name="Text Box 27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8" name="Text Box 27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49" name="Text Box 27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0" name="Text Box 27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1" name="Text Box 27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2" name="Text Box 27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3" name="Text Box 27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4" name="Text Box 27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5" name="Text Box 27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6" name="Text Box 27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7" name="Text Box 27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8" name="Text Box 27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59" name="Text Box 27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0" name="Text Box 27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1" name="Text Box 27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2" name="Text Box 27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3" name="Text Box 27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4" name="Text Box 27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5" name="Text Box 27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6" name="Text Box 27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7" name="Text Box 27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8" name="Text Box 27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69" name="Text Box 27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0" name="Text Box 27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1" name="Text Box 27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2" name="Text Box 27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3" name="Text Box 27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4" name="Text Box 27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5" name="Text Box 27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6" name="Text Box 27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7" name="Text Box 27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8" name="Text Box 27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79" name="Text Box 27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0" name="Text Box 27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1" name="Text Box 27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2" name="Text Box 27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3" name="Text Box 27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4" name="Text Box 27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5" name="Text Box 27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6" name="Text Box 27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7" name="Text Box 27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8" name="Text Box 27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89" name="Text Box 27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0" name="Text Box 27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1" name="Text Box 27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2" name="Text Box 27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3" name="Text Box 27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4" name="Text Box 27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5" name="Text Box 27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6" name="Text Box 27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7" name="Text Box 27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8" name="Text Box 28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399" name="Text Box 28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0" name="Text Box 28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1" name="Text Box 28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2" name="Text Box 28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3" name="Text Box 28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4" name="Text Box 28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5" name="Text Box 28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6" name="Text Box 28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7" name="Text Box 28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8" name="Text Box 28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09" name="Text Box 28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0" name="Text Box 28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1" name="Text Box 28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2" name="Text Box 28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3" name="Text Box 28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4" name="Text Box 28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5" name="Text Box 28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6" name="Text Box 28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7" name="Text Box 28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8" name="Text Box 28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19" name="Text Box 28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0" name="Text Box 28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1" name="Text Box 28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2" name="Text Box 28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3" name="Text Box 28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4" name="Text Box 28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5" name="Text Box 28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6" name="Text Box 28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7" name="Text Box 28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8" name="Text Box 28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29" name="Text Box 28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0" name="Text Box 28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1" name="Text Box 28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2" name="Text Box 28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3" name="Text Box 28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4" name="Text Box 28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5" name="Text Box 28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6" name="Text Box 28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7" name="Text Box 28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8" name="Text Box 28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39" name="Text Box 28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0" name="Text Box 28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1" name="Text Box 28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2" name="Text Box 28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3" name="Text Box 28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4" name="Text Box 28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5" name="Text Box 28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6" name="Text Box 28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7" name="Text Box 28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8" name="Text Box 28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49" name="Text Box 28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0" name="Text Box 28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1" name="Text Box 28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2" name="Text Box 28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3" name="Text Box 28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4" name="Text Box 28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5" name="Text Box 28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6" name="Text Box 28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7" name="Text Box 28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8" name="Text Box 28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59" name="Text Box 28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0" name="Text Box 28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1" name="Text Box 28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2" name="Text Box 28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3" name="Text Box 28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4" name="Text Box 28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5" name="Text Box 28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6" name="Text Box 28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7" name="Text Box 28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8" name="Text Box 28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69" name="Text Box 28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0" name="Text Box 28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1" name="Text Box 28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2" name="Text Box 28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3" name="Text Box 28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4" name="Text Box 28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5" name="Text Box 28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6" name="Text Box 28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7" name="Text Box 28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8" name="Text Box 28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79" name="Text Box 28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0" name="Text Box 28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1" name="Text Box 28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2" name="Text Box 28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3" name="Text Box 28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4" name="Text Box 28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5" name="Text Box 28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6" name="Text Box 28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7" name="Text Box 28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8" name="Text Box 28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89" name="Text Box 28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0" name="Text Box 28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1" name="Text Box 28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2" name="Text Box 28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3" name="Text Box 28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4" name="Text Box 28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5" name="Text Box 28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6" name="Text Box 28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7" name="Text Box 289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8" name="Text Box 290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499" name="Text Box 290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0" name="Text Box 290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1" name="Text Box 290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2" name="Text Box 290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3" name="Text Box 290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4" name="Text Box 290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5" name="Text Box 290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6" name="Text Box 290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7" name="Text Box 290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8" name="Text Box 291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09" name="Text Box 291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0" name="Text Box 291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1" name="Text Box 291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2" name="Text Box 291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3" name="Text Box 291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4" name="Text Box 291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5" name="Text Box 291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6" name="Text Box 291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7" name="Text Box 291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8" name="Text Box 292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19" name="Text Box 292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0" name="Text Box 292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1" name="Text Box 292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2" name="Text Box 292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3" name="Text Box 292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4" name="Text Box 292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5" name="Text Box 292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6" name="Text Box 292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7" name="Text Box 292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8" name="Text Box 293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29" name="Text Box 293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0" name="Text Box 293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1" name="Text Box 293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2" name="Text Box 293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3" name="Text Box 293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4" name="Text Box 293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5" name="Text Box 293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6" name="Text Box 293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7" name="Text Box 293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8" name="Text Box 294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39" name="Text Box 294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0" name="Text Box 294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1" name="Text Box 294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2" name="Text Box 294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3" name="Text Box 294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4" name="Text Box 294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5" name="Text Box 294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6" name="Text Box 294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7" name="Text Box 294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8" name="Text Box 295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49" name="Text Box 295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0" name="Text Box 295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1" name="Text Box 295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2" name="Text Box 295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3" name="Text Box 295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4" name="Text Box 295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5" name="Text Box 295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6" name="Text Box 295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7" name="Text Box 295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8" name="Text Box 296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59" name="Text Box 296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0" name="Text Box 296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1" name="Text Box 296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2" name="Text Box 296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3" name="Text Box 296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4" name="Text Box 296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5" name="Text Box 296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6" name="Text Box 296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7" name="Text Box 296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8" name="Text Box 297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69" name="Text Box 297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0" name="Text Box 297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1" name="Text Box 297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2" name="Text Box 297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3" name="Text Box 297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4" name="Text Box 297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5" name="Text Box 297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6" name="Text Box 297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7" name="Text Box 297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8" name="Text Box 298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79" name="Text Box 298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0" name="Text Box 298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1" name="Text Box 298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2" name="Text Box 298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3" name="Text Box 298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4" name="Text Box 298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5" name="Text Box 298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6" name="Text Box 298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7" name="Text Box 2989"/>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8" name="Text Box 2990"/>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89" name="Text Box 2991"/>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0" name="Text Box 2992"/>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1" name="Text Box 2993"/>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2" name="Text Box 2994"/>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3" name="Text Box 2995"/>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4" name="Text Box 2996"/>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5" name="Text Box 2997"/>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twoCellAnchor editAs="oneCell">
    <xdr:from>
      <xdr:col>1</xdr:col>
      <xdr:colOff>0</xdr:colOff>
      <xdr:row>107</xdr:row>
      <xdr:rowOff>0</xdr:rowOff>
    </xdr:from>
    <xdr:to>
      <xdr:col>1</xdr:col>
      <xdr:colOff>76200</xdr:colOff>
      <xdr:row>108</xdr:row>
      <xdr:rowOff>19050</xdr:rowOff>
    </xdr:to>
    <xdr:sp macro="" textlink="">
      <xdr:nvSpPr>
        <xdr:cNvPr id="455596" name="Text Box 2998"/>
        <xdr:cNvSpPr txBox="1">
          <a:spLocks noChangeArrowheads="1"/>
        </xdr:cNvSpPr>
      </xdr:nvSpPr>
      <xdr:spPr bwMode="auto">
        <a:xfrm>
          <a:off x="1209675" y="203358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ans21/Application%20Data/Microsoft/Excel/touroku/2007&#39640;&#26657;&#30331;&#376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校データ"/>
      <sheetName val="競技者データ"/>
      <sheetName val="登録用紙"/>
      <sheetName val="追加登録用紙"/>
    </sheetNames>
    <sheetDataSet>
      <sheetData sheetId="0"/>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0">
    <pageSetUpPr fitToPage="1"/>
  </sheetPr>
  <dimension ref="A1:K69"/>
  <sheetViews>
    <sheetView showGridLines="0" showRowColHeaders="0" showZeros="0" tabSelected="1" workbookViewId="0">
      <selection activeCell="A7" sqref="A7:C8"/>
    </sheetView>
  </sheetViews>
  <sheetFormatPr defaultRowHeight="14.25"/>
  <cols>
    <col min="1" max="16384" width="9" style="132"/>
  </cols>
  <sheetData>
    <row r="1" spans="1:11" s="334" customFormat="1" ht="36" customHeight="1">
      <c r="A1" s="529" t="s">
        <v>250</v>
      </c>
      <c r="B1" s="530"/>
      <c r="C1" s="530"/>
      <c r="D1" s="530"/>
      <c r="E1" s="530"/>
      <c r="F1" s="530"/>
      <c r="G1" s="530"/>
      <c r="H1" s="530"/>
      <c r="I1" s="530"/>
      <c r="J1" s="530"/>
      <c r="K1" s="530"/>
    </row>
    <row r="2" spans="1:11" ht="36" customHeight="1">
      <c r="A2" s="531" t="s">
        <v>337</v>
      </c>
      <c r="B2" s="532"/>
      <c r="C2" s="532"/>
      <c r="D2" s="532"/>
      <c r="E2" s="532"/>
      <c r="F2" s="532"/>
      <c r="G2" s="532"/>
      <c r="H2" s="532"/>
      <c r="I2" s="532"/>
      <c r="J2" s="532"/>
      <c r="K2" s="532"/>
    </row>
    <row r="3" spans="1:11" ht="36" customHeight="1">
      <c r="A3" s="531" t="s">
        <v>338</v>
      </c>
      <c r="B3" s="532"/>
      <c r="C3" s="532"/>
      <c r="D3" s="532"/>
      <c r="E3" s="532"/>
      <c r="F3" s="532"/>
      <c r="G3" s="532"/>
      <c r="H3" s="532"/>
      <c r="I3" s="532"/>
      <c r="J3" s="532"/>
      <c r="K3" s="532"/>
    </row>
    <row r="4" spans="1:11" ht="36" customHeight="1">
      <c r="A4" s="531" t="s">
        <v>339</v>
      </c>
      <c r="B4" s="532"/>
      <c r="C4" s="532"/>
      <c r="D4" s="532"/>
      <c r="E4" s="532"/>
      <c r="F4" s="532"/>
      <c r="G4" s="532"/>
      <c r="H4" s="532"/>
      <c r="I4" s="532"/>
      <c r="J4" s="532"/>
      <c r="K4" s="532"/>
    </row>
    <row r="5" spans="1:11" ht="36" customHeight="1">
      <c r="A5" s="133" t="s">
        <v>251</v>
      </c>
    </row>
    <row r="6" spans="1:11" ht="24" customHeight="1">
      <c r="A6" s="134" t="s">
        <v>243</v>
      </c>
    </row>
    <row r="7" spans="1:11" ht="24" customHeight="1">
      <c r="A7" s="135" t="s">
        <v>253</v>
      </c>
    </row>
    <row r="8" spans="1:11" ht="24" customHeight="1">
      <c r="A8" s="132" t="s">
        <v>244</v>
      </c>
    </row>
    <row r="9" spans="1:11" ht="24" customHeight="1">
      <c r="A9" s="132" t="s">
        <v>245</v>
      </c>
    </row>
    <row r="15" spans="1:11" ht="31.5" customHeight="1"/>
    <row r="36" spans="1:1" ht="24" customHeight="1">
      <c r="A36" s="132" t="s">
        <v>246</v>
      </c>
    </row>
    <row r="56" spans="1:1" ht="24" customHeight="1">
      <c r="A56" s="135" t="s">
        <v>247</v>
      </c>
    </row>
    <row r="57" spans="1:1" ht="24" customHeight="1">
      <c r="A57" s="132" t="s">
        <v>248</v>
      </c>
    </row>
    <row r="69" spans="1:1">
      <c r="A69" s="135" t="s">
        <v>249</v>
      </c>
    </row>
  </sheetData>
  <phoneticPr fontId="19"/>
  <pageMargins left="0.78700000000000003" right="0.78700000000000003" top="0.98399999999999999" bottom="0.98399999999999999" header="0.51200000000000001" footer="0.51200000000000001"/>
  <pageSetup paperSize="9" scale="72" orientation="portrait" horizontalDpi="4294967293"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8" enableFormatConditionsCalculation="0">
    <tabColor indexed="33"/>
    <pageSetUpPr fitToPage="1"/>
  </sheetPr>
  <dimension ref="A1:L56"/>
  <sheetViews>
    <sheetView showGridLines="0" showZeros="0" workbookViewId="0">
      <selection activeCell="L15" sqref="L15"/>
    </sheetView>
  </sheetViews>
  <sheetFormatPr defaultRowHeight="13.5"/>
  <cols>
    <col min="1" max="7" width="9" style="276"/>
    <col min="8" max="8" width="7.625" style="276" customWidth="1"/>
    <col min="9" max="9" width="10.75" style="276" bestFit="1" customWidth="1"/>
    <col min="10" max="16384" width="9" style="276"/>
  </cols>
  <sheetData>
    <row r="1" spans="1:12" ht="18.75">
      <c r="A1" s="876" t="s">
        <v>172</v>
      </c>
      <c r="B1" s="876"/>
      <c r="C1" s="876"/>
      <c r="D1" s="876"/>
      <c r="E1" s="876"/>
      <c r="F1" s="876"/>
      <c r="G1" s="876"/>
      <c r="H1" s="876"/>
      <c r="I1" s="876"/>
      <c r="J1" s="876"/>
    </row>
    <row r="2" spans="1:12">
      <c r="A2" s="277"/>
      <c r="B2" s="277"/>
      <c r="C2" s="277"/>
      <c r="D2" s="277"/>
      <c r="E2" s="277"/>
      <c r="F2" s="278"/>
      <c r="G2" s="277"/>
      <c r="H2" s="278"/>
      <c r="I2" s="279"/>
      <c r="J2" s="279"/>
    </row>
    <row r="3" spans="1:12" s="281" customFormat="1" ht="30" customHeight="1">
      <c r="A3" s="218" t="s">
        <v>179</v>
      </c>
      <c r="B3" s="218"/>
      <c r="C3" s="595"/>
      <c r="D3" s="596"/>
      <c r="E3" s="596"/>
      <c r="F3" s="596"/>
      <c r="G3" s="596"/>
      <c r="H3" s="639"/>
      <c r="I3" s="640"/>
      <c r="J3" s="280"/>
    </row>
    <row r="4" spans="1:12" ht="11.25" customHeight="1">
      <c r="A4" s="218"/>
      <c r="B4" s="218"/>
      <c r="C4" s="219"/>
      <c r="D4" s="218"/>
      <c r="E4" s="218"/>
      <c r="F4" s="218"/>
      <c r="G4" s="218"/>
      <c r="H4" s="278"/>
      <c r="I4" s="279"/>
      <c r="J4" s="279"/>
    </row>
    <row r="5" spans="1:12" ht="30" customHeight="1">
      <c r="A5" s="220" t="s">
        <v>173</v>
      </c>
      <c r="B5" s="221"/>
      <c r="C5" s="229">
        <f>名簿!P9</f>
        <v>0</v>
      </c>
      <c r="D5" s="230"/>
      <c r="E5" s="230"/>
      <c r="F5" s="222"/>
      <c r="G5" s="222"/>
      <c r="H5" s="282"/>
      <c r="I5" s="223" t="str">
        <f>名簿!Q9</f>
        <v/>
      </c>
      <c r="J5" s="279"/>
    </row>
    <row r="6" spans="1:12" ht="10.5" customHeight="1">
      <c r="A6" s="220"/>
      <c r="B6" s="221"/>
      <c r="C6" s="221"/>
      <c r="D6" s="221"/>
      <c r="E6" s="221"/>
      <c r="F6" s="221"/>
      <c r="G6" s="221"/>
      <c r="H6" s="282"/>
      <c r="I6" s="279"/>
      <c r="J6" s="279"/>
      <c r="K6" s="283"/>
      <c r="L6" s="100"/>
    </row>
    <row r="7" spans="1:12" ht="30" customHeight="1">
      <c r="A7" s="220" t="s">
        <v>263</v>
      </c>
      <c r="B7" s="221"/>
      <c r="C7" s="229">
        <f>名簿!E5</f>
        <v>0</v>
      </c>
      <c r="D7" s="230"/>
      <c r="E7" s="230"/>
      <c r="F7" s="224" t="s">
        <v>264</v>
      </c>
      <c r="G7" s="230">
        <f>名簿!I5</f>
        <v>0</v>
      </c>
      <c r="H7" s="230"/>
      <c r="I7" s="230"/>
      <c r="J7" s="279"/>
      <c r="K7" s="100"/>
      <c r="L7" s="100"/>
    </row>
    <row r="8" spans="1:12">
      <c r="A8" s="279"/>
      <c r="B8" s="279"/>
      <c r="C8" s="279"/>
      <c r="D8" s="279"/>
      <c r="E8" s="279"/>
      <c r="F8" s="282"/>
      <c r="G8" s="279"/>
      <c r="H8" s="282"/>
      <c r="I8" s="279"/>
      <c r="J8" s="279"/>
      <c r="K8" s="875" t="s">
        <v>308</v>
      </c>
      <c r="L8" s="100"/>
    </row>
    <row r="9" spans="1:12">
      <c r="A9" s="279"/>
      <c r="B9" s="279"/>
      <c r="C9" s="279"/>
      <c r="D9" s="279"/>
      <c r="E9" s="279"/>
      <c r="F9" s="282"/>
      <c r="G9" s="279"/>
      <c r="H9" s="282"/>
      <c r="I9" s="279"/>
      <c r="J9" s="279"/>
      <c r="K9" s="875"/>
      <c r="L9" s="100"/>
    </row>
    <row r="10" spans="1:12">
      <c r="A10" s="279"/>
      <c r="B10" s="279"/>
      <c r="C10" s="279"/>
      <c r="D10" s="279"/>
      <c r="E10" s="279"/>
      <c r="F10" s="282"/>
      <c r="G10" s="279"/>
      <c r="H10" s="282"/>
      <c r="I10" s="279"/>
      <c r="J10" s="279"/>
      <c r="K10" s="875"/>
      <c r="L10" s="100"/>
    </row>
    <row r="11" spans="1:12">
      <c r="A11" s="279"/>
      <c r="B11" s="284"/>
      <c r="C11" s="285"/>
      <c r="D11" s="285"/>
      <c r="E11" s="285"/>
      <c r="F11" s="285"/>
      <c r="G11" s="285"/>
      <c r="H11" s="285"/>
      <c r="I11" s="286"/>
      <c r="J11" s="279"/>
      <c r="K11" s="875"/>
      <c r="L11" s="100"/>
    </row>
    <row r="12" spans="1:12">
      <c r="A12" s="279"/>
      <c r="B12" s="287"/>
      <c r="C12" s="282"/>
      <c r="D12" s="282"/>
      <c r="E12" s="282"/>
      <c r="F12" s="282"/>
      <c r="G12" s="282"/>
      <c r="H12" s="282"/>
      <c r="I12" s="288"/>
      <c r="J12" s="279"/>
      <c r="K12" s="875"/>
      <c r="L12" s="100"/>
    </row>
    <row r="13" spans="1:12">
      <c r="A13" s="279"/>
      <c r="B13" s="287"/>
      <c r="C13" s="282"/>
      <c r="D13" s="282"/>
      <c r="E13" s="282"/>
      <c r="F13" s="282"/>
      <c r="G13" s="282"/>
      <c r="H13" s="282"/>
      <c r="I13" s="288"/>
      <c r="J13" s="279"/>
      <c r="K13" s="875"/>
      <c r="L13" s="100"/>
    </row>
    <row r="14" spans="1:12">
      <c r="A14" s="279"/>
      <c r="B14" s="287"/>
      <c r="C14" s="282"/>
      <c r="D14" s="282"/>
      <c r="E14" s="282"/>
      <c r="F14" s="282"/>
      <c r="G14" s="282"/>
      <c r="H14" s="282"/>
      <c r="I14" s="288"/>
      <c r="J14" s="279"/>
      <c r="K14" s="875"/>
      <c r="L14" s="100"/>
    </row>
    <row r="15" spans="1:12">
      <c r="A15" s="279"/>
      <c r="B15" s="287"/>
      <c r="C15" s="282"/>
      <c r="D15" s="282"/>
      <c r="E15" s="282"/>
      <c r="F15" s="282"/>
      <c r="G15" s="282"/>
      <c r="H15" s="282"/>
      <c r="I15" s="288"/>
      <c r="J15" s="279"/>
      <c r="K15" s="875"/>
    </row>
    <row r="16" spans="1:12">
      <c r="A16" s="279"/>
      <c r="B16" s="287"/>
      <c r="C16" s="282"/>
      <c r="D16" s="282"/>
      <c r="E16" s="282"/>
      <c r="F16" s="282"/>
      <c r="G16" s="282"/>
      <c r="H16" s="282"/>
      <c r="I16" s="288"/>
      <c r="J16" s="279"/>
      <c r="K16" s="875"/>
    </row>
    <row r="17" spans="1:11">
      <c r="A17" s="279"/>
      <c r="B17" s="287"/>
      <c r="C17" s="282"/>
      <c r="D17" s="282"/>
      <c r="E17" s="282"/>
      <c r="F17" s="282"/>
      <c r="G17" s="282"/>
      <c r="H17" s="282"/>
      <c r="I17" s="288"/>
      <c r="J17" s="279"/>
      <c r="K17" s="875"/>
    </row>
    <row r="18" spans="1:11">
      <c r="A18" s="279"/>
      <c r="B18" s="287"/>
      <c r="C18" s="282"/>
      <c r="D18" s="282"/>
      <c r="E18" s="282"/>
      <c r="F18" s="282"/>
      <c r="G18" s="282"/>
      <c r="H18" s="282"/>
      <c r="I18" s="288"/>
      <c r="J18" s="279"/>
      <c r="K18" s="875"/>
    </row>
    <row r="19" spans="1:11">
      <c r="A19" s="279"/>
      <c r="B19" s="287"/>
      <c r="C19" s="282"/>
      <c r="D19" s="282"/>
      <c r="E19" s="282"/>
      <c r="F19" s="282"/>
      <c r="G19" s="282"/>
      <c r="H19" s="282"/>
      <c r="I19" s="288"/>
      <c r="J19" s="279"/>
      <c r="K19" s="875"/>
    </row>
    <row r="20" spans="1:11">
      <c r="A20" s="279"/>
      <c r="B20" s="287"/>
      <c r="C20" s="282"/>
      <c r="D20" s="282"/>
      <c r="E20" s="282"/>
      <c r="F20" s="282"/>
      <c r="G20" s="282"/>
      <c r="H20" s="282"/>
      <c r="I20" s="288"/>
      <c r="J20" s="279"/>
      <c r="K20" s="875"/>
    </row>
    <row r="21" spans="1:11">
      <c r="A21" s="279"/>
      <c r="B21" s="287"/>
      <c r="C21" s="282"/>
      <c r="D21" s="282"/>
      <c r="E21" s="282"/>
      <c r="F21" s="282"/>
      <c r="G21" s="282"/>
      <c r="H21" s="282"/>
      <c r="I21" s="288"/>
      <c r="J21" s="282"/>
      <c r="K21" s="875"/>
    </row>
    <row r="22" spans="1:11">
      <c r="A22" s="279"/>
      <c r="B22" s="287"/>
      <c r="C22" s="282"/>
      <c r="D22" s="282"/>
      <c r="E22" s="282"/>
      <c r="F22" s="282"/>
      <c r="G22" s="282"/>
      <c r="H22" s="282"/>
      <c r="I22" s="288"/>
      <c r="J22" s="282"/>
      <c r="K22" s="875"/>
    </row>
    <row r="23" spans="1:11">
      <c r="A23" s="279"/>
      <c r="B23" s="287"/>
      <c r="C23" s="282"/>
      <c r="D23" s="282"/>
      <c r="E23" s="282"/>
      <c r="F23" s="282"/>
      <c r="G23" s="282"/>
      <c r="H23" s="282"/>
      <c r="I23" s="288"/>
      <c r="J23" s="282"/>
      <c r="K23" s="875"/>
    </row>
    <row r="24" spans="1:11">
      <c r="A24" s="279"/>
      <c r="B24" s="287"/>
      <c r="C24" s="282"/>
      <c r="D24" s="282"/>
      <c r="E24" s="282"/>
      <c r="F24" s="282"/>
      <c r="G24" s="282"/>
      <c r="H24" s="282"/>
      <c r="I24" s="288"/>
      <c r="J24" s="282"/>
      <c r="K24" s="875"/>
    </row>
    <row r="25" spans="1:11">
      <c r="A25" s="279"/>
      <c r="B25" s="287"/>
      <c r="C25" s="282"/>
      <c r="D25" s="282"/>
      <c r="E25" s="282"/>
      <c r="F25" s="282"/>
      <c r="G25" s="282"/>
      <c r="H25" s="282"/>
      <c r="I25" s="288"/>
      <c r="J25" s="282"/>
      <c r="K25" s="875"/>
    </row>
    <row r="26" spans="1:11">
      <c r="A26" s="279"/>
      <c r="B26" s="287"/>
      <c r="C26" s="282"/>
      <c r="D26" s="282"/>
      <c r="E26" s="282"/>
      <c r="F26" s="282"/>
      <c r="G26" s="282"/>
      <c r="H26" s="282"/>
      <c r="I26" s="288"/>
      <c r="J26" s="282"/>
      <c r="K26" s="875"/>
    </row>
    <row r="27" spans="1:11">
      <c r="A27" s="279"/>
      <c r="B27" s="287"/>
      <c r="C27" s="282"/>
      <c r="D27" s="282"/>
      <c r="E27" s="282"/>
      <c r="F27" s="282"/>
      <c r="G27" s="282"/>
      <c r="H27" s="282"/>
      <c r="I27" s="288"/>
      <c r="J27" s="282"/>
      <c r="K27" s="875"/>
    </row>
    <row r="28" spans="1:11">
      <c r="A28" s="279"/>
      <c r="B28" s="287"/>
      <c r="C28" s="282"/>
      <c r="D28" s="282"/>
      <c r="E28" s="282"/>
      <c r="F28" s="282"/>
      <c r="G28" s="282"/>
      <c r="H28" s="282"/>
      <c r="I28" s="288"/>
      <c r="J28" s="282"/>
      <c r="K28" s="875"/>
    </row>
    <row r="29" spans="1:11">
      <c r="A29" s="279"/>
      <c r="B29" s="287"/>
      <c r="C29" s="282"/>
      <c r="D29" s="282"/>
      <c r="E29" s="282"/>
      <c r="F29" s="282"/>
      <c r="G29" s="282"/>
      <c r="H29" s="282"/>
      <c r="I29" s="288"/>
      <c r="J29" s="282"/>
      <c r="K29" s="289"/>
    </row>
    <row r="30" spans="1:11">
      <c r="A30" s="279"/>
      <c r="B30" s="287"/>
      <c r="C30" s="282"/>
      <c r="D30" s="282"/>
      <c r="E30" s="282"/>
      <c r="F30" s="282"/>
      <c r="G30" s="282"/>
      <c r="H30" s="282"/>
      <c r="I30" s="288"/>
      <c r="J30" s="282"/>
      <c r="K30" s="289"/>
    </row>
    <row r="31" spans="1:11">
      <c r="A31" s="279"/>
      <c r="B31" s="287"/>
      <c r="C31" s="282"/>
      <c r="D31" s="282"/>
      <c r="E31" s="282"/>
      <c r="F31" s="282"/>
      <c r="G31" s="282"/>
      <c r="H31" s="282"/>
      <c r="I31" s="288"/>
      <c r="J31" s="282"/>
      <c r="K31" s="289"/>
    </row>
    <row r="32" spans="1:11" ht="13.5" customHeight="1">
      <c r="A32" s="279"/>
      <c r="B32" s="287"/>
      <c r="C32" s="282"/>
      <c r="D32" s="282"/>
      <c r="E32" s="282"/>
      <c r="F32" s="282"/>
      <c r="G32" s="282"/>
      <c r="H32" s="282"/>
      <c r="I32" s="288"/>
      <c r="J32" s="282"/>
      <c r="K32" s="289"/>
    </row>
    <row r="33" spans="1:11">
      <c r="A33" s="279"/>
      <c r="B33" s="287"/>
      <c r="C33" s="282"/>
      <c r="D33" s="282"/>
      <c r="E33" s="282"/>
      <c r="F33" s="282"/>
      <c r="G33" s="282"/>
      <c r="H33" s="282"/>
      <c r="I33" s="288"/>
      <c r="J33" s="282"/>
      <c r="K33" s="289"/>
    </row>
    <row r="34" spans="1:11">
      <c r="A34" s="279"/>
      <c r="B34" s="287"/>
      <c r="C34" s="282"/>
      <c r="D34" s="282"/>
      <c r="E34" s="282"/>
      <c r="F34" s="282"/>
      <c r="G34" s="282"/>
      <c r="H34" s="282"/>
      <c r="I34" s="288"/>
      <c r="J34" s="282"/>
      <c r="K34" s="289"/>
    </row>
    <row r="35" spans="1:11">
      <c r="A35" s="279"/>
      <c r="B35" s="287"/>
      <c r="C35" s="282"/>
      <c r="D35" s="282"/>
      <c r="E35" s="282"/>
      <c r="F35" s="282"/>
      <c r="G35" s="282"/>
      <c r="H35" s="282"/>
      <c r="I35" s="288"/>
      <c r="J35" s="282"/>
      <c r="K35" s="289"/>
    </row>
    <row r="36" spans="1:11">
      <c r="A36" s="279"/>
      <c r="B36" s="287"/>
      <c r="C36" s="282"/>
      <c r="D36" s="282"/>
      <c r="E36" s="282"/>
      <c r="F36" s="282"/>
      <c r="G36" s="282"/>
      <c r="H36" s="282"/>
      <c r="I36" s="288"/>
      <c r="J36" s="282"/>
      <c r="K36" s="289"/>
    </row>
    <row r="37" spans="1:11">
      <c r="A37" s="279"/>
      <c r="B37" s="287"/>
      <c r="C37" s="282"/>
      <c r="D37" s="282"/>
      <c r="E37" s="282"/>
      <c r="F37" s="282"/>
      <c r="G37" s="282"/>
      <c r="H37" s="282"/>
      <c r="I37" s="288"/>
      <c r="J37" s="282"/>
      <c r="K37" s="289"/>
    </row>
    <row r="38" spans="1:11">
      <c r="A38" s="279"/>
      <c r="B38" s="290"/>
      <c r="C38" s="291"/>
      <c r="D38" s="291"/>
      <c r="E38" s="291"/>
      <c r="F38" s="291"/>
      <c r="G38" s="291"/>
      <c r="H38" s="291"/>
      <c r="I38" s="292"/>
      <c r="J38" s="282"/>
      <c r="K38" s="289"/>
    </row>
    <row r="39" spans="1:11">
      <c r="A39" s="279"/>
      <c r="B39" s="279"/>
      <c r="C39" s="279"/>
      <c r="D39" s="279"/>
      <c r="E39" s="279"/>
      <c r="F39" s="279"/>
      <c r="G39" s="279"/>
      <c r="H39" s="279"/>
      <c r="I39" s="279"/>
      <c r="J39" s="279"/>
    </row>
    <row r="40" spans="1:11">
      <c r="A40" s="279"/>
      <c r="B40" s="279"/>
      <c r="C40" s="279"/>
      <c r="D40" s="279"/>
      <c r="E40" s="279"/>
      <c r="F40" s="279"/>
      <c r="G40" s="279"/>
      <c r="H40" s="279"/>
      <c r="I40" s="279"/>
      <c r="J40" s="279"/>
    </row>
    <row r="41" spans="1:11">
      <c r="A41" s="279"/>
      <c r="B41" s="279"/>
      <c r="C41" s="279"/>
      <c r="D41" s="279"/>
      <c r="E41" s="279"/>
      <c r="F41" s="279"/>
      <c r="G41" s="279"/>
      <c r="H41" s="279"/>
      <c r="I41" s="279"/>
      <c r="J41" s="279"/>
    </row>
    <row r="42" spans="1:11">
      <c r="A42" s="279"/>
      <c r="B42" s="279"/>
      <c r="C42" s="279"/>
      <c r="D42" s="279"/>
      <c r="E42" s="279"/>
      <c r="F42" s="279"/>
      <c r="G42" s="279"/>
      <c r="H42" s="279"/>
      <c r="I42" s="279"/>
      <c r="J42" s="279"/>
    </row>
    <row r="43" spans="1:11" s="226" customFormat="1" ht="21">
      <c r="A43" s="225"/>
      <c r="B43" s="225" t="s">
        <v>267</v>
      </c>
      <c r="C43" s="225"/>
      <c r="D43" s="234"/>
      <c r="E43" s="232"/>
      <c r="F43" s="225" t="s">
        <v>266</v>
      </c>
      <c r="G43" s="225"/>
      <c r="H43" s="231"/>
      <c r="I43" s="225"/>
      <c r="J43" s="225"/>
    </row>
    <row r="44" spans="1:11" s="226" customFormat="1" ht="21">
      <c r="A44" s="225"/>
      <c r="B44" s="225"/>
      <c r="C44" s="225"/>
      <c r="D44" s="225"/>
      <c r="E44" s="225"/>
      <c r="F44" s="225"/>
      <c r="G44" s="225"/>
      <c r="H44" s="225"/>
      <c r="I44" s="225"/>
      <c r="J44" s="225"/>
    </row>
    <row r="45" spans="1:11" s="226" customFormat="1" ht="21">
      <c r="A45" s="225"/>
      <c r="B45" s="225" t="s">
        <v>293</v>
      </c>
      <c r="C45" s="225"/>
      <c r="D45" s="233"/>
      <c r="E45" s="877"/>
      <c r="F45" s="877"/>
      <c r="G45" s="878"/>
      <c r="H45" s="878"/>
      <c r="I45" s="227"/>
      <c r="J45" s="225"/>
    </row>
    <row r="46" spans="1:11" ht="21.75" thickBot="1">
      <c r="A46" s="279"/>
      <c r="B46" s="279"/>
      <c r="C46" s="279"/>
      <c r="D46" s="279"/>
      <c r="E46" s="877" t="s">
        <v>265</v>
      </c>
      <c r="F46" s="877"/>
      <c r="G46" s="236"/>
      <c r="H46" s="235"/>
      <c r="I46" s="227"/>
      <c r="J46" s="279"/>
    </row>
    <row r="47" spans="1:11" ht="21.75" thickTop="1">
      <c r="A47" s="279"/>
      <c r="B47" s="279"/>
      <c r="C47" s="279"/>
      <c r="D47" s="279"/>
      <c r="E47" s="877"/>
      <c r="F47" s="877"/>
      <c r="G47" s="279"/>
      <c r="H47" s="279"/>
      <c r="I47" s="279"/>
      <c r="J47" s="279"/>
    </row>
    <row r="48" spans="1:11">
      <c r="A48" s="279"/>
      <c r="B48" s="279"/>
      <c r="C48" s="279"/>
      <c r="D48" s="279"/>
      <c r="E48" s="279"/>
      <c r="F48" s="279"/>
      <c r="G48" s="279"/>
      <c r="H48" s="279"/>
      <c r="I48" s="279"/>
      <c r="J48" s="279"/>
    </row>
    <row r="49" spans="1:10">
      <c r="A49" s="279"/>
      <c r="B49" s="279"/>
      <c r="C49" s="279"/>
      <c r="D49" s="279"/>
      <c r="E49" s="279"/>
      <c r="F49" s="279"/>
      <c r="G49" s="279"/>
      <c r="H49" s="279"/>
      <c r="I49" s="279"/>
      <c r="J49" s="279"/>
    </row>
    <row r="50" spans="1:10" s="293" customFormat="1"/>
    <row r="51" spans="1:10" s="293" customFormat="1"/>
    <row r="52" spans="1:10" s="293" customFormat="1"/>
    <row r="53" spans="1:10" s="293" customFormat="1"/>
    <row r="54" spans="1:10" s="293" customFormat="1"/>
    <row r="55" spans="1:10" s="293" customFormat="1"/>
    <row r="56" spans="1:10" s="293" customFormat="1"/>
  </sheetData>
  <mergeCells count="6">
    <mergeCell ref="K8:K28"/>
    <mergeCell ref="A1:J1"/>
    <mergeCell ref="E46:F46"/>
    <mergeCell ref="E47:F47"/>
    <mergeCell ref="E45:F45"/>
    <mergeCell ref="G45:H45"/>
  </mergeCells>
  <phoneticPr fontId="19"/>
  <dataValidations count="1">
    <dataValidation imeMode="disabled" allowBlank="1" showInputMessage="1" showErrorMessage="1" sqref="H7:I7 G7"/>
  </dataValidations>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22">
    <pageSetUpPr fitToPage="1"/>
  </sheetPr>
  <dimension ref="A1:W85"/>
  <sheetViews>
    <sheetView workbookViewId="0">
      <selection activeCell="D27" sqref="D27"/>
    </sheetView>
  </sheetViews>
  <sheetFormatPr defaultRowHeight="13.5"/>
  <cols>
    <col min="1" max="1" width="19.75" style="69" bestFit="1" customWidth="1"/>
    <col min="2" max="2" width="3.5" style="2" bestFit="1" customWidth="1"/>
    <col min="3" max="3" width="0.625" style="2" customWidth="1"/>
    <col min="4" max="4" width="19.75" style="3" bestFit="1" customWidth="1"/>
    <col min="5" max="5" width="3.5" bestFit="1" customWidth="1"/>
    <col min="6" max="6" width="0.625" customWidth="1"/>
    <col min="7" max="7" width="9" style="3" bestFit="1"/>
    <col min="8" max="8" width="2.5" bestFit="1" customWidth="1"/>
    <col min="9" max="9" width="0.5" customWidth="1"/>
    <col min="10" max="10" width="15.375" style="3" bestFit="1" customWidth="1"/>
    <col min="11" max="11" width="3.5" bestFit="1" customWidth="1"/>
    <col min="12" max="12" width="0.5" customWidth="1"/>
    <col min="13" max="13" width="9" style="3" bestFit="1"/>
    <col min="14" max="14" width="3.5" bestFit="1" customWidth="1"/>
    <col min="15" max="15" width="0.5" customWidth="1"/>
    <col min="16" max="16" width="15.25" bestFit="1" customWidth="1"/>
    <col min="17" max="17" width="3.5" bestFit="1" customWidth="1"/>
    <col min="18" max="18" width="0.375" customWidth="1"/>
    <col min="19" max="19" width="11" style="3" bestFit="1" customWidth="1"/>
    <col min="20" max="20" width="3.5" bestFit="1" customWidth="1"/>
    <col min="21" max="21" width="0.5" customWidth="1"/>
    <col min="22" max="22" width="22.25" style="3" bestFit="1" customWidth="1"/>
    <col min="23" max="23" width="3.5" bestFit="1" customWidth="1"/>
    <col min="24" max="24" width="5.125" customWidth="1"/>
  </cols>
  <sheetData>
    <row r="1" spans="1:23">
      <c r="A1" s="62" t="s">
        <v>154</v>
      </c>
      <c r="B1" s="38"/>
      <c r="C1"/>
      <c r="D1" s="62"/>
      <c r="E1" s="39"/>
      <c r="G1" s="63"/>
      <c r="H1" s="38"/>
      <c r="J1" s="62"/>
      <c r="K1" s="38"/>
      <c r="M1" s="63"/>
      <c r="N1" s="38"/>
      <c r="P1" s="40"/>
      <c r="Q1" s="38"/>
      <c r="S1" s="63"/>
      <c r="T1" s="38"/>
      <c r="V1">
        <v>100</v>
      </c>
      <c r="W1">
        <v>1</v>
      </c>
    </row>
    <row r="2" spans="1:23">
      <c r="A2" s="64">
        <v>100</v>
      </c>
      <c r="B2" s="41">
        <v>1</v>
      </c>
      <c r="D2" s="64"/>
      <c r="E2" s="41"/>
      <c r="G2" s="65"/>
      <c r="H2" s="43"/>
      <c r="J2" s="66"/>
      <c r="K2" s="43"/>
      <c r="M2" s="65"/>
      <c r="N2" s="43"/>
      <c r="P2" s="42"/>
      <c r="Q2" s="43"/>
      <c r="S2" s="65"/>
      <c r="T2" s="43"/>
      <c r="V2">
        <v>3000</v>
      </c>
      <c r="W2">
        <v>2</v>
      </c>
    </row>
    <row r="3" spans="1:23">
      <c r="A3" s="64">
        <v>200</v>
      </c>
      <c r="B3" s="41">
        <v>2</v>
      </c>
      <c r="D3" s="64"/>
      <c r="E3" s="41"/>
      <c r="G3" s="65"/>
      <c r="H3" s="43"/>
      <c r="J3" s="66"/>
      <c r="K3" s="43"/>
      <c r="M3" s="65"/>
      <c r="N3" s="43"/>
      <c r="P3" s="42"/>
      <c r="Q3" s="43"/>
      <c r="S3" s="65"/>
      <c r="T3" s="43"/>
      <c r="V3">
        <v>5000</v>
      </c>
      <c r="W3">
        <v>3</v>
      </c>
    </row>
    <row r="4" spans="1:23">
      <c r="A4" s="64">
        <v>400</v>
      </c>
      <c r="B4" s="41">
        <v>3</v>
      </c>
      <c r="D4" s="64"/>
      <c r="E4" s="41"/>
      <c r="G4" s="65"/>
      <c r="H4" s="43"/>
      <c r="J4" s="64"/>
      <c r="K4" s="43"/>
      <c r="M4" s="65"/>
      <c r="N4" s="43"/>
      <c r="P4" s="42"/>
      <c r="Q4" s="43"/>
      <c r="S4" s="65"/>
      <c r="T4" s="43"/>
      <c r="V4" s="66" t="s">
        <v>210</v>
      </c>
      <c r="W4">
        <v>4</v>
      </c>
    </row>
    <row r="5" spans="1:23">
      <c r="A5" s="64">
        <v>800</v>
      </c>
      <c r="B5" s="41">
        <v>4</v>
      </c>
      <c r="D5" s="64"/>
      <c r="E5" s="41"/>
      <c r="G5" s="65"/>
      <c r="H5" s="43"/>
      <c r="J5" s="66"/>
      <c r="K5" s="43"/>
      <c r="M5" s="65"/>
      <c r="N5" s="43"/>
      <c r="P5" s="42"/>
      <c r="Q5" s="43"/>
      <c r="S5" s="65"/>
      <c r="T5" s="43"/>
      <c r="V5" s="65"/>
      <c r="W5" s="43"/>
    </row>
    <row r="6" spans="1:23">
      <c r="A6" s="64">
        <v>1500</v>
      </c>
      <c r="B6" s="41">
        <v>5</v>
      </c>
      <c r="D6" s="64"/>
      <c r="E6" s="41"/>
      <c r="G6" s="67"/>
      <c r="H6" s="46"/>
      <c r="J6" s="66"/>
      <c r="K6" s="43"/>
      <c r="M6" s="65"/>
      <c r="N6" s="43"/>
      <c r="P6" s="42"/>
      <c r="Q6" s="43"/>
      <c r="S6" s="65"/>
      <c r="T6" s="43"/>
      <c r="V6" s="65"/>
      <c r="W6" s="43"/>
    </row>
    <row r="7" spans="1:23">
      <c r="A7" s="64">
        <v>5000</v>
      </c>
      <c r="B7" s="41">
        <v>6</v>
      </c>
      <c r="D7" s="64"/>
      <c r="E7" s="41"/>
      <c r="J7" s="66"/>
      <c r="K7" s="43"/>
      <c r="M7" s="65"/>
      <c r="N7" s="43"/>
      <c r="P7" s="42"/>
      <c r="Q7" s="43"/>
      <c r="S7" s="65"/>
      <c r="T7" s="43"/>
      <c r="V7" s="65"/>
      <c r="W7" s="43"/>
    </row>
    <row r="8" spans="1:23">
      <c r="A8" s="64">
        <v>10000</v>
      </c>
      <c r="B8" s="41">
        <v>7</v>
      </c>
      <c r="D8" s="64"/>
      <c r="E8" s="41"/>
      <c r="J8" s="66"/>
      <c r="K8" s="43"/>
      <c r="M8" s="65"/>
      <c r="N8" s="43"/>
      <c r="P8" s="42"/>
      <c r="Q8" s="43"/>
      <c r="S8" s="65"/>
      <c r="T8" s="43"/>
      <c r="V8" s="65"/>
      <c r="W8" s="43"/>
    </row>
    <row r="9" spans="1:23">
      <c r="A9" s="66" t="s">
        <v>196</v>
      </c>
      <c r="B9" s="41">
        <v>8</v>
      </c>
      <c r="D9" s="64"/>
      <c r="E9" s="41"/>
      <c r="J9" s="66"/>
      <c r="K9" s="43"/>
      <c r="M9" s="66"/>
      <c r="N9" s="43"/>
      <c r="P9" s="42"/>
      <c r="Q9" s="43"/>
      <c r="S9" s="65"/>
      <c r="T9" s="43"/>
      <c r="V9" s="65"/>
      <c r="W9" s="43"/>
    </row>
    <row r="10" spans="1:23">
      <c r="A10" s="66" t="s">
        <v>197</v>
      </c>
      <c r="B10" s="41">
        <v>9</v>
      </c>
      <c r="D10" s="64"/>
      <c r="E10" s="41"/>
      <c r="J10" s="64"/>
      <c r="K10" s="43"/>
      <c r="M10" s="66"/>
      <c r="N10" s="43"/>
      <c r="P10" s="42"/>
      <c r="Q10" s="43"/>
      <c r="S10" s="65"/>
      <c r="T10" s="43"/>
      <c r="V10" s="65"/>
      <c r="W10" s="43"/>
    </row>
    <row r="11" spans="1:23">
      <c r="A11" s="66" t="s">
        <v>198</v>
      </c>
      <c r="B11" s="41">
        <v>10</v>
      </c>
      <c r="D11" s="64"/>
      <c r="E11" s="41"/>
      <c r="J11" s="64"/>
      <c r="K11" s="43"/>
      <c r="M11" s="66"/>
      <c r="N11" s="43"/>
      <c r="P11" s="42"/>
      <c r="Q11" s="43"/>
      <c r="S11" s="66"/>
      <c r="T11" s="43"/>
      <c r="V11" s="65"/>
      <c r="W11" s="43"/>
    </row>
    <row r="12" spans="1:23">
      <c r="A12" s="66"/>
      <c r="B12" s="41">
        <v>11</v>
      </c>
      <c r="D12" s="66"/>
      <c r="E12" s="41"/>
      <c r="J12" s="66"/>
      <c r="K12" s="43"/>
      <c r="M12" s="66"/>
      <c r="N12" s="43"/>
      <c r="P12" s="42"/>
      <c r="Q12" s="43"/>
      <c r="S12" s="66"/>
      <c r="T12" s="43"/>
      <c r="V12" s="65"/>
      <c r="W12" s="43"/>
    </row>
    <row r="13" spans="1:23">
      <c r="A13" s="66" t="s">
        <v>200</v>
      </c>
      <c r="B13" s="41">
        <v>12</v>
      </c>
      <c r="D13" s="66"/>
      <c r="E13" s="41"/>
      <c r="J13" s="66"/>
      <c r="K13" s="43"/>
      <c r="M13" s="68"/>
      <c r="N13" s="46"/>
      <c r="P13" s="42"/>
      <c r="Q13" s="43"/>
      <c r="S13" s="66"/>
      <c r="T13" s="43"/>
      <c r="V13" s="65"/>
      <c r="W13" s="43"/>
    </row>
    <row r="14" spans="1:23">
      <c r="A14" s="66" t="s">
        <v>201</v>
      </c>
      <c r="B14" s="41">
        <v>13</v>
      </c>
      <c r="D14" s="66"/>
      <c r="E14" s="41"/>
      <c r="J14" s="66"/>
      <c r="K14" s="43"/>
      <c r="M14" s="69"/>
      <c r="P14" s="42"/>
      <c r="Q14" s="43"/>
      <c r="S14" s="66"/>
      <c r="T14" s="43"/>
      <c r="V14" s="67"/>
      <c r="W14" s="46"/>
    </row>
    <row r="15" spans="1:23">
      <c r="A15" s="66" t="s">
        <v>202</v>
      </c>
      <c r="B15" s="41">
        <v>14</v>
      </c>
      <c r="D15" s="66"/>
      <c r="E15" s="41"/>
      <c r="J15" s="66"/>
      <c r="K15" s="43"/>
      <c r="P15" s="42"/>
      <c r="Q15" s="43"/>
      <c r="S15" s="68"/>
      <c r="T15" s="46"/>
    </row>
    <row r="16" spans="1:23">
      <c r="A16" s="66" t="s">
        <v>35</v>
      </c>
      <c r="B16" s="41">
        <v>15</v>
      </c>
      <c r="D16" s="66"/>
      <c r="E16" s="41"/>
      <c r="J16" s="68"/>
      <c r="K16" s="46"/>
      <c r="P16" s="42"/>
      <c r="Q16" s="43"/>
      <c r="V16" s="70"/>
      <c r="W16" s="38"/>
    </row>
    <row r="17" spans="1:23">
      <c r="A17" s="66" t="s">
        <v>137</v>
      </c>
      <c r="B17" s="41">
        <v>16</v>
      </c>
      <c r="D17" s="66"/>
      <c r="E17" s="41"/>
      <c r="P17" s="42"/>
      <c r="Q17" s="43"/>
      <c r="V17" s="67"/>
      <c r="W17" s="46"/>
    </row>
    <row r="18" spans="1:23">
      <c r="A18" s="66" t="s">
        <v>136</v>
      </c>
      <c r="B18" s="41">
        <v>17</v>
      </c>
      <c r="D18" s="66"/>
      <c r="E18" s="41"/>
      <c r="P18" s="42"/>
      <c r="Q18" s="43"/>
    </row>
    <row r="19" spans="1:23">
      <c r="A19" s="66" t="s">
        <v>141</v>
      </c>
      <c r="B19" s="41">
        <v>18</v>
      </c>
      <c r="D19" s="66"/>
      <c r="E19" s="41"/>
      <c r="J19" s="69"/>
      <c r="P19" s="42"/>
      <c r="Q19" s="43"/>
    </row>
    <row r="20" spans="1:23">
      <c r="A20" s="66" t="s">
        <v>142</v>
      </c>
      <c r="B20" s="41">
        <v>19</v>
      </c>
      <c r="D20" s="68"/>
      <c r="E20" s="49"/>
      <c r="J20" s="69"/>
      <c r="P20" s="42"/>
      <c r="Q20" s="43"/>
    </row>
    <row r="21" spans="1:23">
      <c r="A21" s="66" t="s">
        <v>138</v>
      </c>
      <c r="B21" s="41">
        <v>20</v>
      </c>
      <c r="D21" s="69"/>
      <c r="E21" s="2"/>
      <c r="J21" s="69"/>
      <c r="P21" s="42"/>
      <c r="Q21" s="43"/>
    </row>
    <row r="22" spans="1:23">
      <c r="A22" s="66" t="s">
        <v>140</v>
      </c>
      <c r="B22" s="41">
        <v>21</v>
      </c>
      <c r="D22" s="69"/>
      <c r="E22" s="2"/>
      <c r="J22" s="69"/>
      <c r="P22" s="42"/>
      <c r="Q22" s="43"/>
      <c r="V22" s="62" t="s">
        <v>157</v>
      </c>
      <c r="W22" s="38"/>
    </row>
    <row r="23" spans="1:23">
      <c r="A23" s="66" t="s">
        <v>139</v>
      </c>
      <c r="B23" s="41">
        <v>22</v>
      </c>
      <c r="D23" s="69"/>
      <c r="E23" s="2"/>
      <c r="J23" s="69"/>
      <c r="P23" s="42"/>
      <c r="Q23" s="43"/>
      <c r="V23" s="66" t="s">
        <v>390</v>
      </c>
      <c r="W23" s="43">
        <v>1</v>
      </c>
    </row>
    <row r="24" spans="1:23">
      <c r="A24" s="66" t="s">
        <v>143</v>
      </c>
      <c r="B24" s="41">
        <v>23</v>
      </c>
      <c r="D24" s="69"/>
      <c r="E24" s="2"/>
      <c r="P24" s="44"/>
      <c r="Q24" s="43"/>
      <c r="V24" s="66" t="s">
        <v>391</v>
      </c>
      <c r="W24" s="43">
        <v>3</v>
      </c>
    </row>
    <row r="25" spans="1:23">
      <c r="A25" s="66" t="s">
        <v>180</v>
      </c>
      <c r="B25" s="41">
        <v>24</v>
      </c>
      <c r="P25" s="42"/>
      <c r="Q25" s="43"/>
      <c r="V25" s="66"/>
      <c r="W25" s="43"/>
    </row>
    <row r="26" spans="1:23">
      <c r="A26" s="66" t="s">
        <v>181</v>
      </c>
      <c r="B26" s="41">
        <v>25</v>
      </c>
      <c r="P26" s="45"/>
      <c r="Q26" s="46"/>
      <c r="V26" s="68"/>
      <c r="W26" s="46"/>
    </row>
    <row r="27" spans="1:23">
      <c r="A27" s="66" t="s">
        <v>182</v>
      </c>
      <c r="B27" s="41">
        <v>26</v>
      </c>
    </row>
    <row r="28" spans="1:23">
      <c r="A28" s="66" t="s">
        <v>183</v>
      </c>
      <c r="B28" s="41">
        <v>27</v>
      </c>
    </row>
    <row r="29" spans="1:23">
      <c r="A29" s="66"/>
      <c r="B29" s="86">
        <v>28</v>
      </c>
    </row>
    <row r="30" spans="1:23">
      <c r="A30" s="66"/>
      <c r="B30" s="86">
        <v>29</v>
      </c>
      <c r="D30" s="63" t="s">
        <v>159</v>
      </c>
      <c r="E30" s="38"/>
    </row>
    <row r="31" spans="1:23">
      <c r="A31" s="66"/>
      <c r="B31" s="86">
        <v>30</v>
      </c>
      <c r="D31" s="65"/>
      <c r="E31" s="43"/>
    </row>
    <row r="32" spans="1:23">
      <c r="A32" s="66"/>
      <c r="B32" s="86">
        <v>31</v>
      </c>
      <c r="D32" s="66" t="s">
        <v>160</v>
      </c>
      <c r="E32" s="43">
        <v>2</v>
      </c>
    </row>
    <row r="33" spans="1:5">
      <c r="A33" s="68"/>
      <c r="B33" s="71">
        <v>32</v>
      </c>
      <c r="D33" s="66" t="s">
        <v>161</v>
      </c>
      <c r="E33" s="43">
        <v>3</v>
      </c>
    </row>
    <row r="34" spans="1:5">
      <c r="D34" s="66" t="s">
        <v>162</v>
      </c>
      <c r="E34" s="43">
        <v>4</v>
      </c>
    </row>
    <row r="35" spans="1:5">
      <c r="A35" s="62" t="s">
        <v>158</v>
      </c>
      <c r="B35" s="39"/>
      <c r="D35" s="66" t="s">
        <v>163</v>
      </c>
      <c r="E35" s="43">
        <v>5</v>
      </c>
    </row>
    <row r="36" spans="1:5">
      <c r="A36" s="66" t="s">
        <v>185</v>
      </c>
      <c r="B36" s="41">
        <v>1</v>
      </c>
      <c r="D36" s="68" t="s">
        <v>164</v>
      </c>
      <c r="E36" s="46">
        <v>6</v>
      </c>
    </row>
    <row r="37" spans="1:5">
      <c r="A37" s="66" t="s">
        <v>160</v>
      </c>
      <c r="B37" s="41">
        <v>2</v>
      </c>
    </row>
    <row r="38" spans="1:5">
      <c r="A38" s="66" t="s">
        <v>161</v>
      </c>
      <c r="B38" s="41">
        <v>3</v>
      </c>
    </row>
    <row r="39" spans="1:5">
      <c r="A39" s="66" t="s">
        <v>162</v>
      </c>
      <c r="B39" s="41">
        <v>4</v>
      </c>
    </row>
    <row r="40" spans="1:5">
      <c r="A40" s="66" t="s">
        <v>163</v>
      </c>
      <c r="B40" s="41">
        <v>5</v>
      </c>
    </row>
    <row r="41" spans="1:5">
      <c r="A41" s="68" t="s">
        <v>164</v>
      </c>
      <c r="B41" s="49">
        <v>6</v>
      </c>
    </row>
    <row r="43" spans="1:5">
      <c r="A43" s="69" t="s">
        <v>205</v>
      </c>
    </row>
    <row r="44" spans="1:5">
      <c r="A44" s="88">
        <v>100</v>
      </c>
      <c r="B44" s="39">
        <v>1</v>
      </c>
    </row>
    <row r="45" spans="1:5">
      <c r="A45" s="64">
        <v>200</v>
      </c>
      <c r="B45" s="41">
        <v>2</v>
      </c>
    </row>
    <row r="46" spans="1:5">
      <c r="A46" s="64">
        <v>400</v>
      </c>
      <c r="B46" s="41">
        <v>3</v>
      </c>
    </row>
    <row r="47" spans="1:5">
      <c r="A47" s="64">
        <v>800</v>
      </c>
      <c r="B47" s="41">
        <v>4</v>
      </c>
    </row>
    <row r="48" spans="1:5">
      <c r="A48" s="64">
        <v>1500</v>
      </c>
      <c r="B48" s="41">
        <v>5</v>
      </c>
    </row>
    <row r="49" spans="1:2">
      <c r="A49" s="64">
        <v>5000</v>
      </c>
      <c r="B49" s="41">
        <v>6</v>
      </c>
    </row>
    <row r="50" spans="1:2">
      <c r="A50" s="64">
        <v>10000</v>
      </c>
      <c r="B50" s="41">
        <v>7</v>
      </c>
    </row>
    <row r="51" spans="1:2">
      <c r="A51" s="66" t="s">
        <v>196</v>
      </c>
      <c r="B51" s="41">
        <v>8</v>
      </c>
    </row>
    <row r="52" spans="1:2">
      <c r="A52" s="66" t="s">
        <v>197</v>
      </c>
      <c r="B52" s="41">
        <v>9</v>
      </c>
    </row>
    <row r="53" spans="1:2">
      <c r="A53" s="66" t="s">
        <v>198</v>
      </c>
      <c r="B53" s="41">
        <v>10</v>
      </c>
    </row>
    <row r="54" spans="1:2">
      <c r="A54" s="66"/>
      <c r="B54" s="41">
        <v>11</v>
      </c>
    </row>
    <row r="55" spans="1:2">
      <c r="A55" s="66" t="s">
        <v>200</v>
      </c>
      <c r="B55" s="41">
        <v>12</v>
      </c>
    </row>
    <row r="56" spans="1:2">
      <c r="A56" s="66" t="s">
        <v>201</v>
      </c>
      <c r="B56" s="41">
        <v>13</v>
      </c>
    </row>
    <row r="57" spans="1:2">
      <c r="A57" s="66" t="s">
        <v>202</v>
      </c>
      <c r="B57" s="41">
        <v>14</v>
      </c>
    </row>
    <row r="58" spans="1:2">
      <c r="A58" s="66" t="s">
        <v>35</v>
      </c>
      <c r="B58" s="41">
        <v>15</v>
      </c>
    </row>
    <row r="59" spans="1:2">
      <c r="A59" s="66" t="s">
        <v>137</v>
      </c>
      <c r="B59" s="41">
        <v>16</v>
      </c>
    </row>
    <row r="60" spans="1:2">
      <c r="A60" s="66" t="s">
        <v>136</v>
      </c>
      <c r="B60" s="41">
        <v>17</v>
      </c>
    </row>
    <row r="61" spans="1:2">
      <c r="A61" s="66" t="s">
        <v>141</v>
      </c>
      <c r="B61" s="41">
        <v>18</v>
      </c>
    </row>
    <row r="62" spans="1:2">
      <c r="A62" s="66" t="s">
        <v>142</v>
      </c>
      <c r="B62" s="41">
        <v>19</v>
      </c>
    </row>
    <row r="63" spans="1:2">
      <c r="A63" s="66" t="s">
        <v>138</v>
      </c>
      <c r="B63" s="41">
        <v>20</v>
      </c>
    </row>
    <row r="64" spans="1:2">
      <c r="A64" s="66" t="s">
        <v>140</v>
      </c>
      <c r="B64" s="41">
        <v>21</v>
      </c>
    </row>
    <row r="65" spans="1:2">
      <c r="A65" s="66" t="s">
        <v>139</v>
      </c>
      <c r="B65" s="41">
        <v>22</v>
      </c>
    </row>
    <row r="66" spans="1:2">
      <c r="A66" s="66" t="s">
        <v>143</v>
      </c>
      <c r="B66" s="41">
        <v>23</v>
      </c>
    </row>
    <row r="67" spans="1:2">
      <c r="A67" s="66"/>
      <c r="B67" s="41">
        <v>24</v>
      </c>
    </row>
    <row r="68" spans="1:2">
      <c r="A68" s="66"/>
      <c r="B68" s="41">
        <v>25</v>
      </c>
    </row>
    <row r="69" spans="1:2">
      <c r="A69" s="66"/>
      <c r="B69" s="41">
        <v>26</v>
      </c>
    </row>
    <row r="70" spans="1:2">
      <c r="A70" s="66"/>
      <c r="B70" s="41">
        <v>27</v>
      </c>
    </row>
    <row r="71" spans="1:2">
      <c r="A71" s="66"/>
      <c r="B71" s="86">
        <v>28</v>
      </c>
    </row>
    <row r="72" spans="1:2">
      <c r="A72" s="66"/>
      <c r="B72" s="86">
        <v>29</v>
      </c>
    </row>
    <row r="73" spans="1:2">
      <c r="A73" s="66"/>
      <c r="B73" s="86">
        <v>30</v>
      </c>
    </row>
    <row r="74" spans="1:2">
      <c r="A74" s="66"/>
      <c r="B74" s="86">
        <v>31</v>
      </c>
    </row>
    <row r="75" spans="1:2">
      <c r="A75" s="68"/>
      <c r="B75" s="71">
        <v>32</v>
      </c>
    </row>
    <row r="77" spans="1:2">
      <c r="A77" s="69" t="s">
        <v>207</v>
      </c>
    </row>
    <row r="78" spans="1:2">
      <c r="A78" s="94" t="s">
        <v>210</v>
      </c>
      <c r="B78" s="95">
        <v>14</v>
      </c>
    </row>
    <row r="79" spans="1:2">
      <c r="A79" s="94" t="s">
        <v>211</v>
      </c>
      <c r="B79" s="95">
        <v>14</v>
      </c>
    </row>
    <row r="80" spans="1:2">
      <c r="A80" s="94" t="s">
        <v>212</v>
      </c>
      <c r="B80" s="95">
        <v>14</v>
      </c>
    </row>
    <row r="81" spans="1:2">
      <c r="A81" s="94" t="s">
        <v>341</v>
      </c>
      <c r="B81" s="431">
        <v>14</v>
      </c>
    </row>
    <row r="82" spans="1:2">
      <c r="A82" s="94" t="s">
        <v>210</v>
      </c>
      <c r="B82" s="95">
        <v>13</v>
      </c>
    </row>
    <row r="83" spans="1:2">
      <c r="A83" s="94" t="s">
        <v>211</v>
      </c>
      <c r="B83" s="95">
        <v>13</v>
      </c>
    </row>
    <row r="84" spans="1:2">
      <c r="A84" s="94" t="s">
        <v>212</v>
      </c>
      <c r="B84" s="95">
        <v>13</v>
      </c>
    </row>
    <row r="85" spans="1:2">
      <c r="A85" s="94" t="s">
        <v>341</v>
      </c>
      <c r="B85" s="95">
        <v>14</v>
      </c>
    </row>
  </sheetData>
  <phoneticPr fontId="5"/>
  <pageMargins left="0.78700000000000003" right="0.78700000000000003" top="0.98399999999999999" bottom="0.98399999999999999" header="0.51200000000000001" footer="0.51200000000000001"/>
  <pageSetup paperSize="12" scale="5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codeName="Sheet23">
    <pageSetUpPr fitToPage="1"/>
  </sheetPr>
  <dimension ref="A1:W85"/>
  <sheetViews>
    <sheetView workbookViewId="0">
      <selection activeCell="B12" sqref="B12"/>
    </sheetView>
  </sheetViews>
  <sheetFormatPr defaultRowHeight="13.5"/>
  <cols>
    <col min="1" max="1" width="17.5" style="69" bestFit="1" customWidth="1"/>
    <col min="2" max="2" width="3.5" style="1" bestFit="1" customWidth="1"/>
    <col min="3" max="3" width="0.375" style="1" customWidth="1"/>
    <col min="4" max="4" width="17.5" style="3" bestFit="1" customWidth="1"/>
    <col min="5" max="5" width="6.25" customWidth="1"/>
    <col min="6" max="6" width="0.875" customWidth="1"/>
    <col min="7" max="7" width="9" style="3"/>
    <col min="8" max="8" width="4.625" customWidth="1"/>
    <col min="9" max="9" width="0.5" customWidth="1"/>
    <col min="10" max="10" width="15.375" style="3" bestFit="1" customWidth="1"/>
    <col min="11" max="11" width="5.625" customWidth="1"/>
    <col min="12" max="12" width="0.5" customWidth="1"/>
    <col min="13" max="13" width="9" style="3"/>
    <col min="14" max="14" width="3.5" bestFit="1" customWidth="1"/>
    <col min="15" max="15" width="0.375" customWidth="1"/>
    <col min="16" max="16" width="12.625" bestFit="1" customWidth="1"/>
    <col min="17" max="17" width="9.125" customWidth="1"/>
    <col min="18" max="18" width="0.25" customWidth="1"/>
    <col min="19" max="19" width="9.125" customWidth="1"/>
    <col min="20" max="20" width="4.875" customWidth="1"/>
    <col min="21" max="21" width="0.375" customWidth="1"/>
    <col min="22" max="22" width="16.125" bestFit="1" customWidth="1"/>
    <col min="23" max="23" width="3.5" bestFit="1" customWidth="1"/>
    <col min="24" max="24" width="7" customWidth="1"/>
  </cols>
  <sheetData>
    <row r="1" spans="1:23">
      <c r="A1" s="62" t="s">
        <v>154</v>
      </c>
      <c r="B1" s="38"/>
      <c r="C1"/>
      <c r="D1" s="62"/>
      <c r="E1" s="50"/>
      <c r="F1" s="1"/>
      <c r="G1" s="62"/>
      <c r="H1" s="50"/>
      <c r="J1" s="62"/>
      <c r="K1" s="38"/>
      <c r="M1" s="63"/>
      <c r="N1" s="38"/>
      <c r="P1" s="40"/>
      <c r="Q1" s="38"/>
      <c r="S1" s="40"/>
      <c r="T1" s="38"/>
      <c r="V1">
        <v>100</v>
      </c>
      <c r="W1">
        <v>5</v>
      </c>
    </row>
    <row r="2" spans="1:23">
      <c r="A2" s="64">
        <v>100</v>
      </c>
      <c r="B2" s="41">
        <v>40</v>
      </c>
      <c r="D2" s="64"/>
      <c r="E2" s="41"/>
      <c r="F2" s="2"/>
      <c r="G2" s="65"/>
      <c r="H2" s="43"/>
      <c r="J2" s="66"/>
      <c r="K2" s="43"/>
      <c r="M2" s="65"/>
      <c r="N2" s="43"/>
      <c r="P2" s="42"/>
      <c r="Q2" s="43"/>
      <c r="S2" s="65"/>
      <c r="T2" s="43"/>
      <c r="V2">
        <v>3000</v>
      </c>
      <c r="W2">
        <v>6</v>
      </c>
    </row>
    <row r="3" spans="1:23">
      <c r="A3" s="64">
        <v>200</v>
      </c>
      <c r="B3" s="41">
        <v>41</v>
      </c>
      <c r="C3" s="2"/>
      <c r="D3" s="64"/>
      <c r="E3" s="41"/>
      <c r="F3" s="2"/>
      <c r="G3" s="65"/>
      <c r="H3" s="43"/>
      <c r="J3" s="66"/>
      <c r="K3" s="43"/>
      <c r="M3" s="65"/>
      <c r="N3" s="43"/>
      <c r="O3" s="2"/>
      <c r="P3" s="42"/>
      <c r="Q3" s="43"/>
      <c r="S3" s="65"/>
      <c r="T3" s="43"/>
      <c r="V3" s="66" t="s">
        <v>213</v>
      </c>
      <c r="W3">
        <v>7</v>
      </c>
    </row>
    <row r="4" spans="1:23">
      <c r="A4" s="64">
        <v>400</v>
      </c>
      <c r="B4" s="41">
        <v>42</v>
      </c>
      <c r="C4" s="2"/>
      <c r="D4" s="64"/>
      <c r="E4" s="41"/>
      <c r="F4" s="2"/>
      <c r="G4" s="65"/>
      <c r="H4" s="43"/>
      <c r="J4" s="64"/>
      <c r="K4" s="43"/>
      <c r="M4" s="65"/>
      <c r="N4" s="43"/>
      <c r="P4" s="42"/>
      <c r="Q4" s="43"/>
      <c r="S4" s="65"/>
      <c r="T4" s="43"/>
      <c r="V4" s="66"/>
    </row>
    <row r="5" spans="1:23">
      <c r="A5" s="64">
        <v>800</v>
      </c>
      <c r="B5" s="41">
        <v>43</v>
      </c>
      <c r="C5" s="2"/>
      <c r="D5" s="64"/>
      <c r="E5" s="41"/>
      <c r="F5" s="2"/>
      <c r="G5" s="67"/>
      <c r="H5" s="46"/>
      <c r="J5" s="66"/>
      <c r="K5" s="43"/>
      <c r="M5" s="65"/>
      <c r="N5" s="43"/>
      <c r="P5" s="42"/>
      <c r="Q5" s="43"/>
      <c r="S5" s="65"/>
      <c r="T5" s="43"/>
      <c r="V5" s="42"/>
      <c r="W5" s="43"/>
    </row>
    <row r="6" spans="1:23">
      <c r="A6" s="64">
        <v>1500</v>
      </c>
      <c r="B6" s="41">
        <v>44</v>
      </c>
      <c r="C6" s="2"/>
      <c r="D6" s="64"/>
      <c r="E6" s="41"/>
      <c r="F6" s="2"/>
      <c r="J6" s="66"/>
      <c r="K6" s="43"/>
      <c r="M6" s="65"/>
      <c r="N6" s="43"/>
      <c r="P6" s="42"/>
      <c r="Q6" s="43"/>
      <c r="S6" s="65"/>
      <c r="T6" s="43"/>
      <c r="V6" s="65"/>
      <c r="W6" s="43"/>
    </row>
    <row r="7" spans="1:23">
      <c r="A7" s="64">
        <v>3000</v>
      </c>
      <c r="B7" s="41">
        <v>45</v>
      </c>
      <c r="C7" s="2"/>
      <c r="D7" s="64"/>
      <c r="E7" s="41"/>
      <c r="F7" s="2"/>
      <c r="G7" s="72"/>
      <c r="H7" s="2"/>
      <c r="J7" s="66"/>
      <c r="K7" s="43"/>
      <c r="M7" s="66"/>
      <c r="N7" s="43"/>
      <c r="P7" s="42"/>
      <c r="Q7" s="43"/>
      <c r="S7" s="65"/>
      <c r="T7" s="43"/>
      <c r="V7" s="42"/>
      <c r="W7" s="43"/>
    </row>
    <row r="8" spans="1:23">
      <c r="A8" s="64">
        <v>5000</v>
      </c>
      <c r="B8" s="41">
        <v>46</v>
      </c>
      <c r="C8" s="2"/>
      <c r="D8" s="64"/>
      <c r="E8" s="41"/>
      <c r="F8" s="2"/>
      <c r="G8" s="72"/>
      <c r="H8" s="2"/>
      <c r="J8" s="66"/>
      <c r="K8" s="43"/>
      <c r="M8" s="66"/>
      <c r="N8" s="43"/>
      <c r="P8" s="42"/>
      <c r="Q8" s="43"/>
      <c r="S8" s="66"/>
      <c r="T8" s="43"/>
      <c r="V8" s="42"/>
      <c r="W8" s="43"/>
    </row>
    <row r="9" spans="1:23">
      <c r="A9" s="64">
        <v>10000</v>
      </c>
      <c r="B9" s="41">
        <v>47</v>
      </c>
      <c r="C9" s="2"/>
      <c r="D9" s="66"/>
      <c r="E9" s="41"/>
      <c r="F9" s="2"/>
      <c r="G9" s="72"/>
      <c r="H9" s="2"/>
      <c r="J9" s="66"/>
      <c r="K9" s="43"/>
      <c r="M9" s="66"/>
      <c r="N9" s="43"/>
      <c r="P9" s="42"/>
      <c r="Q9" s="43"/>
      <c r="S9" s="66"/>
      <c r="T9" s="43"/>
      <c r="V9" s="42"/>
      <c r="W9" s="43"/>
    </row>
    <row r="10" spans="1:23">
      <c r="A10" s="66" t="s">
        <v>203</v>
      </c>
      <c r="B10" s="41">
        <v>48</v>
      </c>
      <c r="C10" s="2"/>
      <c r="D10" s="65"/>
      <c r="E10" s="41"/>
      <c r="F10" s="2"/>
      <c r="G10" s="72"/>
      <c r="H10" s="2"/>
      <c r="J10" s="64"/>
      <c r="K10" s="43"/>
      <c r="M10" s="68"/>
      <c r="N10" s="46"/>
      <c r="P10" s="42"/>
      <c r="Q10" s="43"/>
      <c r="S10" s="66"/>
      <c r="T10" s="43"/>
      <c r="V10" s="42"/>
      <c r="W10" s="43"/>
    </row>
    <row r="11" spans="1:23">
      <c r="A11" s="66" t="s">
        <v>197</v>
      </c>
      <c r="B11" s="41">
        <v>49</v>
      </c>
      <c r="C11" s="2"/>
      <c r="D11" s="66"/>
      <c r="E11" s="41"/>
      <c r="F11" s="2"/>
      <c r="G11" s="72"/>
      <c r="H11" s="2"/>
      <c r="J11" s="64"/>
      <c r="K11" s="43"/>
      <c r="M11" s="69"/>
      <c r="P11" s="42"/>
      <c r="Q11" s="43"/>
      <c r="S11" s="66"/>
      <c r="T11" s="43"/>
      <c r="V11" s="42"/>
      <c r="W11" s="43"/>
    </row>
    <row r="12" spans="1:23">
      <c r="A12" s="66" t="s">
        <v>677</v>
      </c>
      <c r="B12" s="41">
        <v>50</v>
      </c>
      <c r="C12" s="2"/>
      <c r="D12" s="66"/>
      <c r="E12" s="41"/>
      <c r="F12" s="2"/>
      <c r="G12" s="72"/>
      <c r="H12" s="2"/>
      <c r="J12" s="66"/>
      <c r="K12" s="43"/>
      <c r="P12" s="42"/>
      <c r="Q12" s="43"/>
      <c r="S12" s="68"/>
      <c r="T12" s="46"/>
      <c r="V12" s="42"/>
      <c r="W12" s="43"/>
    </row>
    <row r="13" spans="1:23">
      <c r="A13" s="66" t="s">
        <v>199</v>
      </c>
      <c r="B13" s="41">
        <v>51</v>
      </c>
      <c r="C13" s="2"/>
      <c r="D13" s="66"/>
      <c r="E13" s="41"/>
      <c r="F13" s="2"/>
      <c r="G13" s="72"/>
      <c r="H13" s="2"/>
      <c r="J13" s="66"/>
      <c r="K13" s="43"/>
      <c r="P13" s="42"/>
      <c r="Q13" s="43"/>
      <c r="V13" s="42"/>
      <c r="W13" s="43"/>
    </row>
    <row r="14" spans="1:23">
      <c r="A14" s="66" t="s">
        <v>200</v>
      </c>
      <c r="B14" s="41">
        <v>52</v>
      </c>
      <c r="C14" s="2"/>
      <c r="D14" s="66"/>
      <c r="E14" s="41"/>
      <c r="F14" s="2"/>
      <c r="G14" s="72"/>
      <c r="H14" s="2"/>
      <c r="J14" s="66"/>
      <c r="K14" s="43"/>
      <c r="P14" s="42"/>
      <c r="Q14" s="43"/>
      <c r="V14" s="45"/>
      <c r="W14" s="46"/>
    </row>
    <row r="15" spans="1:23">
      <c r="A15" s="66" t="s">
        <v>201</v>
      </c>
      <c r="B15" s="41">
        <v>53</v>
      </c>
      <c r="C15" s="2"/>
      <c r="D15" s="68"/>
      <c r="E15" s="49"/>
      <c r="F15" s="2"/>
      <c r="G15" s="72"/>
      <c r="H15" s="2"/>
      <c r="J15" s="66"/>
      <c r="K15" s="43"/>
      <c r="P15" s="44"/>
      <c r="Q15" s="43"/>
    </row>
    <row r="16" spans="1:23">
      <c r="A16" s="66" t="s">
        <v>202</v>
      </c>
      <c r="B16" s="41">
        <v>54</v>
      </c>
      <c r="C16" s="2"/>
      <c r="D16" s="69"/>
      <c r="E16" s="2"/>
      <c r="F16" s="2"/>
      <c r="G16" s="72"/>
      <c r="H16" s="2"/>
      <c r="J16" s="68"/>
      <c r="K16" s="46"/>
      <c r="P16" s="44"/>
      <c r="Q16" s="43"/>
      <c r="V16" s="48"/>
      <c r="W16" s="38"/>
    </row>
    <row r="17" spans="1:23">
      <c r="A17" s="66" t="s">
        <v>35</v>
      </c>
      <c r="B17" s="41">
        <v>55</v>
      </c>
      <c r="C17" s="2"/>
      <c r="D17" s="69"/>
      <c r="E17" s="2"/>
      <c r="F17" s="2"/>
      <c r="G17" s="72"/>
      <c r="H17" s="2"/>
      <c r="P17" s="44"/>
      <c r="Q17" s="43"/>
      <c r="V17" s="45"/>
      <c r="W17" s="46"/>
    </row>
    <row r="18" spans="1:23">
      <c r="A18" s="66" t="s">
        <v>137</v>
      </c>
      <c r="B18" s="41">
        <v>56</v>
      </c>
      <c r="C18" s="2"/>
      <c r="D18" s="69"/>
      <c r="E18" s="2"/>
      <c r="F18" s="2"/>
      <c r="G18" s="72"/>
      <c r="H18" s="2"/>
      <c r="P18" s="44"/>
      <c r="Q18" s="43"/>
    </row>
    <row r="19" spans="1:23">
      <c r="A19" s="66" t="s">
        <v>136</v>
      </c>
      <c r="B19" s="41">
        <v>57</v>
      </c>
      <c r="C19" s="2"/>
      <c r="D19" s="69"/>
      <c r="E19" s="2"/>
      <c r="F19" s="2"/>
      <c r="G19" s="72"/>
      <c r="H19" s="2"/>
      <c r="P19" s="44"/>
      <c r="Q19" s="43"/>
    </row>
    <row r="20" spans="1:23">
      <c r="A20" s="66" t="s">
        <v>141</v>
      </c>
      <c r="B20" s="41">
        <v>58</v>
      </c>
      <c r="C20" s="2"/>
      <c r="D20" s="69"/>
      <c r="E20" s="2"/>
      <c r="F20" s="2"/>
      <c r="G20" s="72"/>
      <c r="H20" s="2"/>
      <c r="P20" s="44"/>
      <c r="Q20" s="43"/>
    </row>
    <row r="21" spans="1:23">
      <c r="A21" s="66" t="s">
        <v>142</v>
      </c>
      <c r="B21" s="41">
        <v>59</v>
      </c>
      <c r="C21" s="2"/>
      <c r="D21" s="69"/>
      <c r="E21" s="2"/>
      <c r="F21" s="2"/>
      <c r="G21" s="72"/>
      <c r="H21" s="2"/>
      <c r="P21" s="44"/>
      <c r="Q21" s="43"/>
    </row>
    <row r="22" spans="1:23">
      <c r="A22" s="66" t="s">
        <v>138</v>
      </c>
      <c r="B22" s="41">
        <v>60</v>
      </c>
      <c r="C22" s="2"/>
      <c r="D22" s="69"/>
      <c r="E22" s="2"/>
      <c r="F22" s="2"/>
      <c r="G22" s="72"/>
      <c r="H22" s="2"/>
      <c r="P22" s="42"/>
      <c r="Q22" s="43"/>
      <c r="V22" s="37" t="s">
        <v>167</v>
      </c>
      <c r="W22" s="38"/>
    </row>
    <row r="23" spans="1:23">
      <c r="A23" s="66" t="s">
        <v>140</v>
      </c>
      <c r="B23" s="41">
        <v>61</v>
      </c>
      <c r="C23" s="2"/>
      <c r="D23" s="69"/>
      <c r="E23" s="2"/>
      <c r="F23" s="1"/>
      <c r="G23" s="69"/>
      <c r="H23" s="1"/>
      <c r="P23" s="42"/>
      <c r="Q23" s="43"/>
      <c r="V23" s="44" t="s">
        <v>393</v>
      </c>
      <c r="W23" s="43">
        <v>2</v>
      </c>
    </row>
    <row r="24" spans="1:23">
      <c r="A24" s="66" t="s">
        <v>139</v>
      </c>
      <c r="B24" s="41">
        <v>62</v>
      </c>
      <c r="C24" s="2"/>
      <c r="D24" s="66"/>
      <c r="E24" s="1"/>
      <c r="F24" s="1"/>
      <c r="G24" s="69"/>
      <c r="H24" s="1"/>
      <c r="J24" s="69"/>
      <c r="P24" s="44"/>
      <c r="Q24" s="43"/>
      <c r="V24" s="44" t="s">
        <v>392</v>
      </c>
      <c r="W24" s="43">
        <v>4</v>
      </c>
    </row>
    <row r="25" spans="1:23">
      <c r="A25" s="66" t="s">
        <v>144</v>
      </c>
      <c r="B25" s="41">
        <v>63</v>
      </c>
      <c r="C25" s="2"/>
      <c r="D25" s="69"/>
      <c r="E25" s="1"/>
      <c r="F25" s="1"/>
      <c r="G25" s="69"/>
      <c r="H25" s="1"/>
      <c r="J25" s="69"/>
      <c r="P25" s="44"/>
      <c r="Q25" s="43"/>
      <c r="V25" s="47" t="s">
        <v>394</v>
      </c>
      <c r="W25" s="46">
        <v>6</v>
      </c>
    </row>
    <row r="26" spans="1:23">
      <c r="A26" s="66" t="s">
        <v>180</v>
      </c>
      <c r="B26" s="41">
        <v>64</v>
      </c>
      <c r="D26" s="69"/>
      <c r="E26" s="1"/>
      <c r="F26" s="1"/>
      <c r="G26" s="69"/>
      <c r="H26" s="1"/>
      <c r="P26" s="47"/>
      <c r="Q26" s="46"/>
    </row>
    <row r="27" spans="1:23">
      <c r="A27" s="68" t="s">
        <v>268</v>
      </c>
      <c r="B27" s="49">
        <v>65</v>
      </c>
      <c r="E27" s="1"/>
      <c r="F27" s="1"/>
      <c r="G27" s="69"/>
      <c r="H27" s="1"/>
    </row>
    <row r="28" spans="1:23">
      <c r="A28" s="66" t="s">
        <v>489</v>
      </c>
      <c r="B28" s="49">
        <v>66</v>
      </c>
      <c r="E28" s="1"/>
      <c r="F28" s="1"/>
      <c r="G28" s="69"/>
      <c r="H28" s="1"/>
    </row>
    <row r="29" spans="1:23">
      <c r="E29" s="1"/>
      <c r="F29" s="1"/>
      <c r="G29" s="69"/>
      <c r="H29" s="1"/>
    </row>
    <row r="30" spans="1:23">
      <c r="E30" s="1"/>
      <c r="F30" s="1"/>
      <c r="G30" s="69"/>
      <c r="H30" s="1"/>
    </row>
    <row r="31" spans="1:23">
      <c r="D31" s="63" t="s">
        <v>159</v>
      </c>
      <c r="E31" s="50"/>
    </row>
    <row r="32" spans="1:23">
      <c r="A32" s="62" t="s">
        <v>158</v>
      </c>
      <c r="B32" s="39"/>
      <c r="D32" s="65"/>
      <c r="E32" s="43"/>
    </row>
    <row r="33" spans="1:5">
      <c r="A33" s="68" t="s">
        <v>168</v>
      </c>
      <c r="B33" s="49">
        <v>10</v>
      </c>
      <c r="D33" s="66" t="s">
        <v>168</v>
      </c>
      <c r="E33" s="43">
        <v>10</v>
      </c>
    </row>
    <row r="34" spans="1:5">
      <c r="B34" s="2"/>
      <c r="D34" s="84"/>
      <c r="E34" s="85"/>
    </row>
    <row r="35" spans="1:5">
      <c r="A35" s="62" t="s">
        <v>206</v>
      </c>
      <c r="B35" s="38"/>
      <c r="D35" s="62" t="s">
        <v>195</v>
      </c>
      <c r="E35" s="38"/>
    </row>
    <row r="36" spans="1:5">
      <c r="A36" s="64">
        <v>100</v>
      </c>
      <c r="B36" s="41">
        <v>40</v>
      </c>
      <c r="D36" s="64">
        <v>100</v>
      </c>
      <c r="E36" s="41">
        <v>40</v>
      </c>
    </row>
    <row r="37" spans="1:5">
      <c r="A37" s="64">
        <v>200</v>
      </c>
      <c r="B37" s="41">
        <v>41</v>
      </c>
      <c r="D37" s="64">
        <v>200</v>
      </c>
      <c r="E37" s="41">
        <v>41</v>
      </c>
    </row>
    <row r="38" spans="1:5">
      <c r="A38" s="64">
        <v>400</v>
      </c>
      <c r="B38" s="41">
        <v>42</v>
      </c>
      <c r="D38" s="64">
        <v>400</v>
      </c>
      <c r="E38" s="41">
        <v>42</v>
      </c>
    </row>
    <row r="39" spans="1:5">
      <c r="A39" s="64">
        <v>800</v>
      </c>
      <c r="B39" s="41">
        <v>43</v>
      </c>
      <c r="D39" s="64">
        <v>800</v>
      </c>
      <c r="E39" s="41">
        <v>43</v>
      </c>
    </row>
    <row r="40" spans="1:5">
      <c r="A40" s="64">
        <v>1500</v>
      </c>
      <c r="B40" s="41">
        <v>44</v>
      </c>
      <c r="D40" s="64">
        <v>1500</v>
      </c>
      <c r="E40" s="41">
        <v>44</v>
      </c>
    </row>
    <row r="41" spans="1:5">
      <c r="A41" s="64">
        <v>3000</v>
      </c>
      <c r="B41" s="41">
        <v>45</v>
      </c>
      <c r="D41" s="64">
        <v>3000</v>
      </c>
      <c r="E41" s="41">
        <v>45</v>
      </c>
    </row>
    <row r="42" spans="1:5">
      <c r="A42" s="64"/>
      <c r="B42" s="41">
        <v>46</v>
      </c>
      <c r="D42" s="64"/>
      <c r="E42" s="41">
        <v>46</v>
      </c>
    </row>
    <row r="43" spans="1:5">
      <c r="A43" s="64"/>
      <c r="B43" s="41">
        <v>47</v>
      </c>
      <c r="D43" s="64"/>
      <c r="E43" s="41">
        <v>47</v>
      </c>
    </row>
    <row r="44" spans="1:5">
      <c r="A44" s="66" t="s">
        <v>165</v>
      </c>
      <c r="B44" s="41">
        <v>48</v>
      </c>
      <c r="D44" s="66" t="s">
        <v>186</v>
      </c>
      <c r="E44" s="41">
        <v>48</v>
      </c>
    </row>
    <row r="45" spans="1:5">
      <c r="A45" s="66" t="s">
        <v>155</v>
      </c>
      <c r="B45" s="41">
        <v>49</v>
      </c>
      <c r="D45" s="66" t="s">
        <v>187</v>
      </c>
      <c r="E45" s="41">
        <v>49</v>
      </c>
    </row>
    <row r="46" spans="1:5">
      <c r="A46" s="66"/>
      <c r="B46" s="41">
        <v>50</v>
      </c>
      <c r="D46" s="66"/>
      <c r="E46" s="41">
        <v>50</v>
      </c>
    </row>
    <row r="47" spans="1:5">
      <c r="A47" s="66" t="s">
        <v>204</v>
      </c>
      <c r="B47" s="41">
        <v>51</v>
      </c>
      <c r="D47" s="66" t="s">
        <v>188</v>
      </c>
      <c r="E47" s="41">
        <v>51</v>
      </c>
    </row>
    <row r="48" spans="1:5">
      <c r="A48" s="66"/>
      <c r="B48" s="41">
        <v>52</v>
      </c>
      <c r="D48" s="66"/>
      <c r="E48" s="41">
        <v>52</v>
      </c>
    </row>
    <row r="49" spans="1:5">
      <c r="A49" s="66" t="s">
        <v>156</v>
      </c>
      <c r="B49" s="41">
        <v>53</v>
      </c>
      <c r="D49" s="66" t="s">
        <v>189</v>
      </c>
      <c r="E49" s="41">
        <v>53</v>
      </c>
    </row>
    <row r="50" spans="1:5">
      <c r="A50" s="66" t="s">
        <v>166</v>
      </c>
      <c r="B50" s="41">
        <v>54</v>
      </c>
      <c r="D50" s="66" t="s">
        <v>166</v>
      </c>
      <c r="E50" s="41">
        <v>54</v>
      </c>
    </row>
    <row r="51" spans="1:5">
      <c r="A51" s="66" t="s">
        <v>35</v>
      </c>
      <c r="B51" s="41">
        <v>55</v>
      </c>
      <c r="D51" s="66" t="s">
        <v>35</v>
      </c>
      <c r="E51" s="41">
        <v>55</v>
      </c>
    </row>
    <row r="52" spans="1:5">
      <c r="A52" s="66"/>
      <c r="B52" s="41">
        <v>56</v>
      </c>
      <c r="D52" s="66" t="s">
        <v>137</v>
      </c>
      <c r="E52" s="41">
        <v>56</v>
      </c>
    </row>
    <row r="53" spans="1:5">
      <c r="A53" s="66" t="s">
        <v>136</v>
      </c>
      <c r="B53" s="41">
        <v>57</v>
      </c>
      <c r="D53" s="66" t="s">
        <v>136</v>
      </c>
      <c r="E53" s="41">
        <v>57</v>
      </c>
    </row>
    <row r="54" spans="1:5">
      <c r="A54" s="66" t="s">
        <v>141</v>
      </c>
      <c r="B54" s="41">
        <v>58</v>
      </c>
      <c r="D54" s="66" t="s">
        <v>141</v>
      </c>
      <c r="E54" s="41">
        <v>58</v>
      </c>
    </row>
    <row r="55" spans="1:5">
      <c r="A55" s="66" t="s">
        <v>142</v>
      </c>
      <c r="B55" s="41">
        <v>59</v>
      </c>
      <c r="D55" s="66" t="s">
        <v>142</v>
      </c>
      <c r="E55" s="41">
        <v>59</v>
      </c>
    </row>
    <row r="56" spans="1:5">
      <c r="A56" s="66" t="s">
        <v>138</v>
      </c>
      <c r="B56" s="41">
        <v>60</v>
      </c>
      <c r="D56" s="66" t="s">
        <v>138</v>
      </c>
      <c r="E56" s="41">
        <v>60</v>
      </c>
    </row>
    <row r="57" spans="1:5">
      <c r="A57" s="66" t="s">
        <v>140</v>
      </c>
      <c r="B57" s="41">
        <v>61</v>
      </c>
      <c r="D57" s="66" t="s">
        <v>140</v>
      </c>
      <c r="E57" s="41">
        <v>61</v>
      </c>
    </row>
    <row r="58" spans="1:5">
      <c r="A58" s="66" t="s">
        <v>139</v>
      </c>
      <c r="B58" s="41">
        <v>62</v>
      </c>
      <c r="D58" s="66" t="s">
        <v>139</v>
      </c>
      <c r="E58" s="41">
        <v>62</v>
      </c>
    </row>
    <row r="59" spans="1:5">
      <c r="A59" s="66" t="s">
        <v>144</v>
      </c>
      <c r="B59" s="41">
        <v>63</v>
      </c>
      <c r="D59" s="66"/>
      <c r="E59" s="41">
        <v>63</v>
      </c>
    </row>
    <row r="60" spans="1:5">
      <c r="A60" s="66"/>
      <c r="B60" s="41">
        <v>64</v>
      </c>
      <c r="D60" s="66"/>
      <c r="E60" s="41">
        <v>64</v>
      </c>
    </row>
    <row r="61" spans="1:5">
      <c r="A61" s="68"/>
      <c r="B61" s="41">
        <v>65</v>
      </c>
      <c r="D61" s="68"/>
      <c r="E61" s="41">
        <v>65</v>
      </c>
    </row>
    <row r="77" spans="1:2">
      <c r="A77" s="94" t="s">
        <v>207</v>
      </c>
      <c r="B77" s="96"/>
    </row>
    <row r="78" spans="1:2">
      <c r="A78" s="94" t="s">
        <v>213</v>
      </c>
      <c r="B78" s="97">
        <v>54</v>
      </c>
    </row>
    <row r="79" spans="1:2">
      <c r="A79" s="94" t="s">
        <v>214</v>
      </c>
      <c r="B79" s="97">
        <v>54</v>
      </c>
    </row>
    <row r="80" spans="1:2">
      <c r="A80" s="94" t="s">
        <v>215</v>
      </c>
      <c r="B80" s="97">
        <v>54</v>
      </c>
    </row>
    <row r="81" spans="1:2">
      <c r="A81" s="94" t="s">
        <v>342</v>
      </c>
      <c r="B81" s="97">
        <v>54</v>
      </c>
    </row>
    <row r="82" spans="1:2">
      <c r="A82" s="94" t="s">
        <v>213</v>
      </c>
      <c r="B82" s="97">
        <v>53</v>
      </c>
    </row>
    <row r="83" spans="1:2">
      <c r="A83" s="94" t="s">
        <v>214</v>
      </c>
      <c r="B83" s="97">
        <v>53</v>
      </c>
    </row>
    <row r="84" spans="1:2">
      <c r="A84" s="94" t="s">
        <v>215</v>
      </c>
      <c r="B84" s="97">
        <v>53</v>
      </c>
    </row>
    <row r="85" spans="1:2">
      <c r="A85" s="94" t="s">
        <v>342</v>
      </c>
      <c r="B85" s="97">
        <v>53</v>
      </c>
    </row>
  </sheetData>
  <phoneticPr fontId="5"/>
  <pageMargins left="0.78700000000000003" right="0.78700000000000003" top="0.98399999999999999" bottom="0.98399999999999999" header="0.51200000000000001" footer="0.51200000000000001"/>
  <pageSetup paperSize="12" scale="5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codeName="Sheet9"/>
  <dimension ref="A1:D111"/>
  <sheetViews>
    <sheetView workbookViewId="0">
      <selection activeCell="I23" sqref="I23"/>
    </sheetView>
  </sheetViews>
  <sheetFormatPr defaultRowHeight="13.5"/>
  <cols>
    <col min="1" max="1" width="3.75" customWidth="1"/>
    <col min="2" max="2" width="5.125" customWidth="1"/>
    <col min="3" max="3" width="3" customWidth="1"/>
    <col min="4" max="4" width="5.5" customWidth="1"/>
    <col min="5" max="5" width="21.75" customWidth="1"/>
  </cols>
  <sheetData>
    <row r="1" spans="1:4">
      <c r="A1" s="107">
        <v>1</v>
      </c>
      <c r="B1" s="108" t="s">
        <v>225</v>
      </c>
      <c r="C1" s="107" t="s">
        <v>223</v>
      </c>
      <c r="D1" s="107" t="s">
        <v>223</v>
      </c>
    </row>
    <row r="2" spans="1:4">
      <c r="A2" s="107"/>
      <c r="B2" s="107"/>
      <c r="C2" s="107"/>
      <c r="D2" s="107"/>
    </row>
    <row r="3" spans="1:4">
      <c r="A3" s="107"/>
      <c r="B3" s="107"/>
      <c r="C3" s="107"/>
      <c r="D3" s="107"/>
    </row>
    <row r="4" spans="1:4">
      <c r="A4" s="107"/>
      <c r="B4" s="107"/>
      <c r="C4" s="107"/>
      <c r="D4" s="107"/>
    </row>
    <row r="5" spans="1:4">
      <c r="A5" s="107"/>
      <c r="B5" s="107"/>
      <c r="C5" s="107"/>
      <c r="D5" s="107"/>
    </row>
    <row r="6" spans="1:4">
      <c r="A6" s="107"/>
      <c r="B6" s="107"/>
      <c r="C6" s="107"/>
      <c r="D6" s="107"/>
    </row>
    <row r="7" spans="1:4">
      <c r="A7" s="107"/>
      <c r="B7" s="107"/>
      <c r="C7" s="107"/>
      <c r="D7" s="107"/>
    </row>
    <row r="8" spans="1:4">
      <c r="A8" s="107"/>
      <c r="B8" s="107"/>
      <c r="C8" s="107"/>
      <c r="D8" s="107"/>
    </row>
    <row r="9" spans="1:4">
      <c r="A9" s="107"/>
      <c r="B9" s="107"/>
      <c r="C9" s="107"/>
      <c r="D9" s="107"/>
    </row>
    <row r="10" spans="1:4">
      <c r="A10" s="107"/>
      <c r="B10" s="107"/>
      <c r="C10" s="107"/>
      <c r="D10" s="107"/>
    </row>
    <row r="11" spans="1:4">
      <c r="A11" s="107"/>
      <c r="B11" s="107"/>
      <c r="C11" s="107"/>
      <c r="D11" s="107"/>
    </row>
    <row r="12" spans="1:4">
      <c r="A12" s="107"/>
      <c r="B12" s="107"/>
      <c r="C12" s="107"/>
      <c r="D12" s="107"/>
    </row>
    <row r="13" spans="1:4">
      <c r="A13" s="107"/>
      <c r="B13" s="107"/>
      <c r="C13" s="107"/>
      <c r="D13" s="107"/>
    </row>
    <row r="14" spans="1:4">
      <c r="A14" s="107"/>
      <c r="B14" s="107"/>
      <c r="C14" s="107"/>
      <c r="D14" s="107"/>
    </row>
    <row r="15" spans="1:4">
      <c r="A15" s="107"/>
      <c r="B15" s="107"/>
      <c r="C15" s="107"/>
      <c r="D15" s="107"/>
    </row>
    <row r="16" spans="1:4">
      <c r="A16" s="107"/>
      <c r="B16" s="107"/>
      <c r="C16" s="107"/>
      <c r="D16" s="107"/>
    </row>
    <row r="17" spans="1:4">
      <c r="A17" s="107"/>
      <c r="B17" s="107"/>
      <c r="C17" s="107"/>
      <c r="D17" s="107"/>
    </row>
    <row r="18" spans="1:4">
      <c r="A18" s="107"/>
      <c r="B18" s="107"/>
      <c r="C18" s="107"/>
      <c r="D18" s="107"/>
    </row>
    <row r="19" spans="1:4">
      <c r="A19" s="107"/>
      <c r="B19" s="107"/>
      <c r="C19" s="107"/>
      <c r="D19" s="107"/>
    </row>
    <row r="20" spans="1:4">
      <c r="A20" s="107"/>
      <c r="B20" s="107"/>
      <c r="C20" s="107"/>
      <c r="D20" s="107"/>
    </row>
    <row r="21" spans="1:4">
      <c r="A21" s="107"/>
      <c r="B21" s="107"/>
      <c r="C21" s="107"/>
      <c r="D21" s="107"/>
    </row>
    <row r="22" spans="1:4">
      <c r="A22" s="107"/>
      <c r="B22" s="107"/>
      <c r="C22" s="107"/>
      <c r="D22" s="107"/>
    </row>
    <row r="23" spans="1:4">
      <c r="A23" s="107"/>
      <c r="B23" s="107"/>
      <c r="C23" s="107"/>
      <c r="D23" s="107"/>
    </row>
    <row r="24" spans="1:4">
      <c r="A24" s="107"/>
      <c r="B24" s="107"/>
      <c r="C24" s="107"/>
      <c r="D24" s="107"/>
    </row>
    <row r="25" spans="1:4">
      <c r="A25" s="107"/>
      <c r="B25" s="107"/>
      <c r="C25" s="107"/>
      <c r="D25" s="107"/>
    </row>
    <row r="26" spans="1:4">
      <c r="A26" s="107"/>
      <c r="B26" s="107"/>
      <c r="C26" s="107"/>
      <c r="D26" s="107"/>
    </row>
    <row r="27" spans="1:4">
      <c r="A27" s="107"/>
      <c r="B27" s="107"/>
      <c r="C27" s="107"/>
      <c r="D27" s="107"/>
    </row>
    <row r="28" spans="1:4">
      <c r="A28" s="107"/>
      <c r="B28" s="107"/>
      <c r="C28" s="107"/>
      <c r="D28" s="107"/>
    </row>
    <row r="29" spans="1:4">
      <c r="A29" s="107"/>
      <c r="B29" s="107"/>
      <c r="C29" s="107"/>
      <c r="D29" s="107"/>
    </row>
    <row r="30" spans="1:4">
      <c r="A30" s="107"/>
      <c r="B30" s="107"/>
      <c r="C30" s="107"/>
      <c r="D30" s="107"/>
    </row>
    <row r="31" spans="1:4">
      <c r="A31" s="107"/>
      <c r="B31" s="107"/>
      <c r="C31" s="107"/>
      <c r="D31" s="107"/>
    </row>
    <row r="32" spans="1:4">
      <c r="A32" s="107"/>
      <c r="B32" s="107"/>
      <c r="C32" s="107"/>
      <c r="D32" s="107"/>
    </row>
    <row r="33" spans="1:4">
      <c r="A33" s="107"/>
      <c r="B33" s="107"/>
      <c r="C33" s="107"/>
      <c r="D33" s="107"/>
    </row>
    <row r="34" spans="1:4">
      <c r="A34" s="107"/>
      <c r="B34" s="107"/>
      <c r="C34" s="107"/>
      <c r="D34" s="107"/>
    </row>
    <row r="35" spans="1:4">
      <c r="A35" s="107"/>
      <c r="B35" s="107"/>
      <c r="C35" s="107"/>
      <c r="D35" s="107"/>
    </row>
    <row r="36" spans="1:4">
      <c r="A36" s="107"/>
      <c r="B36" s="107"/>
      <c r="C36" s="107"/>
      <c r="D36" s="107"/>
    </row>
    <row r="37" spans="1:4">
      <c r="A37" s="107"/>
      <c r="B37" s="107"/>
      <c r="C37" s="107"/>
      <c r="D37" s="107"/>
    </row>
    <row r="38" spans="1:4">
      <c r="A38" s="107"/>
      <c r="B38" s="107"/>
      <c r="C38" s="107"/>
      <c r="D38" s="107"/>
    </row>
    <row r="39" spans="1:4">
      <c r="A39" s="107"/>
      <c r="B39" s="107"/>
      <c r="C39" s="107"/>
      <c r="D39" s="107"/>
    </row>
    <row r="40" spans="1:4">
      <c r="A40" s="107"/>
      <c r="B40" s="107"/>
      <c r="C40" s="107"/>
      <c r="D40" s="107"/>
    </row>
    <row r="41" spans="1:4">
      <c r="A41" s="107"/>
      <c r="B41" s="107"/>
      <c r="C41" s="107"/>
      <c r="D41" s="107"/>
    </row>
    <row r="42" spans="1:4">
      <c r="A42" s="107"/>
      <c r="B42" s="107"/>
      <c r="C42" s="107"/>
      <c r="D42" s="107"/>
    </row>
    <row r="43" spans="1:4">
      <c r="A43" s="107"/>
      <c r="B43" s="107"/>
      <c r="C43" s="107"/>
      <c r="D43" s="107"/>
    </row>
    <row r="44" spans="1:4">
      <c r="A44" s="107"/>
      <c r="B44" s="107"/>
      <c r="C44" s="107"/>
      <c r="D44" s="107"/>
    </row>
    <row r="45" spans="1:4">
      <c r="A45" s="107"/>
      <c r="B45" s="107"/>
      <c r="C45" s="107"/>
      <c r="D45" s="107"/>
    </row>
    <row r="46" spans="1:4">
      <c r="A46" s="107"/>
      <c r="B46" s="107"/>
      <c r="C46" s="107"/>
      <c r="D46" s="107"/>
    </row>
    <row r="47" spans="1:4">
      <c r="A47" s="107"/>
      <c r="B47" s="107"/>
      <c r="C47" s="107"/>
      <c r="D47" s="107"/>
    </row>
    <row r="48" spans="1:4">
      <c r="A48" s="107"/>
      <c r="B48" s="107"/>
      <c r="C48" s="107"/>
      <c r="D48" s="107"/>
    </row>
    <row r="49" spans="1:4">
      <c r="A49" s="107"/>
      <c r="B49" s="107"/>
      <c r="C49" s="107"/>
      <c r="D49" s="107"/>
    </row>
    <row r="50" spans="1:4">
      <c r="A50" s="107"/>
      <c r="B50" s="107"/>
      <c r="C50" s="107"/>
      <c r="D50" s="107"/>
    </row>
    <row r="51" spans="1:4">
      <c r="A51" s="107"/>
      <c r="B51" s="107"/>
      <c r="C51" s="107"/>
      <c r="D51" s="107"/>
    </row>
    <row r="52" spans="1:4">
      <c r="A52" s="107"/>
      <c r="B52" s="107"/>
      <c r="C52" s="107"/>
      <c r="D52" s="107"/>
    </row>
    <row r="53" spans="1:4">
      <c r="A53" s="107"/>
      <c r="B53" s="107"/>
      <c r="C53" s="107"/>
      <c r="D53" s="107"/>
    </row>
    <row r="54" spans="1:4">
      <c r="A54" s="107"/>
      <c r="B54" s="107"/>
      <c r="C54" s="107"/>
      <c r="D54" s="107"/>
    </row>
    <row r="55" spans="1:4">
      <c r="A55" s="107"/>
      <c r="B55" s="107"/>
      <c r="C55" s="107"/>
      <c r="D55" s="107"/>
    </row>
    <row r="56" spans="1:4">
      <c r="A56" s="107"/>
      <c r="B56" s="107"/>
      <c r="C56" s="107"/>
      <c r="D56" s="107"/>
    </row>
    <row r="57" spans="1:4">
      <c r="A57" s="107"/>
      <c r="B57" s="107"/>
      <c r="C57" s="107"/>
      <c r="D57" s="107"/>
    </row>
    <row r="58" spans="1:4">
      <c r="A58" s="107"/>
      <c r="B58" s="107"/>
      <c r="C58" s="107"/>
      <c r="D58" s="107"/>
    </row>
    <row r="59" spans="1:4">
      <c r="A59" s="107"/>
      <c r="B59" s="107"/>
      <c r="C59" s="107"/>
      <c r="D59" s="107"/>
    </row>
    <row r="60" spans="1:4">
      <c r="A60" s="107"/>
      <c r="B60" s="107"/>
      <c r="C60" s="107"/>
      <c r="D60" s="107"/>
    </row>
    <row r="61" spans="1:4">
      <c r="A61" s="107"/>
      <c r="B61" s="107"/>
      <c r="C61" s="107"/>
      <c r="D61" s="107"/>
    </row>
    <row r="62" spans="1:4">
      <c r="A62" s="107"/>
      <c r="B62" s="107"/>
      <c r="C62" s="107"/>
      <c r="D62" s="107"/>
    </row>
    <row r="63" spans="1:4">
      <c r="A63" s="107"/>
      <c r="B63" s="107"/>
      <c r="C63" s="107"/>
      <c r="D63" s="107"/>
    </row>
    <row r="64" spans="1:4">
      <c r="A64" s="107"/>
      <c r="B64" s="107"/>
      <c r="C64" s="107"/>
      <c r="D64" s="107"/>
    </row>
    <row r="65" spans="1:4">
      <c r="A65" s="107"/>
      <c r="B65" s="107"/>
      <c r="C65" s="107"/>
      <c r="D65" s="107"/>
    </row>
    <row r="66" spans="1:4">
      <c r="A66" s="107"/>
      <c r="B66" s="107"/>
      <c r="C66" s="107"/>
      <c r="D66" s="107"/>
    </row>
    <row r="67" spans="1:4">
      <c r="A67" s="107"/>
      <c r="B67" s="107"/>
      <c r="C67" s="107"/>
      <c r="D67" s="107"/>
    </row>
    <row r="68" spans="1:4">
      <c r="A68" s="107"/>
      <c r="B68" s="107"/>
      <c r="C68" s="107"/>
      <c r="D68" s="107"/>
    </row>
    <row r="69" spans="1:4">
      <c r="A69" s="107"/>
      <c r="B69" s="107"/>
      <c r="C69" s="107"/>
      <c r="D69" s="107"/>
    </row>
    <row r="70" spans="1:4">
      <c r="A70" s="107"/>
      <c r="B70" s="107"/>
      <c r="C70" s="107"/>
      <c r="D70" s="107"/>
    </row>
    <row r="71" spans="1:4">
      <c r="A71" s="107"/>
      <c r="B71" s="107"/>
      <c r="C71" s="107"/>
      <c r="D71" s="107"/>
    </row>
    <row r="72" spans="1:4">
      <c r="A72" s="107"/>
      <c r="B72" s="107"/>
      <c r="C72" s="107"/>
      <c r="D72" s="107"/>
    </row>
    <row r="73" spans="1:4">
      <c r="A73" s="107"/>
      <c r="B73" s="107"/>
      <c r="C73" s="107"/>
      <c r="D73" s="107"/>
    </row>
    <row r="74" spans="1:4">
      <c r="A74" s="107"/>
      <c r="B74" s="107"/>
      <c r="C74" s="107"/>
      <c r="D74" s="107"/>
    </row>
    <row r="75" spans="1:4">
      <c r="A75" s="107"/>
      <c r="B75" s="107"/>
      <c r="C75" s="107"/>
      <c r="D75" s="107"/>
    </row>
    <row r="76" spans="1:4">
      <c r="A76" s="107"/>
      <c r="B76" s="107"/>
      <c r="C76" s="107"/>
      <c r="D76" s="107"/>
    </row>
    <row r="77" spans="1:4">
      <c r="A77" s="107"/>
      <c r="B77" s="107"/>
      <c r="C77" s="107"/>
      <c r="D77" s="107"/>
    </row>
    <row r="78" spans="1:4">
      <c r="A78" s="107"/>
      <c r="B78" s="107"/>
      <c r="C78" s="107"/>
      <c r="D78" s="107"/>
    </row>
    <row r="79" spans="1:4">
      <c r="A79" s="107"/>
      <c r="B79" s="107"/>
      <c r="C79" s="107"/>
      <c r="D79" s="107"/>
    </row>
    <row r="80" spans="1:4">
      <c r="A80" s="107"/>
      <c r="B80" s="107"/>
      <c r="C80" s="107"/>
      <c r="D80" s="107"/>
    </row>
    <row r="81" spans="1:4">
      <c r="A81" s="107"/>
      <c r="B81" s="107"/>
      <c r="C81" s="107"/>
      <c r="D81" s="107"/>
    </row>
    <row r="82" spans="1:4">
      <c r="A82" s="107"/>
      <c r="B82" s="107"/>
      <c r="C82" s="107"/>
      <c r="D82" s="107"/>
    </row>
    <row r="83" spans="1:4">
      <c r="A83" s="107"/>
      <c r="B83" s="107"/>
      <c r="C83" s="107"/>
      <c r="D83" s="107"/>
    </row>
    <row r="84" spans="1:4">
      <c r="A84" s="107"/>
      <c r="B84" s="107"/>
      <c r="C84" s="107"/>
      <c r="D84" s="107"/>
    </row>
    <row r="85" spans="1:4">
      <c r="A85" s="107"/>
      <c r="B85" s="107"/>
      <c r="C85" s="107"/>
      <c r="D85" s="107"/>
    </row>
    <row r="86" spans="1:4">
      <c r="A86" s="107"/>
      <c r="B86" s="107"/>
      <c r="C86" s="107"/>
      <c r="D86" s="107"/>
    </row>
    <row r="87" spans="1:4">
      <c r="A87" s="107"/>
      <c r="B87" s="107"/>
      <c r="C87" s="107"/>
      <c r="D87" s="107"/>
    </row>
    <row r="88" spans="1:4">
      <c r="A88" s="107"/>
      <c r="B88" s="107"/>
      <c r="C88" s="107"/>
      <c r="D88" s="107"/>
    </row>
    <row r="89" spans="1:4">
      <c r="A89" s="107"/>
      <c r="B89" s="107"/>
      <c r="C89" s="107"/>
      <c r="D89" s="107"/>
    </row>
    <row r="90" spans="1:4">
      <c r="A90" s="107"/>
      <c r="B90" s="107"/>
      <c r="C90" s="107"/>
      <c r="D90" s="107"/>
    </row>
    <row r="91" spans="1:4">
      <c r="A91" s="107"/>
      <c r="B91" s="107"/>
      <c r="C91" s="107"/>
      <c r="D91" s="107"/>
    </row>
    <row r="92" spans="1:4">
      <c r="A92" s="107"/>
      <c r="B92" s="107"/>
      <c r="C92" s="107"/>
      <c r="D92" s="107"/>
    </row>
    <row r="93" spans="1:4">
      <c r="A93" s="107"/>
      <c r="B93" s="107"/>
      <c r="C93" s="107"/>
      <c r="D93" s="107"/>
    </row>
    <row r="94" spans="1:4">
      <c r="A94" s="107"/>
      <c r="B94" s="107"/>
      <c r="C94" s="107"/>
      <c r="D94" s="107"/>
    </row>
    <row r="95" spans="1:4">
      <c r="A95" s="107"/>
      <c r="B95" s="107"/>
      <c r="C95" s="107"/>
      <c r="D95" s="107"/>
    </row>
    <row r="96" spans="1:4">
      <c r="A96" s="107"/>
      <c r="B96" s="107"/>
      <c r="C96" s="107"/>
      <c r="D96" s="107"/>
    </row>
    <row r="97" spans="1:4">
      <c r="A97" s="107"/>
      <c r="B97" s="107"/>
      <c r="C97" s="107"/>
      <c r="D97" s="107"/>
    </row>
    <row r="98" spans="1:4">
      <c r="A98" s="107"/>
      <c r="B98" s="107"/>
      <c r="C98" s="107"/>
      <c r="D98" s="107"/>
    </row>
    <row r="99" spans="1:4">
      <c r="A99" s="107"/>
      <c r="B99" s="107"/>
      <c r="C99" s="107"/>
      <c r="D99" s="107"/>
    </row>
    <row r="100" spans="1:4">
      <c r="A100" s="107"/>
      <c r="B100" s="107"/>
      <c r="C100" s="107"/>
      <c r="D100" s="107"/>
    </row>
    <row r="101" spans="1:4">
      <c r="A101" s="107"/>
      <c r="B101" s="107"/>
      <c r="C101" s="107"/>
      <c r="D101" s="107"/>
    </row>
    <row r="102" spans="1:4">
      <c r="A102" s="107"/>
      <c r="B102" s="107"/>
      <c r="C102" s="107"/>
      <c r="D102" s="107"/>
    </row>
    <row r="103" spans="1:4">
      <c r="A103" s="107"/>
      <c r="B103" s="107"/>
      <c r="C103" s="107"/>
      <c r="D103" s="107"/>
    </row>
    <row r="104" spans="1:4">
      <c r="A104" s="107"/>
      <c r="B104" s="107"/>
      <c r="C104" s="107"/>
      <c r="D104" s="107"/>
    </row>
    <row r="105" spans="1:4">
      <c r="A105" s="107"/>
      <c r="B105" s="107"/>
      <c r="C105" s="107"/>
      <c r="D105" s="107"/>
    </row>
    <row r="106" spans="1:4">
      <c r="A106" s="107"/>
      <c r="B106" s="107"/>
      <c r="C106" s="107"/>
      <c r="D106" s="107"/>
    </row>
    <row r="107" spans="1:4">
      <c r="A107" s="107"/>
      <c r="B107" s="107"/>
      <c r="C107" s="107"/>
      <c r="D107" s="107"/>
    </row>
    <row r="108" spans="1:4">
      <c r="A108" s="107"/>
      <c r="B108" s="107"/>
      <c r="C108" s="107"/>
      <c r="D108" s="107"/>
    </row>
    <row r="109" spans="1:4">
      <c r="A109" s="107"/>
      <c r="B109" s="107"/>
      <c r="C109" s="107"/>
      <c r="D109" s="107"/>
    </row>
    <row r="110" spans="1:4">
      <c r="A110" s="107"/>
      <c r="B110" s="107"/>
      <c r="C110" s="107"/>
      <c r="D110" s="107"/>
    </row>
    <row r="111" spans="1:4">
      <c r="A111" s="107"/>
      <c r="B111" s="107"/>
      <c r="C111" s="107"/>
      <c r="D111" s="107"/>
    </row>
  </sheetData>
  <autoFilter ref="A1:D111"/>
  <phoneticPr fontId="5"/>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codeName="Sheet5"/>
  <dimension ref="A1:G118"/>
  <sheetViews>
    <sheetView topLeftCell="A67" workbookViewId="0">
      <selection activeCell="I88" sqref="I88"/>
    </sheetView>
  </sheetViews>
  <sheetFormatPr defaultColWidth="5.625" defaultRowHeight="15" customHeight="1"/>
  <cols>
    <col min="1" max="1" width="18.375" style="644" customWidth="1"/>
    <col min="2" max="3" width="10.625" style="644" customWidth="1"/>
    <col min="4" max="4" width="15.625" style="644" bestFit="1" customWidth="1"/>
    <col min="5" max="6" width="10.625" style="645" customWidth="1"/>
    <col min="7" max="7" width="10.625" style="644" customWidth="1"/>
    <col min="8" max="8" width="5.625" style="645" customWidth="1"/>
    <col min="9" max="9" width="7.5" style="645" bestFit="1" customWidth="1"/>
    <col min="10" max="16384" width="5.625" style="645"/>
  </cols>
  <sheetData>
    <row r="1" spans="1:7" s="643" customFormat="1" ht="15" customHeight="1">
      <c r="A1" s="642" t="s">
        <v>175</v>
      </c>
      <c r="B1" s="642" t="s">
        <v>174</v>
      </c>
      <c r="C1" s="642" t="s">
        <v>176</v>
      </c>
      <c r="D1" s="642" t="s">
        <v>177</v>
      </c>
      <c r="E1" s="642" t="s">
        <v>178</v>
      </c>
      <c r="G1" s="644"/>
    </row>
    <row r="2" spans="1:7" ht="15" customHeight="1">
      <c r="A2" t="s">
        <v>568</v>
      </c>
      <c r="B2">
        <v>29437</v>
      </c>
      <c r="C2" t="s">
        <v>589</v>
      </c>
      <c r="D2"/>
      <c r="E2" s="642">
        <v>23</v>
      </c>
      <c r="G2" s="644" t="s">
        <v>194</v>
      </c>
    </row>
    <row r="3" spans="1:7" ht="15" customHeight="1">
      <c r="A3" t="s">
        <v>493</v>
      </c>
      <c r="B3">
        <v>28806</v>
      </c>
      <c r="C3" t="s">
        <v>590</v>
      </c>
      <c r="D3"/>
      <c r="E3" s="642">
        <v>23</v>
      </c>
      <c r="G3" s="644" t="s">
        <v>194</v>
      </c>
    </row>
    <row r="4" spans="1:7" ht="15" customHeight="1">
      <c r="A4" t="s">
        <v>569</v>
      </c>
      <c r="B4">
        <v>28822</v>
      </c>
      <c r="C4" t="s">
        <v>591</v>
      </c>
      <c r="D4"/>
      <c r="E4" s="642">
        <v>23</v>
      </c>
      <c r="G4" s="644" t="s">
        <v>194</v>
      </c>
    </row>
    <row r="5" spans="1:7" ht="15" customHeight="1">
      <c r="A5" t="s">
        <v>505</v>
      </c>
      <c r="B5">
        <v>28906</v>
      </c>
      <c r="C5" t="s">
        <v>592</v>
      </c>
      <c r="D5"/>
      <c r="E5" s="642">
        <v>23</v>
      </c>
      <c r="G5" s="644" t="s">
        <v>194</v>
      </c>
    </row>
    <row r="6" spans="1:7" ht="15" customHeight="1">
      <c r="A6" t="s">
        <v>516</v>
      </c>
      <c r="B6">
        <v>28944</v>
      </c>
      <c r="C6" t="s">
        <v>593</v>
      </c>
      <c r="D6"/>
      <c r="E6" s="642">
        <v>23</v>
      </c>
      <c r="G6" s="644" t="s">
        <v>194</v>
      </c>
    </row>
    <row r="7" spans="1:7" ht="15" customHeight="1">
      <c r="A7" t="s">
        <v>501</v>
      </c>
      <c r="B7">
        <v>28881</v>
      </c>
      <c r="C7" t="s">
        <v>594</v>
      </c>
      <c r="D7"/>
      <c r="E7" s="642">
        <v>23</v>
      </c>
      <c r="G7" s="644" t="s">
        <v>194</v>
      </c>
    </row>
    <row r="8" spans="1:7" ht="15" customHeight="1">
      <c r="A8" t="s">
        <v>502</v>
      </c>
      <c r="B8">
        <v>28887</v>
      </c>
      <c r="C8" t="s">
        <v>595</v>
      </c>
      <c r="D8"/>
      <c r="E8" s="642">
        <v>23</v>
      </c>
      <c r="G8" s="644" t="s">
        <v>194</v>
      </c>
    </row>
    <row r="9" spans="1:7" ht="15" customHeight="1">
      <c r="A9" t="s">
        <v>570</v>
      </c>
      <c r="B9">
        <v>28896</v>
      </c>
      <c r="C9" t="s">
        <v>596</v>
      </c>
      <c r="D9"/>
      <c r="E9" s="642">
        <v>23</v>
      </c>
      <c r="G9" s="644" t="s">
        <v>194</v>
      </c>
    </row>
    <row r="10" spans="1:7" ht="15" customHeight="1">
      <c r="A10" t="s">
        <v>571</v>
      </c>
      <c r="B10">
        <v>28922</v>
      </c>
      <c r="C10" t="s">
        <v>597</v>
      </c>
      <c r="D10"/>
      <c r="E10" s="642">
        <v>23</v>
      </c>
      <c r="G10" s="644" t="s">
        <v>194</v>
      </c>
    </row>
    <row r="11" spans="1:7" ht="15" customHeight="1">
      <c r="A11" t="s">
        <v>513</v>
      </c>
      <c r="B11">
        <v>28934</v>
      </c>
      <c r="C11" t="s">
        <v>598</v>
      </c>
      <c r="D11"/>
      <c r="E11" s="642">
        <v>23</v>
      </c>
      <c r="G11" s="644" t="s">
        <v>194</v>
      </c>
    </row>
    <row r="12" spans="1:7" ht="15" customHeight="1">
      <c r="A12" t="s">
        <v>520</v>
      </c>
      <c r="B12">
        <v>28968</v>
      </c>
      <c r="C12" t="s">
        <v>599</v>
      </c>
      <c r="D12"/>
      <c r="E12" s="642">
        <v>23</v>
      </c>
      <c r="G12" s="644" t="s">
        <v>194</v>
      </c>
    </row>
    <row r="13" spans="1:7" ht="15" customHeight="1">
      <c r="A13" t="s">
        <v>497</v>
      </c>
      <c r="B13">
        <v>28866</v>
      </c>
      <c r="C13" t="s">
        <v>600</v>
      </c>
      <c r="D13"/>
      <c r="E13" s="642">
        <v>23</v>
      </c>
      <c r="G13" s="644" t="s">
        <v>194</v>
      </c>
    </row>
    <row r="14" spans="1:7" ht="15" customHeight="1">
      <c r="A14" t="s">
        <v>500</v>
      </c>
      <c r="B14">
        <v>28878</v>
      </c>
      <c r="C14" t="s">
        <v>601</v>
      </c>
      <c r="D14"/>
      <c r="E14" s="642">
        <v>23</v>
      </c>
      <c r="G14" s="644" t="s">
        <v>194</v>
      </c>
    </row>
    <row r="15" spans="1:7" ht="15" customHeight="1">
      <c r="A15" t="s">
        <v>572</v>
      </c>
      <c r="B15">
        <v>28864</v>
      </c>
      <c r="C15" t="s">
        <v>602</v>
      </c>
      <c r="D15"/>
      <c r="E15" s="642">
        <v>23</v>
      </c>
      <c r="G15" s="644" t="s">
        <v>194</v>
      </c>
    </row>
    <row r="16" spans="1:7" ht="15" customHeight="1">
      <c r="A16" t="s">
        <v>573</v>
      </c>
      <c r="B16">
        <v>28865</v>
      </c>
      <c r="C16" t="s">
        <v>603</v>
      </c>
      <c r="D16"/>
      <c r="E16" s="642">
        <v>23</v>
      </c>
      <c r="G16" s="644" t="s">
        <v>194</v>
      </c>
    </row>
    <row r="17" spans="1:7" ht="15" customHeight="1">
      <c r="A17" t="s">
        <v>498</v>
      </c>
      <c r="B17">
        <v>28867</v>
      </c>
      <c r="C17" t="s">
        <v>604</v>
      </c>
      <c r="D17"/>
      <c r="E17" s="642">
        <v>23</v>
      </c>
      <c r="G17" s="644" t="s">
        <v>194</v>
      </c>
    </row>
    <row r="18" spans="1:7" ht="15" customHeight="1">
      <c r="A18" t="s">
        <v>499</v>
      </c>
      <c r="B18">
        <v>28868</v>
      </c>
      <c r="C18" t="s">
        <v>605</v>
      </c>
      <c r="D18"/>
      <c r="E18" s="642">
        <v>23</v>
      </c>
      <c r="G18" s="644" t="s">
        <v>194</v>
      </c>
    </row>
    <row r="19" spans="1:7" ht="15" customHeight="1">
      <c r="A19" t="s">
        <v>574</v>
      </c>
      <c r="B19">
        <v>28882</v>
      </c>
      <c r="C19" t="s">
        <v>606</v>
      </c>
      <c r="D19"/>
      <c r="E19" s="642">
        <v>23</v>
      </c>
      <c r="G19" s="644" t="s">
        <v>194</v>
      </c>
    </row>
    <row r="20" spans="1:7" ht="15" customHeight="1">
      <c r="A20" t="s">
        <v>575</v>
      </c>
      <c r="B20">
        <v>28894</v>
      </c>
      <c r="C20" t="s">
        <v>607</v>
      </c>
      <c r="D20"/>
      <c r="E20" s="642">
        <v>23</v>
      </c>
      <c r="G20" s="644" t="s">
        <v>194</v>
      </c>
    </row>
    <row r="21" spans="1:7" ht="15" customHeight="1">
      <c r="A21" t="s">
        <v>504</v>
      </c>
      <c r="B21">
        <v>28905</v>
      </c>
      <c r="C21" t="s">
        <v>608</v>
      </c>
      <c r="D21"/>
      <c r="E21" s="642">
        <v>23</v>
      </c>
      <c r="G21" s="644" t="s">
        <v>194</v>
      </c>
    </row>
    <row r="22" spans="1:7" ht="15" customHeight="1">
      <c r="A22" t="s">
        <v>506</v>
      </c>
      <c r="B22">
        <v>28909</v>
      </c>
      <c r="C22" t="s">
        <v>609</v>
      </c>
      <c r="D22"/>
      <c r="E22" s="642">
        <v>23</v>
      </c>
      <c r="G22" s="644" t="s">
        <v>194</v>
      </c>
    </row>
    <row r="23" spans="1:7" ht="15" customHeight="1">
      <c r="A23" t="s">
        <v>508</v>
      </c>
      <c r="B23">
        <v>28917</v>
      </c>
      <c r="C23" t="s">
        <v>610</v>
      </c>
      <c r="D23"/>
      <c r="E23" s="642">
        <v>23</v>
      </c>
      <c r="G23" s="644" t="s">
        <v>194</v>
      </c>
    </row>
    <row r="24" spans="1:7" ht="15" customHeight="1">
      <c r="A24" t="s">
        <v>509</v>
      </c>
      <c r="B24">
        <v>28920</v>
      </c>
      <c r="C24" t="s">
        <v>611</v>
      </c>
      <c r="D24"/>
      <c r="E24" s="642">
        <v>23</v>
      </c>
      <c r="G24" s="644" t="s">
        <v>194</v>
      </c>
    </row>
    <row r="25" spans="1:7" ht="15" customHeight="1">
      <c r="A25" t="s">
        <v>510</v>
      </c>
      <c r="B25">
        <v>28925</v>
      </c>
      <c r="C25" t="s">
        <v>612</v>
      </c>
      <c r="D25"/>
      <c r="E25" s="642">
        <v>23</v>
      </c>
      <c r="G25" s="644" t="s">
        <v>194</v>
      </c>
    </row>
    <row r="26" spans="1:7" ht="15" customHeight="1">
      <c r="A26" t="s">
        <v>511</v>
      </c>
      <c r="B26">
        <v>28928</v>
      </c>
      <c r="C26" t="s">
        <v>613</v>
      </c>
      <c r="D26"/>
      <c r="E26" s="642">
        <v>23</v>
      </c>
      <c r="G26" s="644" t="s">
        <v>194</v>
      </c>
    </row>
    <row r="27" spans="1:7" ht="15" customHeight="1">
      <c r="A27" t="s">
        <v>512</v>
      </c>
      <c r="B27">
        <v>28932</v>
      </c>
      <c r="C27" t="s">
        <v>614</v>
      </c>
      <c r="D27"/>
      <c r="E27" s="642">
        <v>23</v>
      </c>
      <c r="G27" s="644" t="s">
        <v>194</v>
      </c>
    </row>
    <row r="28" spans="1:7" ht="15" customHeight="1">
      <c r="A28" t="s">
        <v>515</v>
      </c>
      <c r="B28">
        <v>28941</v>
      </c>
      <c r="C28" t="s">
        <v>615</v>
      </c>
      <c r="D28"/>
      <c r="E28" s="642">
        <v>23</v>
      </c>
      <c r="G28" s="644" t="s">
        <v>194</v>
      </c>
    </row>
    <row r="29" spans="1:7" ht="15" customHeight="1">
      <c r="A29" t="s">
        <v>517</v>
      </c>
      <c r="B29">
        <v>28945</v>
      </c>
      <c r="C29" t="s">
        <v>616</v>
      </c>
      <c r="D29"/>
      <c r="E29" s="642">
        <v>23</v>
      </c>
      <c r="G29" s="644" t="s">
        <v>194</v>
      </c>
    </row>
    <row r="30" spans="1:7" ht="15" customHeight="1">
      <c r="A30" t="s">
        <v>518</v>
      </c>
      <c r="B30">
        <v>28949</v>
      </c>
      <c r="C30" t="s">
        <v>617</v>
      </c>
      <c r="D30"/>
      <c r="E30" s="642">
        <v>23</v>
      </c>
      <c r="G30" s="644" t="s">
        <v>194</v>
      </c>
    </row>
    <row r="31" spans="1:7" ht="15" customHeight="1">
      <c r="A31" t="s">
        <v>519</v>
      </c>
      <c r="B31">
        <v>28956</v>
      </c>
      <c r="C31" t="s">
        <v>618</v>
      </c>
      <c r="D31"/>
      <c r="E31" s="642">
        <v>23</v>
      </c>
      <c r="G31" s="644" t="s">
        <v>194</v>
      </c>
    </row>
    <row r="32" spans="1:7" ht="15" customHeight="1">
      <c r="A32" t="s">
        <v>494</v>
      </c>
      <c r="B32">
        <v>28854</v>
      </c>
      <c r="C32" t="s">
        <v>619</v>
      </c>
      <c r="D32"/>
      <c r="E32" s="642">
        <v>23</v>
      </c>
      <c r="G32" s="644" t="s">
        <v>194</v>
      </c>
    </row>
    <row r="33" spans="1:7" ht="15" customHeight="1">
      <c r="A33" t="s">
        <v>495</v>
      </c>
      <c r="B33">
        <v>28859</v>
      </c>
      <c r="C33" t="s">
        <v>620</v>
      </c>
      <c r="D33"/>
      <c r="E33" s="642">
        <v>23</v>
      </c>
      <c r="G33" s="644" t="s">
        <v>194</v>
      </c>
    </row>
    <row r="34" spans="1:7" ht="15" customHeight="1">
      <c r="A34" t="s">
        <v>496</v>
      </c>
      <c r="B34">
        <v>28862</v>
      </c>
      <c r="C34" t="s">
        <v>621</v>
      </c>
      <c r="D34"/>
      <c r="E34" s="642">
        <v>23</v>
      </c>
      <c r="G34" s="644" t="s">
        <v>194</v>
      </c>
    </row>
    <row r="35" spans="1:7" ht="15" customHeight="1">
      <c r="A35" t="s">
        <v>503</v>
      </c>
      <c r="B35">
        <v>28893</v>
      </c>
      <c r="C35" t="s">
        <v>622</v>
      </c>
      <c r="D35"/>
      <c r="E35" s="642">
        <v>23</v>
      </c>
      <c r="G35" s="644" t="s">
        <v>194</v>
      </c>
    </row>
    <row r="36" spans="1:7" ht="15" customHeight="1">
      <c r="A36" t="s">
        <v>507</v>
      </c>
      <c r="B36">
        <v>28913</v>
      </c>
      <c r="C36" t="s">
        <v>623</v>
      </c>
      <c r="D36"/>
      <c r="E36" s="642">
        <v>23</v>
      </c>
      <c r="G36" s="644" t="s">
        <v>194</v>
      </c>
    </row>
    <row r="37" spans="1:7" ht="15" customHeight="1">
      <c r="A37" t="s">
        <v>514</v>
      </c>
      <c r="B37">
        <v>28937</v>
      </c>
      <c r="C37" t="s">
        <v>624</v>
      </c>
      <c r="D37"/>
      <c r="E37" s="642">
        <v>23</v>
      </c>
      <c r="G37" s="644" t="s">
        <v>194</v>
      </c>
    </row>
    <row r="38" spans="1:7" ht="15" customHeight="1">
      <c r="A38" t="s">
        <v>576</v>
      </c>
      <c r="B38">
        <v>28962</v>
      </c>
      <c r="C38" t="s">
        <v>625</v>
      </c>
      <c r="D38"/>
      <c r="E38" s="642">
        <v>23</v>
      </c>
      <c r="G38" s="644" t="s">
        <v>194</v>
      </c>
    </row>
    <row r="39" spans="1:7" ht="15" customHeight="1">
      <c r="A39" t="s">
        <v>577</v>
      </c>
      <c r="B39">
        <v>28975</v>
      </c>
      <c r="C39" t="s">
        <v>626</v>
      </c>
      <c r="D39"/>
      <c r="E39" s="642">
        <v>23</v>
      </c>
      <c r="G39" s="644" t="s">
        <v>194</v>
      </c>
    </row>
    <row r="40" spans="1:7" ht="15" customHeight="1">
      <c r="A40" t="s">
        <v>524</v>
      </c>
      <c r="B40">
        <v>29006</v>
      </c>
      <c r="C40" t="s">
        <v>627</v>
      </c>
      <c r="D40"/>
      <c r="E40" s="642">
        <v>23</v>
      </c>
      <c r="G40" s="644" t="s">
        <v>194</v>
      </c>
    </row>
    <row r="41" spans="1:7" ht="15" customHeight="1">
      <c r="A41" t="s">
        <v>528</v>
      </c>
      <c r="B41">
        <v>29015</v>
      </c>
      <c r="C41" t="s">
        <v>628</v>
      </c>
      <c r="D41"/>
      <c r="E41" s="642">
        <v>23</v>
      </c>
      <c r="G41" s="644" t="s">
        <v>194</v>
      </c>
    </row>
    <row r="42" spans="1:7" ht="15" customHeight="1">
      <c r="A42" t="s">
        <v>521</v>
      </c>
      <c r="B42">
        <v>28998</v>
      </c>
      <c r="C42" t="s">
        <v>629</v>
      </c>
      <c r="D42"/>
      <c r="E42" s="642">
        <v>23</v>
      </c>
      <c r="G42" s="644" t="s">
        <v>194</v>
      </c>
    </row>
    <row r="43" spans="1:7" ht="15" customHeight="1">
      <c r="A43" t="s">
        <v>522</v>
      </c>
      <c r="B43">
        <v>28999</v>
      </c>
      <c r="C43" t="s">
        <v>630</v>
      </c>
      <c r="D43"/>
      <c r="E43" s="642">
        <v>23</v>
      </c>
      <c r="G43" s="644" t="s">
        <v>194</v>
      </c>
    </row>
    <row r="44" spans="1:7" ht="15" customHeight="1">
      <c r="A44" t="s">
        <v>578</v>
      </c>
      <c r="B44">
        <v>29000</v>
      </c>
      <c r="C44" t="s">
        <v>631</v>
      </c>
      <c r="D44"/>
      <c r="E44" s="642">
        <v>23</v>
      </c>
      <c r="G44" s="644" t="s">
        <v>194</v>
      </c>
    </row>
    <row r="45" spans="1:7" ht="15" customHeight="1">
      <c r="A45" t="s">
        <v>579</v>
      </c>
      <c r="B45">
        <v>29001</v>
      </c>
      <c r="C45" t="s">
        <v>632</v>
      </c>
      <c r="D45"/>
      <c r="E45" s="642">
        <v>23</v>
      </c>
      <c r="G45" s="644" t="s">
        <v>194</v>
      </c>
    </row>
    <row r="46" spans="1:7" ht="13.5">
      <c r="A46" t="s">
        <v>580</v>
      </c>
      <c r="B46">
        <v>29002</v>
      </c>
      <c r="C46" t="s">
        <v>633</v>
      </c>
      <c r="D46"/>
      <c r="E46" s="642">
        <v>23</v>
      </c>
      <c r="G46" s="644" t="s">
        <v>194</v>
      </c>
    </row>
    <row r="47" spans="1:7" ht="15" customHeight="1">
      <c r="A47" t="s">
        <v>523</v>
      </c>
      <c r="B47">
        <v>29003</v>
      </c>
      <c r="C47" t="s">
        <v>634</v>
      </c>
      <c r="D47"/>
      <c r="E47" s="642">
        <v>23</v>
      </c>
      <c r="G47" s="644" t="s">
        <v>194</v>
      </c>
    </row>
    <row r="48" spans="1:7" ht="15" customHeight="1">
      <c r="A48" t="s">
        <v>527</v>
      </c>
      <c r="B48">
        <v>29014</v>
      </c>
      <c r="C48" t="s">
        <v>635</v>
      </c>
      <c r="D48"/>
      <c r="E48" s="642">
        <v>23</v>
      </c>
      <c r="G48" s="644" t="s">
        <v>194</v>
      </c>
    </row>
    <row r="49" spans="1:7" ht="15" customHeight="1">
      <c r="A49" t="s">
        <v>581</v>
      </c>
      <c r="B49">
        <v>29019</v>
      </c>
      <c r="C49" t="s">
        <v>636</v>
      </c>
      <c r="D49"/>
      <c r="E49" s="642">
        <v>23</v>
      </c>
      <c r="G49" s="644" t="s">
        <v>194</v>
      </c>
    </row>
    <row r="50" spans="1:7" ht="15" customHeight="1">
      <c r="A50" t="s">
        <v>530</v>
      </c>
      <c r="B50">
        <v>29021</v>
      </c>
      <c r="C50" t="s">
        <v>637</v>
      </c>
      <c r="D50"/>
      <c r="E50" s="642">
        <v>23</v>
      </c>
      <c r="G50" s="644" t="s">
        <v>194</v>
      </c>
    </row>
    <row r="51" spans="1:7" ht="15" customHeight="1">
      <c r="A51" t="s">
        <v>531</v>
      </c>
      <c r="B51">
        <v>29023</v>
      </c>
      <c r="C51" t="s">
        <v>638</v>
      </c>
      <c r="D51" s="646"/>
      <c r="E51" s="642">
        <v>23</v>
      </c>
      <c r="G51" s="644" t="s">
        <v>194</v>
      </c>
    </row>
    <row r="52" spans="1:7" ht="15" customHeight="1">
      <c r="A52" t="s">
        <v>532</v>
      </c>
      <c r="B52">
        <v>29024</v>
      </c>
      <c r="C52" t="s">
        <v>639</v>
      </c>
      <c r="D52" s="646"/>
      <c r="E52" s="642">
        <v>23</v>
      </c>
      <c r="G52" s="644" t="s">
        <v>194</v>
      </c>
    </row>
    <row r="53" spans="1:7" ht="15" customHeight="1">
      <c r="A53" t="s">
        <v>533</v>
      </c>
      <c r="B53">
        <v>29030</v>
      </c>
      <c r="C53" t="s">
        <v>640</v>
      </c>
      <c r="D53" s="648"/>
      <c r="E53" s="642">
        <v>23</v>
      </c>
      <c r="G53" s="644" t="s">
        <v>194</v>
      </c>
    </row>
    <row r="54" spans="1:7" ht="15" customHeight="1">
      <c r="A54" t="s">
        <v>534</v>
      </c>
      <c r="B54">
        <v>29031</v>
      </c>
      <c r="C54" t="s">
        <v>641</v>
      </c>
      <c r="D54" s="646"/>
      <c r="E54" s="642">
        <v>23</v>
      </c>
      <c r="G54" s="644" t="s">
        <v>194</v>
      </c>
    </row>
    <row r="55" spans="1:7" ht="15" customHeight="1">
      <c r="A55" t="s">
        <v>535</v>
      </c>
      <c r="B55">
        <v>29034</v>
      </c>
      <c r="C55" t="s">
        <v>642</v>
      </c>
      <c r="D55" s="647"/>
      <c r="E55" s="642">
        <v>23</v>
      </c>
      <c r="G55" s="644" t="s">
        <v>194</v>
      </c>
    </row>
    <row r="56" spans="1:7" ht="15" customHeight="1">
      <c r="A56" t="s">
        <v>537</v>
      </c>
      <c r="B56">
        <v>29040</v>
      </c>
      <c r="C56" t="s">
        <v>643</v>
      </c>
      <c r="D56" s="646"/>
      <c r="E56" s="642">
        <v>23</v>
      </c>
      <c r="G56" s="644" t="s">
        <v>194</v>
      </c>
    </row>
    <row r="57" spans="1:7" ht="15" customHeight="1">
      <c r="A57" t="s">
        <v>525</v>
      </c>
      <c r="B57">
        <v>29011</v>
      </c>
      <c r="C57" t="s">
        <v>644</v>
      </c>
      <c r="D57" s="648"/>
      <c r="E57" s="642">
        <v>23</v>
      </c>
      <c r="G57" s="644" t="s">
        <v>194</v>
      </c>
    </row>
    <row r="58" spans="1:7" ht="15" customHeight="1">
      <c r="A58" t="s">
        <v>526</v>
      </c>
      <c r="B58">
        <v>29013</v>
      </c>
      <c r="C58" t="s">
        <v>645</v>
      </c>
      <c r="D58" s="646"/>
      <c r="E58" s="642">
        <v>23</v>
      </c>
      <c r="G58" s="644" t="s">
        <v>194</v>
      </c>
    </row>
    <row r="59" spans="1:7" ht="15" customHeight="1">
      <c r="A59" t="s">
        <v>529</v>
      </c>
      <c r="B59">
        <v>29018</v>
      </c>
      <c r="C59" t="s">
        <v>646</v>
      </c>
      <c r="D59" s="646"/>
      <c r="E59" s="642">
        <v>23</v>
      </c>
      <c r="G59" s="644" t="s">
        <v>194</v>
      </c>
    </row>
    <row r="60" spans="1:7" ht="15" customHeight="1">
      <c r="A60" t="s">
        <v>555</v>
      </c>
      <c r="B60">
        <v>30339</v>
      </c>
      <c r="C60" t="s">
        <v>647</v>
      </c>
      <c r="D60" s="646"/>
      <c r="E60" s="642">
        <v>23</v>
      </c>
      <c r="G60" s="644" t="s">
        <v>194</v>
      </c>
    </row>
    <row r="61" spans="1:7" ht="15" customHeight="1">
      <c r="A61" t="s">
        <v>536</v>
      </c>
      <c r="B61">
        <v>29039</v>
      </c>
      <c r="C61" t="s">
        <v>648</v>
      </c>
      <c r="D61" s="648"/>
      <c r="E61" s="642">
        <v>23</v>
      </c>
      <c r="G61" s="644" t="s">
        <v>194</v>
      </c>
    </row>
    <row r="62" spans="1:7" ht="15" customHeight="1">
      <c r="A62" t="s">
        <v>582</v>
      </c>
      <c r="B62">
        <v>30082</v>
      </c>
      <c r="C62" t="s">
        <v>649</v>
      </c>
      <c r="D62" s="647"/>
      <c r="E62" s="642">
        <v>23</v>
      </c>
      <c r="G62" s="644" t="s">
        <v>194</v>
      </c>
    </row>
    <row r="63" spans="1:7" ht="15" customHeight="1">
      <c r="A63" t="s">
        <v>583</v>
      </c>
      <c r="B63">
        <v>29106</v>
      </c>
      <c r="C63" t="s">
        <v>650</v>
      </c>
      <c r="D63" s="648"/>
      <c r="E63" s="642">
        <v>23</v>
      </c>
      <c r="G63" s="644" t="s">
        <v>194</v>
      </c>
    </row>
    <row r="64" spans="1:7" ht="15" customHeight="1">
      <c r="A64" t="s">
        <v>584</v>
      </c>
      <c r="B64">
        <v>29070</v>
      </c>
      <c r="C64" t="s">
        <v>651</v>
      </c>
      <c r="D64" s="647"/>
      <c r="E64" s="642">
        <v>23</v>
      </c>
      <c r="G64" s="644" t="s">
        <v>194</v>
      </c>
    </row>
    <row r="65" spans="1:7" ht="15" customHeight="1">
      <c r="A65" t="s">
        <v>544</v>
      </c>
      <c r="B65">
        <v>29072</v>
      </c>
      <c r="C65" t="s">
        <v>652</v>
      </c>
      <c r="D65" s="646"/>
      <c r="E65" s="642">
        <v>23</v>
      </c>
      <c r="G65" s="644" t="s">
        <v>194</v>
      </c>
    </row>
    <row r="66" spans="1:7" ht="15" customHeight="1">
      <c r="A66" t="s">
        <v>545</v>
      </c>
      <c r="B66">
        <v>29074</v>
      </c>
      <c r="C66" t="s">
        <v>653</v>
      </c>
      <c r="D66" s="646"/>
      <c r="E66" s="642">
        <v>23</v>
      </c>
      <c r="G66" s="644" t="s">
        <v>194</v>
      </c>
    </row>
    <row r="67" spans="1:7" ht="15" customHeight="1">
      <c r="A67" t="s">
        <v>546</v>
      </c>
      <c r="B67">
        <v>29077</v>
      </c>
      <c r="C67" t="s">
        <v>654</v>
      </c>
      <c r="D67" s="646"/>
      <c r="E67" s="642">
        <v>23</v>
      </c>
      <c r="G67" s="644" t="s">
        <v>194</v>
      </c>
    </row>
    <row r="68" spans="1:7" ht="15" customHeight="1">
      <c r="A68" t="s">
        <v>550</v>
      </c>
      <c r="B68">
        <v>29107</v>
      </c>
      <c r="C68" t="s">
        <v>655</v>
      </c>
      <c r="D68" s="646"/>
      <c r="E68" s="642">
        <v>23</v>
      </c>
      <c r="G68" s="644" t="s">
        <v>194</v>
      </c>
    </row>
    <row r="69" spans="1:7" ht="15" customHeight="1">
      <c r="A69" t="s">
        <v>551</v>
      </c>
      <c r="B69">
        <v>29111</v>
      </c>
      <c r="C69" t="s">
        <v>656</v>
      </c>
      <c r="D69" s="646"/>
      <c r="E69" s="642">
        <v>23</v>
      </c>
      <c r="G69" s="644" t="s">
        <v>194</v>
      </c>
    </row>
    <row r="70" spans="1:7" ht="15" customHeight="1">
      <c r="A70" t="s">
        <v>538</v>
      </c>
      <c r="B70">
        <v>29046</v>
      </c>
      <c r="C70" t="s">
        <v>657</v>
      </c>
      <c r="D70" s="646"/>
      <c r="E70" s="642">
        <v>23</v>
      </c>
      <c r="G70" s="644" t="s">
        <v>194</v>
      </c>
    </row>
    <row r="71" spans="1:7" ht="15" customHeight="1">
      <c r="A71" t="s">
        <v>539</v>
      </c>
      <c r="B71">
        <v>29052</v>
      </c>
      <c r="C71" t="s">
        <v>658</v>
      </c>
      <c r="D71" s="646"/>
      <c r="E71" s="642">
        <v>23</v>
      </c>
      <c r="G71" s="644" t="s">
        <v>194</v>
      </c>
    </row>
    <row r="72" spans="1:7" ht="15" customHeight="1">
      <c r="A72" t="s">
        <v>585</v>
      </c>
      <c r="B72">
        <v>29055</v>
      </c>
      <c r="C72" t="s">
        <v>659</v>
      </c>
      <c r="D72" s="646"/>
      <c r="E72" s="642">
        <v>23</v>
      </c>
      <c r="G72" s="644" t="s">
        <v>194</v>
      </c>
    </row>
    <row r="73" spans="1:7" ht="15" customHeight="1">
      <c r="A73" t="s">
        <v>540</v>
      </c>
      <c r="B73">
        <v>29056</v>
      </c>
      <c r="C73" t="s">
        <v>660</v>
      </c>
      <c r="D73" s="646"/>
      <c r="E73" s="642">
        <v>23</v>
      </c>
      <c r="G73" s="644" t="s">
        <v>194</v>
      </c>
    </row>
    <row r="74" spans="1:7" ht="15" customHeight="1">
      <c r="A74" t="s">
        <v>541</v>
      </c>
      <c r="B74">
        <v>29057</v>
      </c>
      <c r="C74" t="s">
        <v>661</v>
      </c>
      <c r="D74" s="646"/>
      <c r="E74" s="642">
        <v>23</v>
      </c>
      <c r="G74" s="644" t="s">
        <v>194</v>
      </c>
    </row>
    <row r="75" spans="1:7" ht="15" customHeight="1">
      <c r="A75" t="s">
        <v>542</v>
      </c>
      <c r="B75">
        <v>29058</v>
      </c>
      <c r="C75" t="s">
        <v>662</v>
      </c>
      <c r="D75" s="647"/>
      <c r="E75" s="642">
        <v>23</v>
      </c>
      <c r="G75" s="644" t="s">
        <v>194</v>
      </c>
    </row>
    <row r="76" spans="1:7" ht="15" customHeight="1">
      <c r="A76" t="s">
        <v>543</v>
      </c>
      <c r="B76">
        <v>29065</v>
      </c>
      <c r="C76" t="s">
        <v>663</v>
      </c>
      <c r="D76" s="646"/>
      <c r="E76" s="642">
        <v>23</v>
      </c>
      <c r="G76" s="644" t="s">
        <v>194</v>
      </c>
    </row>
    <row r="77" spans="1:7" ht="15" customHeight="1">
      <c r="A77" t="s">
        <v>547</v>
      </c>
      <c r="B77">
        <v>29078</v>
      </c>
      <c r="C77" t="s">
        <v>664</v>
      </c>
      <c r="D77" s="647"/>
      <c r="E77" s="642">
        <v>23</v>
      </c>
      <c r="G77" s="644" t="s">
        <v>194</v>
      </c>
    </row>
    <row r="78" spans="1:7" ht="15" customHeight="1">
      <c r="A78" t="s">
        <v>548</v>
      </c>
      <c r="B78">
        <v>29090</v>
      </c>
      <c r="C78" s="642" t="s">
        <v>665</v>
      </c>
      <c r="D78" s="646"/>
      <c r="E78" s="642">
        <v>23</v>
      </c>
      <c r="G78" s="644" t="s">
        <v>194</v>
      </c>
    </row>
    <row r="79" spans="1:7" ht="15" customHeight="1">
      <c r="A79" t="s">
        <v>586</v>
      </c>
      <c r="B79">
        <v>29080</v>
      </c>
      <c r="C79" s="642" t="s">
        <v>666</v>
      </c>
      <c r="D79" s="646"/>
      <c r="E79" s="642">
        <v>23</v>
      </c>
      <c r="G79" s="644" t="s">
        <v>194</v>
      </c>
    </row>
    <row r="80" spans="1:7" ht="15" customHeight="1">
      <c r="A80" t="s">
        <v>587</v>
      </c>
      <c r="B80">
        <v>29084</v>
      </c>
      <c r="C80" s="642" t="s">
        <v>667</v>
      </c>
      <c r="D80" s="647"/>
      <c r="E80" s="642">
        <v>23</v>
      </c>
      <c r="G80" s="644" t="s">
        <v>194</v>
      </c>
    </row>
    <row r="81" spans="1:7" ht="15" customHeight="1">
      <c r="A81" t="s">
        <v>549</v>
      </c>
      <c r="B81">
        <v>29093</v>
      </c>
      <c r="C81" s="642" t="s">
        <v>668</v>
      </c>
      <c r="D81" s="646"/>
      <c r="E81" s="642">
        <v>23</v>
      </c>
      <c r="G81" s="644" t="s">
        <v>194</v>
      </c>
    </row>
    <row r="82" spans="1:7" ht="15" customHeight="1">
      <c r="A82" t="s">
        <v>588</v>
      </c>
      <c r="B82">
        <v>29155</v>
      </c>
      <c r="C82" s="642" t="s">
        <v>669</v>
      </c>
      <c r="D82" s="646"/>
      <c r="E82" s="642">
        <v>23</v>
      </c>
      <c r="G82" s="644" t="s">
        <v>194</v>
      </c>
    </row>
    <row r="83" spans="1:7" ht="15" customHeight="1">
      <c r="A83" t="s">
        <v>552</v>
      </c>
      <c r="B83">
        <v>29161</v>
      </c>
      <c r="C83" s="642" t="s">
        <v>670</v>
      </c>
      <c r="D83" s="648"/>
      <c r="E83" s="642">
        <v>23</v>
      </c>
      <c r="G83" s="644" t="s">
        <v>194</v>
      </c>
    </row>
    <row r="84" spans="1:7" ht="15" customHeight="1">
      <c r="A84" t="s">
        <v>554</v>
      </c>
      <c r="B84">
        <v>29183</v>
      </c>
      <c r="C84" s="642" t="s">
        <v>671</v>
      </c>
      <c r="D84" s="646"/>
      <c r="E84" s="642">
        <v>23</v>
      </c>
      <c r="G84" s="644" t="s">
        <v>194</v>
      </c>
    </row>
    <row r="85" spans="1:7" ht="15" customHeight="1">
      <c r="A85" t="s">
        <v>553</v>
      </c>
      <c r="B85">
        <v>29180</v>
      </c>
      <c r="C85" s="642" t="s">
        <v>672</v>
      </c>
      <c r="D85" s="648"/>
      <c r="E85" s="642">
        <v>23</v>
      </c>
      <c r="G85" s="644" t="s">
        <v>194</v>
      </c>
    </row>
    <row r="86" spans="1:7" ht="15" customHeight="1">
      <c r="A86"/>
      <c r="B86" s="674"/>
      <c r="C86" s="642"/>
      <c r="D86" s="646"/>
      <c r="E86" s="642"/>
      <c r="F86" s="646"/>
    </row>
    <row r="87" spans="1:7" ht="15" customHeight="1">
      <c r="A87"/>
      <c r="B87" s="674"/>
      <c r="C87" s="642"/>
      <c r="D87" s="646"/>
      <c r="E87" s="642"/>
      <c r="F87" s="646"/>
    </row>
    <row r="88" spans="1:7" ht="15" customHeight="1">
      <c r="A88"/>
      <c r="B88" s="676"/>
      <c r="C88" s="642"/>
      <c r="D88" s="648"/>
      <c r="E88" s="642"/>
      <c r="F88" s="646"/>
    </row>
    <row r="89" spans="1:7" ht="15" customHeight="1">
      <c r="A89"/>
      <c r="B89" s="674"/>
      <c r="C89" s="642"/>
      <c r="D89" s="646"/>
      <c r="E89" s="642"/>
      <c r="F89" s="646"/>
    </row>
    <row r="90" spans="1:7" ht="15" customHeight="1">
      <c r="A90"/>
      <c r="B90" s="674"/>
      <c r="C90" s="649"/>
      <c r="D90" s="646"/>
      <c r="E90" s="642"/>
      <c r="F90" s="646"/>
    </row>
    <row r="91" spans="1:7" ht="15" customHeight="1">
      <c r="A91"/>
      <c r="B91" s="676"/>
      <c r="C91" s="650"/>
      <c r="D91" s="648"/>
      <c r="E91" s="642"/>
      <c r="F91" s="646"/>
    </row>
    <row r="92" spans="1:7" ht="15" customHeight="1">
      <c r="A92"/>
      <c r="B92" s="674"/>
      <c r="D92" s="646"/>
      <c r="E92" s="642"/>
      <c r="F92" s="646"/>
    </row>
    <row r="93" spans="1:7" ht="15" customHeight="1">
      <c r="A93"/>
      <c r="B93" s="676"/>
      <c r="D93" s="648"/>
      <c r="E93" s="642"/>
      <c r="F93" s="646"/>
    </row>
    <row r="94" spans="1:7" ht="15" customHeight="1">
      <c r="A94"/>
      <c r="B94" s="676"/>
      <c r="D94" s="646"/>
      <c r="E94" s="642"/>
      <c r="F94" s="646"/>
    </row>
    <row r="95" spans="1:7" ht="15" customHeight="1">
      <c r="A95"/>
      <c r="B95" s="675"/>
      <c r="D95" s="647"/>
      <c r="E95" s="642"/>
      <c r="F95" s="646"/>
    </row>
    <row r="96" spans="1:7" ht="15" customHeight="1">
      <c r="A96"/>
      <c r="B96" s="676"/>
      <c r="D96" s="647"/>
      <c r="E96" s="642"/>
      <c r="F96" s="646"/>
    </row>
    <row r="97" spans="1:6" ht="15" customHeight="1">
      <c r="A97"/>
      <c r="B97" s="676"/>
      <c r="D97" s="648"/>
      <c r="E97" s="642"/>
      <c r="F97" s="646"/>
    </row>
    <row r="98" spans="1:6" ht="15" customHeight="1">
      <c r="A98"/>
      <c r="B98" s="676"/>
      <c r="C98" s="642"/>
      <c r="D98" s="646"/>
      <c r="E98" s="642"/>
      <c r="F98" s="646"/>
    </row>
    <row r="99" spans="1:6" ht="15" customHeight="1">
      <c r="A99"/>
      <c r="B99" s="675"/>
      <c r="C99" s="642"/>
      <c r="D99" s="647"/>
      <c r="E99" s="642"/>
      <c r="F99" s="646"/>
    </row>
    <row r="100" spans="1:6" ht="15" customHeight="1">
      <c r="A100"/>
      <c r="B100" s="676"/>
      <c r="C100" s="642"/>
      <c r="D100" s="646"/>
      <c r="E100" s="642"/>
      <c r="F100" s="646"/>
    </row>
    <row r="101" spans="1:6" ht="15" customHeight="1">
      <c r="A101"/>
      <c r="B101" s="676"/>
      <c r="C101" s="642"/>
      <c r="D101" s="648"/>
      <c r="E101" s="642"/>
      <c r="F101" s="646"/>
    </row>
    <row r="102" spans="1:6" ht="15" customHeight="1">
      <c r="A102"/>
      <c r="B102" s="676"/>
      <c r="C102" s="642"/>
      <c r="D102" s="648"/>
      <c r="E102" s="642"/>
      <c r="F102" s="646"/>
    </row>
    <row r="103" spans="1:6" ht="15" customHeight="1">
      <c r="A103"/>
      <c r="B103" s="675"/>
      <c r="C103" s="642"/>
      <c r="D103" s="647"/>
      <c r="E103" s="642"/>
      <c r="F103" s="646"/>
    </row>
    <row r="104" spans="1:6" ht="15" customHeight="1">
      <c r="A104"/>
      <c r="B104" s="676"/>
      <c r="C104" s="642"/>
      <c r="D104" s="646"/>
      <c r="E104" s="642"/>
      <c r="F104" s="646"/>
    </row>
    <row r="105" spans="1:6" ht="15" customHeight="1">
      <c r="A105"/>
      <c r="B105" s="676"/>
      <c r="C105" s="642"/>
      <c r="D105" s="646"/>
      <c r="E105" s="642"/>
      <c r="F105" s="646"/>
    </row>
    <row r="106" spans="1:6" ht="15" customHeight="1">
      <c r="A106"/>
      <c r="B106" s="676"/>
      <c r="C106" s="642"/>
      <c r="D106" s="646"/>
      <c r="E106" s="642"/>
      <c r="F106" s="646"/>
    </row>
    <row r="107" spans="1:6" ht="15" customHeight="1">
      <c r="A107"/>
      <c r="B107" s="676"/>
      <c r="C107" s="642"/>
      <c r="D107" s="647"/>
      <c r="E107" s="642"/>
      <c r="F107" s="646"/>
    </row>
    <row r="108" spans="1:6" ht="15" customHeight="1">
      <c r="A108"/>
      <c r="B108" s="676"/>
      <c r="C108" s="642"/>
      <c r="D108" s="646"/>
      <c r="E108" s="642"/>
      <c r="F108" s="646"/>
    </row>
    <row r="109" spans="1:6" ht="15" customHeight="1">
      <c r="A109"/>
      <c r="B109" s="676"/>
      <c r="D109" s="646"/>
      <c r="E109" s="642"/>
      <c r="F109" s="646"/>
    </row>
    <row r="110" spans="1:6" ht="15" customHeight="1">
      <c r="A110"/>
      <c r="B110" s="676"/>
      <c r="D110" s="648"/>
      <c r="E110" s="642"/>
      <c r="F110" s="646"/>
    </row>
    <row r="111" spans="1:6" ht="15" customHeight="1">
      <c r="A111"/>
      <c r="B111" s="676"/>
      <c r="D111" s="646"/>
      <c r="E111" s="642"/>
      <c r="F111" s="646"/>
    </row>
    <row r="112" spans="1:6" ht="15" customHeight="1">
      <c r="A112"/>
      <c r="B112" s="676"/>
      <c r="D112" s="646"/>
      <c r="E112" s="642"/>
      <c r="F112" s="646"/>
    </row>
    <row r="113" spans="1:6" ht="15" customHeight="1">
      <c r="A113"/>
      <c r="B113" s="676"/>
      <c r="D113" s="646"/>
      <c r="E113" s="642"/>
      <c r="F113" s="646"/>
    </row>
    <row r="114" spans="1:6" ht="15" customHeight="1">
      <c r="A114"/>
      <c r="B114" s="675"/>
      <c r="D114" s="647"/>
      <c r="E114" s="642"/>
      <c r="F114" s="646"/>
    </row>
    <row r="115" spans="1:6" ht="15" customHeight="1">
      <c r="A115"/>
      <c r="B115" s="676"/>
      <c r="D115" s="648"/>
      <c r="E115" s="642"/>
      <c r="F115" s="646"/>
    </row>
    <row r="116" spans="1:6" ht="15" customHeight="1">
      <c r="A116"/>
      <c r="B116" s="676"/>
      <c r="D116" s="647"/>
      <c r="E116" s="642"/>
      <c r="F116" s="646"/>
    </row>
    <row r="117" spans="1:6" ht="15" customHeight="1">
      <c r="A117" s="646"/>
      <c r="B117" s="646"/>
      <c r="C117" s="642"/>
      <c r="D117" s="646"/>
      <c r="E117" s="642"/>
      <c r="F117" s="646"/>
    </row>
    <row r="118" spans="1:6" ht="15" customHeight="1">
      <c r="A118" s="647"/>
      <c r="B118" s="647"/>
      <c r="C118" s="642"/>
      <c r="D118" s="647"/>
      <c r="E118" s="642"/>
      <c r="F118" s="647"/>
    </row>
  </sheetData>
  <phoneticPr fontId="4"/>
  <conditionalFormatting sqref="B2:B46">
    <cfRule type="duplicateValues" dxfId="4" priority="5" stopIfTrue="1"/>
  </conditionalFormatting>
  <conditionalFormatting sqref="A47:A118">
    <cfRule type="duplicateValues" dxfId="3" priority="4" stopIfTrue="1"/>
  </conditionalFormatting>
  <conditionalFormatting sqref="B49:B118">
    <cfRule type="duplicateValues" dxfId="2" priority="3" stopIfTrue="1"/>
  </conditionalFormatting>
  <conditionalFormatting sqref="D47:D118">
    <cfRule type="duplicateValues" dxfId="1" priority="2" stopIfTrue="1"/>
  </conditionalFormatting>
  <conditionalFormatting sqref="D47:D50">
    <cfRule type="duplicateValues" dxfId="0" priority="1" stopIfTrue="1"/>
  </conditionalFormatting>
  <dataValidations count="2">
    <dataValidation imeMode="hiragana" allowBlank="1" showInputMessage="1" showErrorMessage="1" promptTitle="略称" prompt="全角7文字、半角14文字以内" sqref="A2:A46 D2:D46"/>
    <dataValidation type="textLength" imeMode="disabled" allowBlank="1" showInputMessage="1" showErrorMessage="1" sqref="B2 B11 B6 B30 B39">
      <formula1>6</formula1>
      <formula2>6</formula2>
    </dataValidation>
  </dataValidations>
  <pageMargins left="0.78740157480314965" right="0.59055118110236227" top="0.78740157480314965" bottom="0.78740157480314965" header="0.51181102362204722" footer="0.51181102362204722"/>
  <pageSetup paperSize="13" orientation="landscape" horizontalDpi="4294967292" verticalDpi="300"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6"/>
  <dimension ref="A1:C90"/>
  <sheetViews>
    <sheetView workbookViewId="0">
      <selection activeCell="F10" sqref="F10"/>
    </sheetView>
  </sheetViews>
  <sheetFormatPr defaultRowHeight="15" customHeight="1"/>
  <cols>
    <col min="1" max="1" width="8.75" style="76" bestFit="1" customWidth="1"/>
    <col min="2" max="2" width="13.875" style="83" customWidth="1"/>
    <col min="3" max="3" width="11.25" style="78" customWidth="1"/>
    <col min="4" max="16384" width="9" style="78"/>
  </cols>
  <sheetData>
    <row r="1" spans="1:3" s="76" customFormat="1" ht="15" customHeight="1">
      <c r="A1" s="76" t="s">
        <v>8</v>
      </c>
      <c r="B1" s="76" t="s">
        <v>9</v>
      </c>
    </row>
    <row r="2" spans="1:3" ht="15" customHeight="1">
      <c r="A2" s="77" t="s">
        <v>36</v>
      </c>
      <c r="B2" s="77">
        <v>1</v>
      </c>
      <c r="C2" s="77" t="s">
        <v>37</v>
      </c>
    </row>
    <row r="3" spans="1:3" ht="15" customHeight="1">
      <c r="A3" s="77" t="s">
        <v>38</v>
      </c>
      <c r="B3" s="77">
        <v>2</v>
      </c>
      <c r="C3" s="77" t="s">
        <v>39</v>
      </c>
    </row>
    <row r="4" spans="1:3" s="76" customFormat="1" ht="15" customHeight="1">
      <c r="A4" s="77" t="s">
        <v>40</v>
      </c>
      <c r="B4" s="77">
        <v>3</v>
      </c>
      <c r="C4" s="77" t="s">
        <v>41</v>
      </c>
    </row>
    <row r="5" spans="1:3" s="76" customFormat="1" ht="15" customHeight="1">
      <c r="A5" s="77" t="s">
        <v>42</v>
      </c>
      <c r="B5" s="77">
        <v>4</v>
      </c>
      <c r="C5" s="77" t="s">
        <v>43</v>
      </c>
    </row>
    <row r="6" spans="1:3" s="76" customFormat="1" ht="15" customHeight="1">
      <c r="A6" s="77" t="s">
        <v>44</v>
      </c>
      <c r="B6" s="77">
        <v>5</v>
      </c>
      <c r="C6" s="77" t="s">
        <v>45</v>
      </c>
    </row>
    <row r="7" spans="1:3" s="76" customFormat="1" ht="15" customHeight="1">
      <c r="A7" s="77" t="s">
        <v>46</v>
      </c>
      <c r="B7" s="77">
        <v>6</v>
      </c>
      <c r="C7" s="77" t="s">
        <v>47</v>
      </c>
    </row>
    <row r="8" spans="1:3" ht="15" customHeight="1">
      <c r="A8" s="77" t="s">
        <v>48</v>
      </c>
      <c r="B8" s="77">
        <v>7</v>
      </c>
      <c r="C8" s="77" t="s">
        <v>49</v>
      </c>
    </row>
    <row r="9" spans="1:3" ht="15" customHeight="1">
      <c r="A9" s="77" t="s">
        <v>50</v>
      </c>
      <c r="B9" s="77">
        <v>8</v>
      </c>
      <c r="C9" s="77" t="s">
        <v>51</v>
      </c>
    </row>
    <row r="10" spans="1:3" ht="15" customHeight="1">
      <c r="A10" s="77" t="s">
        <v>52</v>
      </c>
      <c r="B10" s="77">
        <v>9</v>
      </c>
      <c r="C10" s="77" t="s">
        <v>53</v>
      </c>
    </row>
    <row r="11" spans="1:3" ht="15" customHeight="1">
      <c r="A11" s="77" t="s">
        <v>54</v>
      </c>
      <c r="B11" s="77">
        <v>10</v>
      </c>
      <c r="C11" s="77" t="s">
        <v>55</v>
      </c>
    </row>
    <row r="12" spans="1:3" ht="15" customHeight="1">
      <c r="A12" s="77" t="s">
        <v>56</v>
      </c>
      <c r="B12" s="77">
        <v>11</v>
      </c>
      <c r="C12" s="77" t="s">
        <v>57</v>
      </c>
    </row>
    <row r="13" spans="1:3" ht="15" customHeight="1">
      <c r="A13" s="77" t="s">
        <v>58</v>
      </c>
      <c r="B13" s="77">
        <v>12</v>
      </c>
      <c r="C13" s="77" t="s">
        <v>59</v>
      </c>
    </row>
    <row r="14" spans="1:3" ht="15" customHeight="1">
      <c r="A14" s="77" t="s">
        <v>60</v>
      </c>
      <c r="B14" s="77">
        <v>13</v>
      </c>
      <c r="C14" s="77" t="s">
        <v>61</v>
      </c>
    </row>
    <row r="15" spans="1:3" ht="15" customHeight="1">
      <c r="A15" s="77" t="s">
        <v>62</v>
      </c>
      <c r="B15" s="77">
        <v>14</v>
      </c>
      <c r="C15" s="77" t="s">
        <v>63</v>
      </c>
    </row>
    <row r="16" spans="1:3" ht="15" customHeight="1">
      <c r="A16" s="77" t="s">
        <v>64</v>
      </c>
      <c r="B16" s="77">
        <v>15</v>
      </c>
      <c r="C16" s="77" t="s">
        <v>65</v>
      </c>
    </row>
    <row r="17" spans="1:3" ht="15" customHeight="1">
      <c r="A17" s="77" t="s">
        <v>66</v>
      </c>
      <c r="B17" s="77">
        <v>16</v>
      </c>
      <c r="C17" s="77" t="s">
        <v>67</v>
      </c>
    </row>
    <row r="18" spans="1:3" ht="15" customHeight="1">
      <c r="A18" s="77" t="s">
        <v>68</v>
      </c>
      <c r="B18" s="77">
        <v>17</v>
      </c>
      <c r="C18" s="77" t="s">
        <v>69</v>
      </c>
    </row>
    <row r="19" spans="1:3" ht="15" customHeight="1">
      <c r="A19" s="77" t="s">
        <v>70</v>
      </c>
      <c r="B19" s="77">
        <v>18</v>
      </c>
      <c r="C19" s="77" t="s">
        <v>71</v>
      </c>
    </row>
    <row r="20" spans="1:3" ht="15" customHeight="1">
      <c r="A20" s="77" t="s">
        <v>72</v>
      </c>
      <c r="B20" s="77">
        <v>19</v>
      </c>
      <c r="C20" s="77" t="s">
        <v>73</v>
      </c>
    </row>
    <row r="21" spans="1:3" ht="15" customHeight="1">
      <c r="A21" s="77" t="s">
        <v>74</v>
      </c>
      <c r="B21" s="77">
        <v>20</v>
      </c>
      <c r="C21" s="77" t="s">
        <v>75</v>
      </c>
    </row>
    <row r="22" spans="1:3" ht="15" customHeight="1">
      <c r="A22" s="77" t="s">
        <v>76</v>
      </c>
      <c r="B22" s="77">
        <v>21</v>
      </c>
      <c r="C22" s="77" t="s">
        <v>77</v>
      </c>
    </row>
    <row r="23" spans="1:3" ht="15" customHeight="1">
      <c r="A23" s="77" t="s">
        <v>78</v>
      </c>
      <c r="B23" s="77">
        <v>22</v>
      </c>
      <c r="C23" s="77" t="s">
        <v>79</v>
      </c>
    </row>
    <row r="24" spans="1:3" ht="15" customHeight="1">
      <c r="A24" s="77" t="s">
        <v>135</v>
      </c>
      <c r="B24" s="77">
        <v>23</v>
      </c>
      <c r="C24" s="77" t="s">
        <v>80</v>
      </c>
    </row>
    <row r="25" spans="1:3" ht="15" customHeight="1">
      <c r="A25" s="77" t="s">
        <v>81</v>
      </c>
      <c r="B25" s="77">
        <v>24</v>
      </c>
      <c r="C25" s="77" t="s">
        <v>82</v>
      </c>
    </row>
    <row r="26" spans="1:3" ht="15" customHeight="1">
      <c r="A26" s="77" t="s">
        <v>83</v>
      </c>
      <c r="B26" s="77">
        <v>25</v>
      </c>
      <c r="C26" s="77" t="s">
        <v>84</v>
      </c>
    </row>
    <row r="27" spans="1:3" ht="15" customHeight="1">
      <c r="A27" s="77" t="s">
        <v>85</v>
      </c>
      <c r="B27" s="77">
        <v>26</v>
      </c>
      <c r="C27" s="77" t="s">
        <v>86</v>
      </c>
    </row>
    <row r="28" spans="1:3" ht="15" customHeight="1">
      <c r="A28" s="77" t="s">
        <v>87</v>
      </c>
      <c r="B28" s="77">
        <v>27</v>
      </c>
      <c r="C28" s="77" t="s">
        <v>88</v>
      </c>
    </row>
    <row r="29" spans="1:3" ht="15" customHeight="1">
      <c r="A29" s="77" t="s">
        <v>89</v>
      </c>
      <c r="B29" s="77">
        <v>28</v>
      </c>
      <c r="C29" s="77" t="s">
        <v>90</v>
      </c>
    </row>
    <row r="30" spans="1:3" ht="15" customHeight="1">
      <c r="A30" s="77" t="s">
        <v>91</v>
      </c>
      <c r="B30" s="77">
        <v>29</v>
      </c>
      <c r="C30" s="77" t="s">
        <v>92</v>
      </c>
    </row>
    <row r="31" spans="1:3" ht="15" customHeight="1">
      <c r="A31" s="77" t="s">
        <v>93</v>
      </c>
      <c r="B31" s="77">
        <v>30</v>
      </c>
      <c r="C31" s="77" t="s">
        <v>94</v>
      </c>
    </row>
    <row r="32" spans="1:3" ht="15" customHeight="1">
      <c r="A32" s="77" t="s">
        <v>95</v>
      </c>
      <c r="B32" s="77">
        <v>31</v>
      </c>
      <c r="C32" s="77" t="s">
        <v>96</v>
      </c>
    </row>
    <row r="33" spans="1:3" ht="15" customHeight="1">
      <c r="A33" s="77" t="s">
        <v>97</v>
      </c>
      <c r="B33" s="77">
        <v>32</v>
      </c>
      <c r="C33" s="77" t="s">
        <v>98</v>
      </c>
    </row>
    <row r="34" spans="1:3" ht="15" customHeight="1">
      <c r="A34" s="77" t="s">
        <v>99</v>
      </c>
      <c r="B34" s="77">
        <v>33</v>
      </c>
      <c r="C34" s="77" t="s">
        <v>100</v>
      </c>
    </row>
    <row r="35" spans="1:3" ht="15" customHeight="1">
      <c r="A35" s="77" t="s">
        <v>101</v>
      </c>
      <c r="B35" s="77">
        <v>34</v>
      </c>
      <c r="C35" s="77" t="s">
        <v>102</v>
      </c>
    </row>
    <row r="36" spans="1:3" ht="15" customHeight="1">
      <c r="A36" s="77" t="s">
        <v>103</v>
      </c>
      <c r="B36" s="77">
        <v>35</v>
      </c>
      <c r="C36" s="77" t="s">
        <v>104</v>
      </c>
    </row>
    <row r="37" spans="1:3" ht="15" customHeight="1">
      <c r="A37" s="77" t="s">
        <v>105</v>
      </c>
      <c r="B37" s="77">
        <v>36</v>
      </c>
      <c r="C37" s="77" t="s">
        <v>106</v>
      </c>
    </row>
    <row r="38" spans="1:3" ht="15" customHeight="1">
      <c r="A38" s="77" t="s">
        <v>107</v>
      </c>
      <c r="B38" s="77">
        <v>37</v>
      </c>
      <c r="C38" s="77" t="s">
        <v>108</v>
      </c>
    </row>
    <row r="39" spans="1:3" ht="15" customHeight="1">
      <c r="A39" s="77" t="s">
        <v>109</v>
      </c>
      <c r="B39" s="77">
        <v>38</v>
      </c>
      <c r="C39" s="77" t="s">
        <v>110</v>
      </c>
    </row>
    <row r="40" spans="1:3" ht="15" customHeight="1">
      <c r="A40" s="77" t="s">
        <v>111</v>
      </c>
      <c r="B40" s="77">
        <v>39</v>
      </c>
      <c r="C40" s="77" t="s">
        <v>112</v>
      </c>
    </row>
    <row r="41" spans="1:3" ht="15" customHeight="1">
      <c r="A41" s="77" t="s">
        <v>113</v>
      </c>
      <c r="B41" s="77">
        <v>40</v>
      </c>
      <c r="C41" s="77" t="s">
        <v>114</v>
      </c>
    </row>
    <row r="42" spans="1:3" ht="15" customHeight="1">
      <c r="A42" s="77" t="s">
        <v>115</v>
      </c>
      <c r="B42" s="77">
        <v>41</v>
      </c>
      <c r="C42" s="77" t="s">
        <v>116</v>
      </c>
    </row>
    <row r="43" spans="1:3" ht="15" customHeight="1">
      <c r="A43" s="77" t="s">
        <v>117</v>
      </c>
      <c r="B43" s="77">
        <v>42</v>
      </c>
      <c r="C43" s="77" t="s">
        <v>118</v>
      </c>
    </row>
    <row r="44" spans="1:3" ht="15" customHeight="1">
      <c r="A44" s="77" t="s">
        <v>119</v>
      </c>
      <c r="B44" s="77">
        <v>43</v>
      </c>
      <c r="C44" s="77" t="s">
        <v>120</v>
      </c>
    </row>
    <row r="45" spans="1:3" ht="15" customHeight="1">
      <c r="A45" s="77" t="s">
        <v>121</v>
      </c>
      <c r="B45" s="77">
        <v>44</v>
      </c>
      <c r="C45" s="77" t="s">
        <v>122</v>
      </c>
    </row>
    <row r="46" spans="1:3" ht="15" customHeight="1">
      <c r="A46" s="77" t="s">
        <v>123</v>
      </c>
      <c r="B46" s="77">
        <v>45</v>
      </c>
      <c r="C46" s="77" t="s">
        <v>124</v>
      </c>
    </row>
    <row r="47" spans="1:3" ht="15" customHeight="1">
      <c r="A47" s="77" t="s">
        <v>125</v>
      </c>
      <c r="B47" s="77">
        <v>46</v>
      </c>
      <c r="C47" s="77" t="s">
        <v>126</v>
      </c>
    </row>
    <row r="48" spans="1:3" ht="15" customHeight="1">
      <c r="A48" s="77" t="s">
        <v>127</v>
      </c>
      <c r="B48" s="77">
        <v>47</v>
      </c>
      <c r="C48" s="77" t="s">
        <v>128</v>
      </c>
    </row>
    <row r="49" spans="1:3" ht="15" customHeight="1">
      <c r="A49" s="77" t="s">
        <v>129</v>
      </c>
      <c r="B49" s="77">
        <v>48</v>
      </c>
      <c r="C49" s="77" t="s">
        <v>130</v>
      </c>
    </row>
    <row r="50" spans="1:3" ht="15" customHeight="1">
      <c r="A50" s="77" t="s">
        <v>27</v>
      </c>
      <c r="B50" s="77">
        <v>100</v>
      </c>
      <c r="C50" s="77"/>
    </row>
    <row r="51" spans="1:3" ht="15" customHeight="1">
      <c r="A51" s="79" t="s">
        <v>191</v>
      </c>
      <c r="B51" s="77">
        <v>101</v>
      </c>
      <c r="C51" s="77"/>
    </row>
    <row r="52" spans="1:3" ht="15" customHeight="1">
      <c r="A52" s="77" t="s">
        <v>28</v>
      </c>
      <c r="B52" s="77">
        <v>102</v>
      </c>
      <c r="C52" s="77"/>
    </row>
    <row r="53" spans="1:3" ht="15" customHeight="1">
      <c r="A53" s="77" t="s">
        <v>29</v>
      </c>
      <c r="B53" s="77">
        <v>103</v>
      </c>
      <c r="C53" s="77"/>
    </row>
    <row r="54" spans="1:3" ht="15" customHeight="1">
      <c r="A54" s="77" t="s">
        <v>134</v>
      </c>
      <c r="B54" s="77">
        <v>104</v>
      </c>
      <c r="C54" s="77"/>
    </row>
    <row r="55" spans="1:3" ht="15" customHeight="1">
      <c r="A55" s="77" t="s">
        <v>131</v>
      </c>
      <c r="B55" s="77">
        <v>105</v>
      </c>
      <c r="C55" s="77"/>
    </row>
    <row r="56" spans="1:3" ht="15" customHeight="1">
      <c r="A56" s="77" t="s">
        <v>16</v>
      </c>
      <c r="B56" s="77">
        <v>106</v>
      </c>
      <c r="C56" s="77"/>
    </row>
    <row r="57" spans="1:3" ht="15" customHeight="1">
      <c r="A57" s="77" t="s">
        <v>18</v>
      </c>
      <c r="B57" s="77">
        <v>107</v>
      </c>
      <c r="C57" s="77"/>
    </row>
    <row r="58" spans="1:3" ht="15" customHeight="1">
      <c r="A58" s="77" t="s">
        <v>30</v>
      </c>
      <c r="B58" s="77">
        <v>108</v>
      </c>
      <c r="C58" s="77"/>
    </row>
    <row r="59" spans="1:3" ht="15" customHeight="1">
      <c r="A59" s="77" t="s">
        <v>17</v>
      </c>
      <c r="B59" s="77">
        <v>109</v>
      </c>
      <c r="C59" s="77"/>
    </row>
    <row r="60" spans="1:3" ht="15" customHeight="1">
      <c r="A60" s="77"/>
      <c r="B60" s="77"/>
      <c r="C60" s="77"/>
    </row>
    <row r="61" spans="1:3" ht="15" customHeight="1">
      <c r="A61" s="77"/>
      <c r="B61" s="77"/>
      <c r="C61" s="77"/>
    </row>
    <row r="62" spans="1:3" ht="15" customHeight="1">
      <c r="A62" s="77"/>
      <c r="B62" s="77"/>
      <c r="C62" s="77"/>
    </row>
    <row r="63" spans="1:3" ht="15" customHeight="1">
      <c r="A63" s="77" t="s">
        <v>19</v>
      </c>
      <c r="B63" s="77">
        <v>113</v>
      </c>
      <c r="C63" s="77"/>
    </row>
    <row r="64" spans="1:3" ht="15" customHeight="1">
      <c r="A64" s="77"/>
      <c r="B64" s="77"/>
      <c r="C64" s="77"/>
    </row>
    <row r="65" spans="1:3" ht="15" customHeight="1">
      <c r="A65" s="77" t="s">
        <v>31</v>
      </c>
      <c r="B65" s="77">
        <v>115</v>
      </c>
      <c r="C65" s="77"/>
    </row>
    <row r="66" spans="1:3" ht="15" customHeight="1">
      <c r="A66" s="77" t="s">
        <v>23</v>
      </c>
      <c r="B66" s="77">
        <v>116</v>
      </c>
      <c r="C66" s="77"/>
    </row>
    <row r="67" spans="1:3" ht="15" customHeight="1">
      <c r="A67" s="77" t="s">
        <v>24</v>
      </c>
      <c r="B67" s="77">
        <v>117</v>
      </c>
      <c r="C67" s="77"/>
    </row>
    <row r="68" spans="1:3" ht="15" customHeight="1">
      <c r="A68" s="77" t="s">
        <v>25</v>
      </c>
      <c r="B68" s="77">
        <v>118</v>
      </c>
      <c r="C68" s="77"/>
    </row>
    <row r="69" spans="1:3" ht="15" customHeight="1">
      <c r="A69" s="77" t="s">
        <v>192</v>
      </c>
      <c r="B69" s="77">
        <v>119</v>
      </c>
      <c r="C69" s="77"/>
    </row>
    <row r="70" spans="1:3" ht="15" customHeight="1">
      <c r="A70" s="77" t="s">
        <v>193</v>
      </c>
      <c r="B70" s="77">
        <v>120</v>
      </c>
      <c r="C70" s="77"/>
    </row>
    <row r="71" spans="1:3" ht="15" customHeight="1">
      <c r="A71" s="77" t="s">
        <v>20</v>
      </c>
      <c r="B71" s="77">
        <v>121</v>
      </c>
      <c r="C71" s="77"/>
    </row>
    <row r="72" spans="1:3" ht="15" customHeight="1">
      <c r="A72" s="77" t="s">
        <v>26</v>
      </c>
      <c r="B72" s="77">
        <v>122</v>
      </c>
      <c r="C72" s="77"/>
    </row>
    <row r="73" spans="1:3" ht="15" customHeight="1">
      <c r="A73" s="77" t="s">
        <v>33</v>
      </c>
      <c r="B73" s="77">
        <v>123</v>
      </c>
      <c r="C73" s="77"/>
    </row>
    <row r="74" spans="1:3" ht="15" customHeight="1">
      <c r="A74" s="77" t="s">
        <v>32</v>
      </c>
      <c r="B74" s="77">
        <v>124</v>
      </c>
      <c r="C74" s="77"/>
    </row>
    <row r="75" spans="1:3" ht="15" customHeight="1">
      <c r="A75" s="77" t="s">
        <v>21</v>
      </c>
      <c r="B75" s="77">
        <v>125</v>
      </c>
      <c r="C75" s="77"/>
    </row>
    <row r="76" spans="1:3" ht="15" customHeight="1">
      <c r="A76" s="77" t="s">
        <v>132</v>
      </c>
      <c r="B76" s="77">
        <v>126</v>
      </c>
      <c r="C76" s="77"/>
    </row>
    <row r="77" spans="1:3" ht="15" customHeight="1">
      <c r="A77" s="77" t="s">
        <v>22</v>
      </c>
      <c r="B77" s="77">
        <v>127</v>
      </c>
      <c r="C77" s="77"/>
    </row>
    <row r="78" spans="1:3" ht="15" customHeight="1">
      <c r="A78" s="77" t="s">
        <v>34</v>
      </c>
      <c r="B78" s="77">
        <v>128</v>
      </c>
      <c r="C78" s="77"/>
    </row>
    <row r="79" spans="1:3" s="82" customFormat="1" ht="15" customHeight="1">
      <c r="A79" s="80"/>
      <c r="B79" s="81">
        <v>129</v>
      </c>
      <c r="C79" s="81"/>
    </row>
    <row r="80" spans="1:3" s="82" customFormat="1" ht="15" customHeight="1">
      <c r="A80" s="80"/>
      <c r="B80" s="81">
        <v>130</v>
      </c>
      <c r="C80" s="81"/>
    </row>
    <row r="81" spans="1:3" s="82" customFormat="1" ht="15" customHeight="1">
      <c r="A81" s="80"/>
      <c r="B81" s="81">
        <v>131</v>
      </c>
      <c r="C81" s="81"/>
    </row>
    <row r="82" spans="1:3" s="82" customFormat="1" ht="15" customHeight="1">
      <c r="A82" s="75"/>
      <c r="B82" s="81">
        <v>132</v>
      </c>
      <c r="C82" s="81"/>
    </row>
    <row r="83" spans="1:3" s="82" customFormat="1" ht="15" customHeight="1">
      <c r="A83" s="75"/>
      <c r="B83" s="81">
        <v>133</v>
      </c>
      <c r="C83" s="81"/>
    </row>
    <row r="84" spans="1:3" s="82" customFormat="1" ht="15" customHeight="1">
      <c r="A84" s="80"/>
      <c r="B84" s="81">
        <v>134</v>
      </c>
      <c r="C84" s="81"/>
    </row>
    <row r="85" spans="1:3" s="82" customFormat="1" ht="15" customHeight="1">
      <c r="A85" s="75"/>
      <c r="B85" s="81"/>
      <c r="C85" s="81"/>
    </row>
    <row r="86" spans="1:3" s="82" customFormat="1" ht="15" customHeight="1">
      <c r="A86" s="75"/>
      <c r="B86" s="81"/>
      <c r="C86" s="81"/>
    </row>
    <row r="87" spans="1:3" s="82" customFormat="1" ht="15" customHeight="1">
      <c r="A87" s="75"/>
      <c r="B87" s="81"/>
      <c r="C87" s="81"/>
    </row>
    <row r="88" spans="1:3" s="82" customFormat="1" ht="15" customHeight="1">
      <c r="A88" s="75"/>
      <c r="B88" s="81"/>
      <c r="C88" s="81"/>
    </row>
    <row r="89" spans="1:3" s="82" customFormat="1" ht="15" customHeight="1">
      <c r="A89" s="81"/>
      <c r="B89" s="81"/>
      <c r="C89" s="81"/>
    </row>
    <row r="90" spans="1:3" s="82" customFormat="1" ht="15" customHeight="1">
      <c r="A90" s="81"/>
      <c r="B90" s="81"/>
      <c r="C90" s="81"/>
    </row>
  </sheetData>
  <phoneticPr fontId="4"/>
  <pageMargins left="0.78740157480314965" right="0.59055118110236227" top="0.78740157480314965" bottom="0.78740157480314965" header="0.51181102362204722" footer="0.51181102362204722"/>
  <pageSetup paperSize="13" orientation="landscape"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indexed="10"/>
  </sheetPr>
  <dimension ref="A1:L65"/>
  <sheetViews>
    <sheetView showGridLines="0" showRowColHeaders="0" workbookViewId="0"/>
  </sheetViews>
  <sheetFormatPr defaultRowHeight="13.5"/>
  <cols>
    <col min="4" max="4" width="12.875" customWidth="1"/>
  </cols>
  <sheetData>
    <row r="1" spans="1:9" ht="14.25">
      <c r="A1" s="61" t="s">
        <v>556</v>
      </c>
      <c r="F1" t="s">
        <v>676</v>
      </c>
    </row>
    <row r="3" spans="1:9">
      <c r="A3" t="s">
        <v>304</v>
      </c>
    </row>
    <row r="5" spans="1:9">
      <c r="C5" s="52" t="s">
        <v>305</v>
      </c>
    </row>
    <row r="6" spans="1:9" ht="18.75">
      <c r="A6" s="28" t="s">
        <v>235</v>
      </c>
      <c r="C6" s="30" t="s">
        <v>0</v>
      </c>
      <c r="D6" s="30"/>
      <c r="E6" s="30"/>
      <c r="F6" s="30"/>
      <c r="G6" s="30"/>
      <c r="H6" s="30"/>
      <c r="I6" s="30"/>
    </row>
    <row r="7" spans="1:9" ht="13.5" customHeight="1">
      <c r="A7" s="28"/>
      <c r="C7" s="30" t="s">
        <v>296</v>
      </c>
      <c r="D7" s="30"/>
      <c r="E7" s="30"/>
      <c r="F7" s="30"/>
      <c r="G7" s="30"/>
      <c r="H7" s="30"/>
      <c r="I7" s="30"/>
    </row>
    <row r="8" spans="1:9" ht="13.5" customHeight="1">
      <c r="A8" s="28"/>
      <c r="C8" t="s">
        <v>306</v>
      </c>
    </row>
    <row r="9" spans="1:9">
      <c r="C9" t="s">
        <v>297</v>
      </c>
    </row>
    <row r="10" spans="1:9">
      <c r="C10" t="s">
        <v>1</v>
      </c>
    </row>
    <row r="11" spans="1:9">
      <c r="C11" t="s">
        <v>307</v>
      </c>
    </row>
    <row r="12" spans="1:9">
      <c r="C12" t="s">
        <v>2</v>
      </c>
    </row>
    <row r="15" spans="1:9">
      <c r="C15" t="s">
        <v>169</v>
      </c>
      <c r="D15" t="s">
        <v>459</v>
      </c>
    </row>
    <row r="18" spans="1:12">
      <c r="C18" t="s">
        <v>298</v>
      </c>
    </row>
    <row r="19" spans="1:12">
      <c r="C19" t="s">
        <v>299</v>
      </c>
    </row>
    <row r="20" spans="1:12">
      <c r="A20" s="51"/>
      <c r="B20" s="51"/>
      <c r="C20" s="51"/>
      <c r="D20" s="51"/>
      <c r="E20" s="51"/>
      <c r="F20" s="51"/>
      <c r="G20" s="51"/>
      <c r="H20" s="51"/>
      <c r="I20" s="51"/>
      <c r="J20" s="51"/>
      <c r="K20" s="51"/>
      <c r="L20" s="51"/>
    </row>
    <row r="21" spans="1:12" ht="17.25">
      <c r="A21" s="116" t="s">
        <v>227</v>
      </c>
    </row>
    <row r="22" spans="1:12">
      <c r="B22" s="30" t="s">
        <v>388</v>
      </c>
    </row>
    <row r="23" spans="1:12">
      <c r="B23" t="s">
        <v>389</v>
      </c>
    </row>
    <row r="25" spans="1:12" s="111" customFormat="1">
      <c r="A25" s="110"/>
      <c r="B25" s="60" t="s">
        <v>228</v>
      </c>
    </row>
    <row r="26" spans="1:12" s="111" customFormat="1">
      <c r="A26" s="110"/>
      <c r="C26" s="60" t="s">
        <v>229</v>
      </c>
    </row>
    <row r="27" spans="1:12" s="111" customFormat="1">
      <c r="A27" s="110"/>
      <c r="B27" s="60"/>
      <c r="C27" s="30"/>
    </row>
    <row r="28" spans="1:12" s="111" customFormat="1">
      <c r="A28" s="110"/>
      <c r="B28" s="60"/>
    </row>
    <row r="29" spans="1:12" s="111" customFormat="1">
      <c r="A29" s="110"/>
      <c r="B29" s="60"/>
    </row>
    <row r="30" spans="1:12" s="111" customFormat="1">
      <c r="A30" s="110"/>
      <c r="B30" s="60" t="s">
        <v>261</v>
      </c>
    </row>
    <row r="31" spans="1:12" s="111" customFormat="1">
      <c r="A31" s="110"/>
      <c r="B31" s="60" t="s">
        <v>262</v>
      </c>
    </row>
    <row r="32" spans="1:12" s="111" customFormat="1">
      <c r="A32" s="110"/>
      <c r="B32" s="60"/>
      <c r="C32" s="295" t="s">
        <v>254</v>
      </c>
      <c r="D32" s="294"/>
      <c r="E32" s="294"/>
      <c r="F32" s="294"/>
      <c r="G32" s="294"/>
      <c r="H32" s="294"/>
      <c r="I32" s="294"/>
    </row>
    <row r="33" spans="1:12" s="111" customFormat="1">
      <c r="A33" s="110"/>
      <c r="B33" s="60"/>
    </row>
    <row r="34" spans="1:12" s="111" customFormat="1">
      <c r="A34" s="110"/>
      <c r="B34" s="60"/>
      <c r="C34" s="60" t="s">
        <v>230</v>
      </c>
    </row>
    <row r="35" spans="1:12" s="111" customFormat="1">
      <c r="B35" s="109"/>
      <c r="D35" s="60"/>
      <c r="E35" s="60"/>
      <c r="F35" s="60"/>
    </row>
    <row r="36" spans="1:12" s="111" customFormat="1">
      <c r="B36" s="60" t="s">
        <v>255</v>
      </c>
      <c r="C36" s="60"/>
      <c r="D36" s="60"/>
      <c r="E36" s="60"/>
      <c r="F36" s="60"/>
    </row>
    <row r="37" spans="1:12" s="111" customFormat="1">
      <c r="B37" s="60"/>
      <c r="C37" s="60"/>
      <c r="D37" s="60"/>
      <c r="E37" s="60"/>
      <c r="F37" s="60"/>
    </row>
    <row r="38" spans="1:12" s="111" customFormat="1">
      <c r="A38" s="117"/>
      <c r="B38" s="118"/>
      <c r="C38" s="118"/>
      <c r="D38" s="118"/>
      <c r="E38" s="118"/>
      <c r="F38" s="118"/>
      <c r="G38" s="117"/>
      <c r="H38" s="117"/>
      <c r="I38" s="117"/>
      <c r="J38" s="117"/>
      <c r="K38" s="117"/>
      <c r="L38" s="117"/>
    </row>
    <row r="39" spans="1:12" ht="14.25">
      <c r="A39" s="119" t="s">
        <v>149</v>
      </c>
      <c r="G39" s="22"/>
    </row>
    <row r="40" spans="1:12" s="110" customFormat="1">
      <c r="B40" s="110" t="s">
        <v>231</v>
      </c>
    </row>
    <row r="41" spans="1:12" s="110" customFormat="1">
      <c r="B41" s="110" t="s">
        <v>300</v>
      </c>
      <c r="C41" s="294"/>
      <c r="D41" s="294"/>
      <c r="E41" s="294"/>
      <c r="F41" s="294"/>
      <c r="G41" s="294"/>
    </row>
    <row r="42" spans="1:12" s="110" customFormat="1">
      <c r="B42" s="110" t="s">
        <v>232</v>
      </c>
    </row>
    <row r="43" spans="1:12" s="110" customFormat="1">
      <c r="B43" s="110" t="s">
        <v>233</v>
      </c>
    </row>
    <row r="44" spans="1:12" s="110" customFormat="1">
      <c r="B44" s="110" t="s">
        <v>234</v>
      </c>
    </row>
    <row r="45" spans="1:12" s="110" customFormat="1"/>
    <row r="46" spans="1:12">
      <c r="C46" t="s">
        <v>151</v>
      </c>
      <c r="D46" s="24"/>
      <c r="E46" t="s">
        <v>256</v>
      </c>
    </row>
    <row r="47" spans="1:12">
      <c r="A47" s="77"/>
      <c r="B47" s="77"/>
      <c r="C47" s="77"/>
      <c r="D47" s="216"/>
      <c r="E47" s="77"/>
      <c r="F47" s="77"/>
      <c r="G47" s="77"/>
      <c r="H47" s="77"/>
      <c r="I47" s="77"/>
      <c r="J47" s="77"/>
      <c r="K47" s="77"/>
      <c r="L47" s="77"/>
    </row>
    <row r="48" spans="1:12">
      <c r="A48" s="51"/>
      <c r="B48" s="51"/>
      <c r="C48" s="51"/>
      <c r="D48" s="217"/>
      <c r="E48" s="51"/>
      <c r="F48" s="51"/>
      <c r="G48" s="51"/>
      <c r="H48" s="51"/>
      <c r="I48" s="51"/>
      <c r="J48" s="51"/>
      <c r="K48" s="51"/>
      <c r="L48" s="51"/>
    </row>
    <row r="49" spans="1:12" s="52" customFormat="1" ht="14.25">
      <c r="A49" s="23" t="s">
        <v>219</v>
      </c>
    </row>
    <row r="50" spans="1:12" s="111" customFormat="1" ht="14.25">
      <c r="A50" s="36"/>
      <c r="C50" s="111" t="s">
        <v>5</v>
      </c>
    </row>
    <row r="51" spans="1:12" s="110" customFormat="1"/>
    <row r="52" spans="1:12">
      <c r="A52" s="51"/>
      <c r="B52" s="51"/>
      <c r="C52" s="51"/>
      <c r="D52" s="51"/>
      <c r="E52" s="51"/>
      <c r="F52" s="51"/>
      <c r="G52" s="51"/>
      <c r="H52" s="51"/>
      <c r="I52" s="51"/>
      <c r="J52" s="51"/>
      <c r="K52" s="51"/>
      <c r="L52" s="51"/>
    </row>
    <row r="53" spans="1:12" ht="17.25">
      <c r="A53" s="54" t="s">
        <v>301</v>
      </c>
    </row>
    <row r="54" spans="1:12">
      <c r="C54" s="52" t="s">
        <v>303</v>
      </c>
    </row>
    <row r="55" spans="1:12">
      <c r="C55" s="52"/>
    </row>
    <row r="56" spans="1:12" ht="18.75">
      <c r="D56" s="114" t="s">
        <v>302</v>
      </c>
    </row>
    <row r="59" spans="1:12">
      <c r="C59" t="s">
        <v>226</v>
      </c>
    </row>
    <row r="61" spans="1:12" ht="18.75">
      <c r="G61" s="113"/>
    </row>
    <row r="62" spans="1:12" ht="18.75">
      <c r="F62" s="113"/>
    </row>
    <row r="63" spans="1:12" ht="18.75">
      <c r="D63" t="s">
        <v>6</v>
      </c>
      <c r="G63" s="113" t="s">
        <v>257</v>
      </c>
    </row>
    <row r="64" spans="1:12" ht="18.75">
      <c r="G64" s="113"/>
    </row>
    <row r="65" spans="1:12" ht="14.25">
      <c r="A65" s="813" t="s">
        <v>258</v>
      </c>
      <c r="B65" s="813"/>
      <c r="C65" s="813"/>
      <c r="D65" s="813"/>
      <c r="E65" s="813"/>
      <c r="F65" s="813"/>
      <c r="G65" s="813"/>
      <c r="H65" s="813"/>
      <c r="I65" s="813"/>
      <c r="J65" s="813"/>
      <c r="K65" s="813"/>
      <c r="L65" s="813"/>
    </row>
  </sheetData>
  <sheetProtection sheet="1" objects="1" scenarios="1"/>
  <mergeCells count="1">
    <mergeCell ref="A65:L65"/>
  </mergeCells>
  <phoneticPr fontId="5"/>
  <pageMargins left="0.78700000000000003" right="0.78700000000000003" top="0.53" bottom="0.64" header="0.51200000000000001" footer="0.51200000000000001"/>
  <pageSetup paperSize="9" scale="70" fitToHeight="2" orientation="portrait"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17" enableFormatConditionsCalculation="0">
    <tabColor indexed="48"/>
  </sheetPr>
  <dimension ref="A1:N61"/>
  <sheetViews>
    <sheetView showGridLines="0" showRowColHeaders="0" workbookViewId="0">
      <selection activeCell="B23" sqref="B23:I23"/>
    </sheetView>
  </sheetViews>
  <sheetFormatPr defaultRowHeight="13.5"/>
  <sheetData>
    <row r="1" spans="1:14">
      <c r="A1" s="136"/>
      <c r="B1" s="136"/>
      <c r="C1" s="136"/>
      <c r="D1" s="136"/>
      <c r="E1" s="136"/>
      <c r="F1" s="136"/>
      <c r="G1" s="136"/>
      <c r="H1" s="136"/>
      <c r="I1" s="136"/>
      <c r="J1" s="136"/>
      <c r="K1" s="112"/>
      <c r="L1" s="112"/>
      <c r="M1" s="112"/>
      <c r="N1" s="112"/>
    </row>
    <row r="2" spans="1:14">
      <c r="A2" s="136"/>
      <c r="B2" s="136"/>
      <c r="C2" s="136"/>
      <c r="D2" s="136"/>
      <c r="E2" s="136"/>
      <c r="F2" s="136"/>
      <c r="G2" s="136"/>
      <c r="H2" s="136"/>
      <c r="I2" s="136"/>
      <c r="J2" s="136"/>
      <c r="K2" s="112"/>
      <c r="L2" s="112"/>
      <c r="M2" s="112"/>
      <c r="N2" s="112"/>
    </row>
    <row r="3" spans="1:14">
      <c r="A3" s="136"/>
      <c r="B3" s="136"/>
      <c r="C3" s="136"/>
      <c r="D3" s="136"/>
      <c r="E3" s="136"/>
      <c r="F3" s="136"/>
      <c r="G3" s="136"/>
      <c r="H3" s="136"/>
      <c r="I3" s="136"/>
      <c r="J3" s="136"/>
      <c r="K3" s="112"/>
      <c r="L3" s="112"/>
      <c r="M3" s="112"/>
      <c r="N3" s="112"/>
    </row>
    <row r="4" spans="1:14">
      <c r="A4" s="136"/>
      <c r="B4" s="137"/>
      <c r="C4" s="814" t="s">
        <v>240</v>
      </c>
      <c r="D4" s="814"/>
      <c r="E4" s="814"/>
      <c r="F4" s="814"/>
      <c r="G4" s="814"/>
      <c r="H4" s="136"/>
      <c r="I4" s="136"/>
      <c r="J4" s="136"/>
      <c r="K4" s="112"/>
      <c r="L4" s="112"/>
      <c r="M4" s="112"/>
      <c r="N4" s="112"/>
    </row>
    <row r="5" spans="1:14">
      <c r="A5" s="136"/>
      <c r="B5" s="136"/>
      <c r="C5" s="136"/>
      <c r="D5" s="136"/>
      <c r="E5" s="136"/>
      <c r="F5" s="136"/>
      <c r="G5" s="136"/>
      <c r="H5" s="136"/>
      <c r="I5" s="136"/>
      <c r="J5" s="136"/>
      <c r="K5" s="112"/>
      <c r="L5" s="112"/>
      <c r="M5" s="112"/>
      <c r="N5" s="112"/>
    </row>
    <row r="6" spans="1:14">
      <c r="A6" s="136"/>
      <c r="B6" s="136"/>
      <c r="C6" s="136"/>
      <c r="D6" s="136"/>
      <c r="E6" s="136"/>
      <c r="F6" s="136"/>
      <c r="G6" s="136"/>
      <c r="H6" s="136"/>
      <c r="I6" s="136"/>
      <c r="J6" s="136"/>
      <c r="K6" s="112"/>
      <c r="L6" s="112"/>
      <c r="M6" s="112"/>
      <c r="N6" s="112"/>
    </row>
    <row r="7" spans="1:14">
      <c r="A7" s="136"/>
      <c r="B7" s="136"/>
      <c r="C7" s="136"/>
      <c r="D7" s="136"/>
      <c r="E7" s="136"/>
      <c r="F7" s="136"/>
      <c r="G7" s="136"/>
      <c r="H7" s="136"/>
      <c r="I7" s="136"/>
      <c r="J7" s="136"/>
      <c r="K7" s="112"/>
      <c r="L7" s="112"/>
      <c r="M7" s="112"/>
      <c r="N7" s="112"/>
    </row>
    <row r="8" spans="1:14">
      <c r="A8" s="136"/>
      <c r="B8" s="136"/>
      <c r="C8" s="136"/>
      <c r="D8" s="136"/>
      <c r="E8" s="136"/>
      <c r="F8" s="136"/>
      <c r="G8" s="136"/>
      <c r="H8" s="136"/>
      <c r="I8" s="136"/>
      <c r="J8" s="136"/>
      <c r="K8" s="112"/>
      <c r="L8" s="112"/>
      <c r="M8" s="112"/>
      <c r="N8" s="112"/>
    </row>
    <row r="9" spans="1:14">
      <c r="A9" s="136"/>
      <c r="B9" s="136"/>
      <c r="C9" s="136"/>
      <c r="D9" s="136"/>
      <c r="E9" s="136"/>
      <c r="F9" s="136"/>
      <c r="G9" s="136"/>
      <c r="H9" s="136"/>
      <c r="I9" s="136"/>
      <c r="J9" s="136"/>
      <c r="K9" s="112"/>
      <c r="L9" s="112"/>
      <c r="M9" s="112"/>
      <c r="N9" s="112"/>
    </row>
    <row r="10" spans="1:14">
      <c r="A10" s="136"/>
      <c r="B10" s="136"/>
      <c r="C10" s="136"/>
      <c r="D10" s="136"/>
      <c r="E10" s="136"/>
      <c r="F10" s="136"/>
      <c r="G10" s="136"/>
      <c r="H10" s="136"/>
      <c r="I10" s="136"/>
      <c r="J10" s="136"/>
      <c r="K10" s="112"/>
      <c r="L10" s="112"/>
      <c r="M10" s="112"/>
      <c r="N10" s="112"/>
    </row>
    <row r="11" spans="1:14">
      <c r="A11" s="136"/>
      <c r="B11" s="136"/>
      <c r="C11" s="136"/>
      <c r="D11" s="136"/>
      <c r="E11" s="136"/>
      <c r="F11" s="136"/>
      <c r="G11" s="136"/>
      <c r="H11" s="136"/>
      <c r="I11" s="136"/>
      <c r="J11" s="136"/>
      <c r="K11" s="112"/>
      <c r="L11" s="112"/>
      <c r="M11" s="112"/>
      <c r="N11" s="112"/>
    </row>
    <row r="12" spans="1:14">
      <c r="A12" s="136"/>
      <c r="B12" s="136"/>
      <c r="C12" s="136"/>
      <c r="D12" s="136"/>
      <c r="E12" s="136"/>
      <c r="F12" s="136"/>
      <c r="G12" s="136"/>
      <c r="H12" s="136"/>
      <c r="I12" s="136"/>
      <c r="J12" s="136"/>
      <c r="K12" s="112"/>
      <c r="L12" s="112"/>
      <c r="M12" s="112"/>
      <c r="N12" s="112"/>
    </row>
    <row r="13" spans="1:14">
      <c r="A13" s="136"/>
      <c r="B13" s="136"/>
      <c r="C13" s="136"/>
      <c r="D13" s="136"/>
      <c r="E13" s="136"/>
      <c r="F13" s="136"/>
      <c r="G13" s="136"/>
      <c r="H13" s="136"/>
      <c r="I13" s="136"/>
      <c r="J13" s="136"/>
      <c r="K13" s="112"/>
      <c r="L13" s="112"/>
      <c r="M13" s="112"/>
      <c r="N13" s="112"/>
    </row>
    <row r="14" spans="1:14">
      <c r="A14" s="594" t="s">
        <v>557</v>
      </c>
      <c r="B14" s="594"/>
      <c r="C14" s="594"/>
      <c r="D14" s="594"/>
      <c r="E14" s="136"/>
      <c r="F14" s="136"/>
      <c r="G14" s="136"/>
      <c r="H14" s="136"/>
      <c r="I14" s="136"/>
      <c r="J14" s="136"/>
      <c r="K14" s="112"/>
      <c r="L14" s="112"/>
      <c r="M14" s="112"/>
      <c r="N14" s="112"/>
    </row>
    <row r="15" spans="1:14">
      <c r="A15" s="594"/>
      <c r="B15" s="594"/>
      <c r="C15" s="594"/>
      <c r="D15" s="594"/>
      <c r="E15" s="136"/>
      <c r="F15" s="136"/>
      <c r="G15" s="136"/>
      <c r="H15" s="136"/>
      <c r="I15" s="136"/>
      <c r="J15" s="136"/>
      <c r="K15" s="112"/>
      <c r="L15" s="112"/>
      <c r="M15" s="112"/>
      <c r="N15" s="112"/>
    </row>
    <row r="16" spans="1:14">
      <c r="A16" s="594"/>
      <c r="B16" s="594"/>
      <c r="C16" s="594"/>
      <c r="D16" s="594"/>
      <c r="E16" s="136"/>
      <c r="F16" s="136"/>
      <c r="G16" s="136"/>
      <c r="H16" s="136"/>
      <c r="I16" s="136"/>
      <c r="J16" s="136"/>
      <c r="K16" s="112"/>
      <c r="L16" s="112"/>
      <c r="M16" s="112"/>
      <c r="N16" s="112"/>
    </row>
    <row r="17" spans="1:14">
      <c r="A17" s="594"/>
      <c r="B17" s="594"/>
      <c r="C17" s="594"/>
      <c r="D17" s="594"/>
      <c r="E17" s="136"/>
      <c r="F17" s="136"/>
      <c r="G17" s="136"/>
      <c r="H17" s="136"/>
      <c r="I17" s="136"/>
      <c r="J17" s="136"/>
      <c r="K17" s="112"/>
      <c r="L17" s="112"/>
      <c r="M17" s="112"/>
      <c r="N17" s="112"/>
    </row>
    <row r="18" spans="1:14">
      <c r="A18" s="594"/>
      <c r="B18" s="136"/>
      <c r="C18" s="136"/>
      <c r="D18" s="136"/>
      <c r="E18" s="136"/>
      <c r="F18" s="136"/>
      <c r="G18" s="136"/>
      <c r="H18" s="136"/>
      <c r="I18" s="136"/>
      <c r="J18" s="136"/>
      <c r="K18" s="112"/>
      <c r="L18" s="112"/>
      <c r="M18" s="112"/>
      <c r="N18" s="112"/>
    </row>
    <row r="19" spans="1:14">
      <c r="A19" s="136"/>
      <c r="B19" s="136"/>
      <c r="C19" s="136"/>
      <c r="D19" s="136"/>
      <c r="E19" s="136"/>
      <c r="F19" s="136"/>
      <c r="G19" s="136"/>
      <c r="H19" s="136"/>
      <c r="I19" s="136"/>
      <c r="J19" s="136"/>
      <c r="K19" s="112"/>
      <c r="L19" s="112"/>
      <c r="M19" s="112"/>
      <c r="N19" s="112"/>
    </row>
    <row r="20" spans="1:14">
      <c r="A20" s="136"/>
      <c r="B20" s="136"/>
      <c r="C20" s="136"/>
      <c r="D20" s="136"/>
      <c r="E20" s="136"/>
      <c r="F20" s="136"/>
      <c r="G20" s="136"/>
      <c r="H20" s="136"/>
      <c r="I20" s="136"/>
      <c r="J20" s="136"/>
      <c r="K20" s="112"/>
      <c r="L20" s="112"/>
      <c r="M20" s="112"/>
      <c r="N20" s="112"/>
    </row>
    <row r="21" spans="1:14">
      <c r="A21" s="136"/>
      <c r="B21" s="136"/>
      <c r="C21" s="136"/>
      <c r="D21" s="136"/>
      <c r="E21" s="136"/>
      <c r="F21" s="136"/>
      <c r="G21" s="136"/>
      <c r="H21" s="136"/>
      <c r="I21" s="136"/>
      <c r="J21" s="136"/>
      <c r="K21" s="112"/>
      <c r="L21" s="112"/>
      <c r="M21" s="112"/>
      <c r="N21" s="112"/>
    </row>
    <row r="22" spans="1:14">
      <c r="A22" s="136"/>
      <c r="B22" s="136"/>
      <c r="C22" s="136"/>
      <c r="D22" s="136"/>
      <c r="E22" s="136"/>
      <c r="F22" s="136"/>
      <c r="G22" s="136"/>
      <c r="H22" s="136"/>
      <c r="I22" s="136"/>
      <c r="J22" s="136"/>
      <c r="K22" s="112"/>
      <c r="L22" s="112"/>
      <c r="M22" s="112"/>
      <c r="N22" s="112"/>
    </row>
    <row r="23" spans="1:14">
      <c r="A23" s="136"/>
      <c r="B23" s="815"/>
      <c r="C23" s="815"/>
      <c r="D23" s="815"/>
      <c r="E23" s="815"/>
      <c r="F23" s="815"/>
      <c r="G23" s="815"/>
      <c r="H23" s="815"/>
      <c r="I23" s="815"/>
      <c r="J23" s="136"/>
      <c r="K23" s="112"/>
      <c r="L23" s="112"/>
      <c r="M23" s="112"/>
      <c r="N23" s="112"/>
    </row>
    <row r="24" spans="1:14">
      <c r="A24" s="112"/>
      <c r="B24" s="112"/>
      <c r="C24" s="112"/>
      <c r="D24" s="112"/>
      <c r="E24" s="112"/>
      <c r="F24" s="112"/>
      <c r="G24" s="112"/>
      <c r="H24" s="112"/>
      <c r="I24" s="112"/>
      <c r="J24" s="112"/>
      <c r="K24" s="112"/>
      <c r="L24" s="112"/>
      <c r="M24" s="112"/>
      <c r="N24" s="112"/>
    </row>
    <row r="25" spans="1:14">
      <c r="A25" s="112"/>
      <c r="B25" s="112"/>
      <c r="C25" s="112"/>
      <c r="D25" s="112"/>
      <c r="E25" s="112"/>
      <c r="F25" s="112"/>
      <c r="G25" s="112"/>
      <c r="H25" s="112"/>
      <c r="I25" s="112"/>
      <c r="J25" s="112"/>
      <c r="K25" s="112"/>
      <c r="L25" s="112"/>
      <c r="M25" s="112"/>
      <c r="N25" s="112"/>
    </row>
    <row r="26" spans="1:14">
      <c r="A26" s="112"/>
      <c r="B26" s="112"/>
      <c r="C26" s="112"/>
      <c r="D26" s="112"/>
      <c r="E26" s="112"/>
      <c r="F26" s="112"/>
      <c r="G26" s="112"/>
      <c r="H26" s="112"/>
      <c r="I26" s="112"/>
      <c r="J26" s="112"/>
      <c r="K26" s="112"/>
      <c r="L26" s="112"/>
      <c r="M26" s="112"/>
      <c r="N26" s="112"/>
    </row>
    <row r="27" spans="1:14">
      <c r="A27" s="112"/>
      <c r="B27" s="112"/>
      <c r="C27" s="112"/>
      <c r="D27" s="112"/>
      <c r="E27" s="112"/>
      <c r="F27" s="112"/>
      <c r="G27" s="112"/>
      <c r="H27" s="112"/>
      <c r="I27" s="112"/>
      <c r="J27" s="112"/>
      <c r="K27" s="112"/>
      <c r="L27" s="112"/>
      <c r="M27" s="112"/>
      <c r="N27" s="112"/>
    </row>
    <row r="28" spans="1:14">
      <c r="A28" s="112"/>
      <c r="B28" s="112"/>
      <c r="C28" s="112"/>
      <c r="D28" s="112"/>
      <c r="E28" s="112"/>
      <c r="F28" s="112"/>
      <c r="G28" s="112"/>
      <c r="H28" s="112"/>
      <c r="I28" s="112"/>
      <c r="J28" s="112"/>
      <c r="K28" s="112"/>
      <c r="L28" s="112"/>
      <c r="M28" s="112"/>
      <c r="N28" s="112"/>
    </row>
    <row r="29" spans="1:14">
      <c r="A29" s="112"/>
      <c r="B29" s="112"/>
      <c r="C29" s="112"/>
      <c r="D29" s="112"/>
      <c r="E29" s="112"/>
      <c r="F29" s="112"/>
      <c r="G29" s="112"/>
      <c r="H29" s="112"/>
      <c r="I29" s="112"/>
      <c r="J29" s="112"/>
      <c r="K29" s="112"/>
      <c r="L29" s="112"/>
      <c r="M29" s="112"/>
      <c r="N29" s="112"/>
    </row>
    <row r="30" spans="1:14">
      <c r="A30" s="112"/>
      <c r="B30" s="112"/>
      <c r="C30" s="112"/>
      <c r="D30" s="112"/>
      <c r="E30" s="112"/>
      <c r="F30" s="112"/>
      <c r="G30" s="112"/>
      <c r="H30" s="112"/>
      <c r="I30" s="112"/>
      <c r="J30" s="112"/>
      <c r="K30" s="112"/>
      <c r="L30" s="112"/>
      <c r="M30" s="112"/>
      <c r="N30" s="112"/>
    </row>
    <row r="31" spans="1:14">
      <c r="A31" s="112"/>
      <c r="B31" s="112"/>
      <c r="C31" s="112"/>
      <c r="D31" s="112"/>
      <c r="E31" s="112"/>
      <c r="F31" s="112"/>
      <c r="G31" s="112"/>
      <c r="H31" s="112"/>
      <c r="I31" s="112"/>
      <c r="J31" s="112"/>
      <c r="K31" s="112"/>
      <c r="L31" s="112"/>
      <c r="M31" s="112"/>
      <c r="N31" s="112"/>
    </row>
    <row r="32" spans="1:14">
      <c r="A32" s="112"/>
      <c r="B32" s="112"/>
      <c r="C32" s="112"/>
      <c r="D32" s="112"/>
      <c r="E32" s="112"/>
      <c r="F32" s="112"/>
      <c r="G32" s="112"/>
      <c r="H32" s="112"/>
      <c r="I32" s="112"/>
      <c r="J32" s="112"/>
      <c r="K32" s="112"/>
      <c r="L32" s="112"/>
      <c r="M32" s="112"/>
      <c r="N32" s="112"/>
    </row>
    <row r="33" spans="1:14">
      <c r="A33" s="112"/>
      <c r="B33" s="112"/>
      <c r="C33" s="112"/>
      <c r="D33" s="112"/>
      <c r="E33" s="112"/>
      <c r="F33" s="112"/>
      <c r="G33" s="112"/>
      <c r="H33" s="112"/>
      <c r="I33" s="112"/>
      <c r="J33" s="112"/>
      <c r="K33" s="112"/>
      <c r="L33" s="112"/>
      <c r="M33" s="112"/>
      <c r="N33" s="112"/>
    </row>
    <row r="34" spans="1:14">
      <c r="A34" s="112"/>
      <c r="B34" s="112"/>
      <c r="C34" s="112"/>
      <c r="D34" s="112"/>
      <c r="E34" s="112"/>
      <c r="F34" s="112"/>
      <c r="G34" s="112"/>
      <c r="H34" s="112"/>
      <c r="I34" s="112"/>
      <c r="J34" s="112"/>
      <c r="K34" s="112"/>
      <c r="L34" s="112"/>
      <c r="M34" s="112"/>
      <c r="N34" s="112"/>
    </row>
    <row r="35" spans="1:14">
      <c r="A35" s="112"/>
      <c r="B35" s="112"/>
      <c r="C35" s="112"/>
      <c r="D35" s="112"/>
      <c r="E35" s="112"/>
      <c r="F35" s="112"/>
      <c r="G35" s="112"/>
      <c r="H35" s="112"/>
      <c r="I35" s="112"/>
      <c r="J35" s="112"/>
      <c r="K35" s="112"/>
      <c r="L35" s="112"/>
      <c r="M35" s="112"/>
      <c r="N35" s="112"/>
    </row>
    <row r="36" spans="1:14">
      <c r="A36" s="112"/>
      <c r="B36" s="112"/>
      <c r="C36" s="112"/>
      <c r="D36" s="112"/>
      <c r="E36" s="112"/>
      <c r="F36" s="112"/>
      <c r="G36" s="112"/>
      <c r="H36" s="112"/>
      <c r="I36" s="112"/>
      <c r="J36" s="112"/>
      <c r="K36" s="112"/>
      <c r="L36" s="112"/>
      <c r="M36" s="112"/>
      <c r="N36" s="112"/>
    </row>
    <row r="37" spans="1:14">
      <c r="A37" s="112"/>
      <c r="B37" s="112"/>
      <c r="C37" s="112"/>
      <c r="D37" s="112"/>
      <c r="E37" s="112"/>
      <c r="F37" s="112"/>
      <c r="G37" s="112"/>
      <c r="H37" s="112"/>
      <c r="I37" s="112"/>
      <c r="J37" s="112"/>
      <c r="K37" s="112"/>
      <c r="L37" s="112"/>
      <c r="M37" s="112"/>
      <c r="N37" s="112"/>
    </row>
    <row r="38" spans="1:14">
      <c r="A38" s="112"/>
      <c r="B38" s="112"/>
      <c r="C38" s="112"/>
      <c r="D38" s="112"/>
      <c r="E38" s="112"/>
      <c r="F38" s="112"/>
      <c r="G38" s="112"/>
      <c r="H38" s="112"/>
      <c r="I38" s="112"/>
      <c r="J38" s="112"/>
      <c r="K38" s="112"/>
      <c r="L38" s="112"/>
      <c r="M38" s="112"/>
      <c r="N38" s="112"/>
    </row>
    <row r="39" spans="1:14">
      <c r="A39" s="112"/>
      <c r="B39" s="112"/>
      <c r="C39" s="112"/>
      <c r="D39" s="112"/>
      <c r="E39" s="112"/>
      <c r="F39" s="112"/>
      <c r="G39" s="112"/>
      <c r="H39" s="112"/>
      <c r="I39" s="112"/>
      <c r="J39" s="112"/>
      <c r="K39" s="112"/>
      <c r="L39" s="112"/>
      <c r="M39" s="112"/>
      <c r="N39" s="112"/>
    </row>
    <row r="40" spans="1:14">
      <c r="A40" s="112"/>
      <c r="B40" s="112"/>
      <c r="C40" s="112"/>
      <c r="D40" s="112"/>
      <c r="E40" s="112"/>
      <c r="F40" s="112"/>
      <c r="G40" s="112"/>
      <c r="H40" s="112"/>
      <c r="I40" s="112"/>
      <c r="J40" s="112"/>
      <c r="K40" s="112"/>
      <c r="L40" s="112"/>
      <c r="M40" s="112"/>
      <c r="N40" s="112"/>
    </row>
    <row r="41" spans="1:14">
      <c r="A41" s="112"/>
      <c r="B41" s="112"/>
      <c r="C41" s="112"/>
      <c r="D41" s="112"/>
      <c r="E41" s="112"/>
      <c r="F41" s="112"/>
      <c r="G41" s="112"/>
      <c r="H41" s="112"/>
      <c r="I41" s="112"/>
      <c r="J41" s="112"/>
      <c r="K41" s="112"/>
      <c r="L41" s="112"/>
      <c r="M41" s="112"/>
      <c r="N41" s="112"/>
    </row>
    <row r="42" spans="1:14">
      <c r="A42" s="112"/>
      <c r="B42" s="112"/>
      <c r="C42" s="112"/>
      <c r="D42" s="112"/>
      <c r="E42" s="112"/>
      <c r="F42" s="112"/>
      <c r="G42" s="112"/>
      <c r="H42" s="112"/>
      <c r="I42" s="112"/>
      <c r="J42" s="112"/>
      <c r="K42" s="112"/>
      <c r="L42" s="112"/>
      <c r="M42" s="112"/>
      <c r="N42" s="112"/>
    </row>
    <row r="43" spans="1:14">
      <c r="A43" s="112"/>
      <c r="B43" s="112"/>
      <c r="C43" s="112"/>
      <c r="D43" s="112"/>
      <c r="E43" s="112"/>
      <c r="F43" s="112"/>
      <c r="G43" s="112"/>
      <c r="H43" s="112"/>
      <c r="I43" s="112"/>
      <c r="J43" s="112"/>
      <c r="K43" s="112"/>
      <c r="L43" s="112"/>
      <c r="M43" s="112"/>
      <c r="N43" s="112"/>
    </row>
    <row r="44" spans="1:14">
      <c r="A44" s="112"/>
      <c r="B44" s="112"/>
      <c r="C44" s="112"/>
      <c r="D44" s="112"/>
      <c r="E44" s="112"/>
      <c r="F44" s="112"/>
      <c r="G44" s="112"/>
      <c r="H44" s="112"/>
      <c r="I44" s="112"/>
      <c r="J44" s="112"/>
      <c r="K44" s="112"/>
      <c r="L44" s="112"/>
      <c r="M44" s="112"/>
      <c r="N44" s="112"/>
    </row>
    <row r="45" spans="1:14">
      <c r="A45" s="112"/>
      <c r="B45" s="112"/>
      <c r="C45" s="112"/>
      <c r="D45" s="112"/>
      <c r="E45" s="112"/>
      <c r="F45" s="112"/>
      <c r="G45" s="112"/>
      <c r="H45" s="112"/>
      <c r="I45" s="112"/>
      <c r="J45" s="112"/>
      <c r="K45" s="112"/>
      <c r="L45" s="112"/>
      <c r="M45" s="112"/>
      <c r="N45" s="112"/>
    </row>
    <row r="46" spans="1:14">
      <c r="A46" s="112"/>
      <c r="B46" s="112"/>
      <c r="C46" s="112"/>
      <c r="D46" s="112"/>
      <c r="E46" s="112"/>
      <c r="F46" s="112"/>
      <c r="G46" s="112"/>
      <c r="H46" s="112"/>
      <c r="I46" s="112"/>
      <c r="J46" s="112"/>
      <c r="K46" s="112"/>
      <c r="L46" s="112"/>
      <c r="M46" s="112"/>
      <c r="N46" s="112"/>
    </row>
    <row r="47" spans="1:14">
      <c r="A47" s="112"/>
      <c r="B47" s="112"/>
      <c r="C47" s="112"/>
      <c r="D47" s="112"/>
      <c r="E47" s="112"/>
      <c r="F47" s="112"/>
      <c r="G47" s="112"/>
      <c r="H47" s="112"/>
      <c r="I47" s="112"/>
      <c r="J47" s="112"/>
      <c r="K47" s="112"/>
      <c r="L47" s="112"/>
      <c r="M47" s="112"/>
      <c r="N47" s="112"/>
    </row>
    <row r="48" spans="1:14">
      <c r="A48" s="112"/>
      <c r="B48" s="112"/>
      <c r="C48" s="112"/>
      <c r="D48" s="112"/>
      <c r="E48" s="112"/>
      <c r="F48" s="112"/>
      <c r="G48" s="112"/>
      <c r="H48" s="112"/>
      <c r="I48" s="112"/>
      <c r="J48" s="112"/>
      <c r="K48" s="112"/>
      <c r="L48" s="112"/>
      <c r="M48" s="112"/>
      <c r="N48" s="112"/>
    </row>
    <row r="49" spans="1:14">
      <c r="A49" s="112"/>
      <c r="B49" s="112"/>
      <c r="C49" s="112"/>
      <c r="D49" s="112"/>
      <c r="E49" s="112"/>
      <c r="F49" s="112"/>
      <c r="G49" s="112"/>
      <c r="H49" s="112"/>
      <c r="I49" s="112"/>
      <c r="J49" s="112"/>
      <c r="K49" s="112"/>
      <c r="L49" s="112"/>
      <c r="M49" s="112"/>
      <c r="N49" s="112"/>
    </row>
    <row r="50" spans="1:14">
      <c r="A50" s="112"/>
      <c r="B50" s="112"/>
      <c r="C50" s="112"/>
      <c r="D50" s="112"/>
      <c r="E50" s="112"/>
      <c r="F50" s="112"/>
      <c r="G50" s="112"/>
      <c r="H50" s="112"/>
      <c r="I50" s="112"/>
      <c r="J50" s="112"/>
      <c r="K50" s="112"/>
      <c r="L50" s="112"/>
      <c r="M50" s="112"/>
      <c r="N50" s="112"/>
    </row>
    <row r="51" spans="1:14">
      <c r="A51" s="112"/>
      <c r="B51" s="112"/>
      <c r="C51" s="112"/>
      <c r="D51" s="112"/>
      <c r="E51" s="112"/>
      <c r="F51" s="112"/>
      <c r="G51" s="112"/>
      <c r="H51" s="112"/>
      <c r="I51" s="112"/>
      <c r="J51" s="112"/>
      <c r="K51" s="112"/>
      <c r="L51" s="112"/>
      <c r="M51" s="112"/>
      <c r="N51" s="112"/>
    </row>
    <row r="52" spans="1:14">
      <c r="A52" s="112"/>
      <c r="B52" s="112"/>
      <c r="C52" s="112"/>
      <c r="D52" s="112"/>
      <c r="E52" s="112"/>
      <c r="F52" s="112"/>
      <c r="G52" s="112"/>
      <c r="H52" s="112"/>
      <c r="I52" s="112"/>
      <c r="J52" s="112"/>
      <c r="K52" s="112"/>
      <c r="L52" s="112"/>
      <c r="M52" s="112"/>
      <c r="N52" s="112"/>
    </row>
    <row r="53" spans="1:14">
      <c r="A53" s="112"/>
      <c r="B53" s="112"/>
      <c r="C53" s="112"/>
      <c r="D53" s="112"/>
      <c r="E53" s="112"/>
      <c r="F53" s="112"/>
      <c r="G53" s="112"/>
      <c r="H53" s="112"/>
      <c r="I53" s="112"/>
      <c r="J53" s="112"/>
      <c r="K53" s="112"/>
      <c r="L53" s="112"/>
      <c r="M53" s="112"/>
      <c r="N53" s="112"/>
    </row>
    <row r="54" spans="1:14">
      <c r="A54" s="112"/>
      <c r="B54" s="112"/>
      <c r="C54" s="112"/>
      <c r="D54" s="112"/>
      <c r="E54" s="112"/>
      <c r="F54" s="112"/>
      <c r="G54" s="112"/>
      <c r="H54" s="112"/>
      <c r="I54" s="112"/>
      <c r="J54" s="112"/>
      <c r="K54" s="112"/>
      <c r="L54" s="112"/>
      <c r="M54" s="112"/>
      <c r="N54" s="112"/>
    </row>
    <row r="55" spans="1:14">
      <c r="A55" s="112"/>
      <c r="B55" s="112"/>
      <c r="C55" s="112"/>
      <c r="D55" s="112"/>
      <c r="E55" s="112"/>
      <c r="F55" s="112"/>
      <c r="G55" s="112"/>
      <c r="H55" s="112"/>
      <c r="I55" s="112"/>
      <c r="J55" s="112"/>
      <c r="K55" s="112"/>
      <c r="L55" s="112"/>
      <c r="M55" s="112"/>
      <c r="N55" s="112"/>
    </row>
    <row r="56" spans="1:14">
      <c r="A56" s="112"/>
      <c r="B56" s="112"/>
      <c r="C56" s="112"/>
      <c r="D56" s="112"/>
      <c r="E56" s="112"/>
      <c r="F56" s="112"/>
      <c r="G56" s="112"/>
      <c r="H56" s="112"/>
      <c r="I56" s="112"/>
      <c r="J56" s="112"/>
      <c r="K56" s="112"/>
      <c r="L56" s="112"/>
      <c r="M56" s="112"/>
      <c r="N56" s="112"/>
    </row>
    <row r="57" spans="1:14">
      <c r="A57" s="112"/>
      <c r="B57" s="112"/>
      <c r="C57" s="112"/>
      <c r="D57" s="112"/>
      <c r="E57" s="112"/>
      <c r="F57" s="112"/>
      <c r="G57" s="112"/>
      <c r="H57" s="112"/>
      <c r="I57" s="112"/>
      <c r="J57" s="112"/>
      <c r="K57" s="112"/>
      <c r="L57" s="112"/>
      <c r="M57" s="112"/>
      <c r="N57" s="112"/>
    </row>
    <row r="58" spans="1:14">
      <c r="A58" s="112"/>
      <c r="B58" s="112"/>
      <c r="C58" s="112"/>
      <c r="D58" s="112"/>
      <c r="E58" s="112"/>
      <c r="F58" s="112"/>
      <c r="G58" s="112"/>
      <c r="H58" s="112"/>
      <c r="I58" s="112"/>
      <c r="J58" s="112"/>
      <c r="K58" s="112"/>
      <c r="L58" s="112"/>
      <c r="M58" s="112"/>
      <c r="N58" s="112"/>
    </row>
    <row r="59" spans="1:14">
      <c r="A59" s="112"/>
      <c r="B59" s="112"/>
      <c r="C59" s="112"/>
      <c r="D59" s="112"/>
      <c r="E59" s="112"/>
      <c r="F59" s="112"/>
      <c r="G59" s="112"/>
      <c r="H59" s="112"/>
      <c r="I59" s="112"/>
      <c r="J59" s="112"/>
      <c r="K59" s="112"/>
      <c r="L59" s="112"/>
      <c r="M59" s="112"/>
      <c r="N59" s="112"/>
    </row>
    <row r="60" spans="1:14">
      <c r="A60" s="112"/>
      <c r="B60" s="112"/>
      <c r="C60" s="112"/>
      <c r="D60" s="112"/>
      <c r="E60" s="112"/>
      <c r="F60" s="112"/>
      <c r="G60" s="112"/>
      <c r="H60" s="112"/>
      <c r="I60" s="112"/>
      <c r="J60" s="112"/>
      <c r="K60" s="112"/>
      <c r="L60" s="112"/>
      <c r="M60" s="112"/>
      <c r="N60" s="112"/>
    </row>
    <row r="61" spans="1:14">
      <c r="A61" s="112"/>
      <c r="B61" s="112"/>
      <c r="C61" s="112"/>
      <c r="D61" s="112"/>
      <c r="E61" s="112"/>
      <c r="F61" s="112"/>
      <c r="G61" s="112"/>
      <c r="H61" s="112"/>
      <c r="I61" s="112"/>
      <c r="J61" s="112"/>
      <c r="K61" s="112"/>
      <c r="L61" s="112"/>
      <c r="M61" s="112"/>
      <c r="N61" s="112"/>
    </row>
  </sheetData>
  <sheetProtection sheet="1" objects="1" scenarios="1"/>
  <mergeCells count="2">
    <mergeCell ref="C4:G4"/>
    <mergeCell ref="B23:I23"/>
  </mergeCells>
  <phoneticPr fontId="5"/>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BR92"/>
  <sheetViews>
    <sheetView showGridLines="0" showZeros="0" workbookViewId="0">
      <pane xSplit="7" ySplit="8" topLeftCell="H9" activePane="bottomRight" state="frozen"/>
      <selection pane="topRight" activeCell="E1" sqref="E1"/>
      <selection pane="bottomLeft" activeCell="A9" sqref="A9"/>
      <selection pane="bottomRight" activeCell="G14" sqref="G14"/>
    </sheetView>
  </sheetViews>
  <sheetFormatPr defaultRowHeight="15" customHeight="1"/>
  <cols>
    <col min="1" max="1" width="4.75" style="250" hidden="1" customWidth="1"/>
    <col min="2" max="2" width="8.75" style="250" hidden="1" customWidth="1"/>
    <col min="3" max="3" width="11" style="250" customWidth="1"/>
    <col min="4" max="4" width="8.75" style="250" customWidth="1"/>
    <col min="5" max="5" width="8.625" style="263" customWidth="1"/>
    <col min="6" max="6" width="7.75" style="263" hidden="1" customWidth="1"/>
    <col min="7" max="7" width="13.75" style="259" customWidth="1"/>
    <col min="8" max="8" width="18.125" style="259" customWidth="1"/>
    <col min="9" max="9" width="5.125" style="257" customWidth="1"/>
    <col min="10" max="10" width="5.625" style="257" customWidth="1"/>
    <col min="11" max="11" width="9.5" style="257" bestFit="1" customWidth="1"/>
    <col min="12" max="12" width="4" style="258" customWidth="1"/>
    <col min="13" max="13" width="4.625" style="259" customWidth="1"/>
    <col min="14" max="14" width="6" style="260" hidden="1" customWidth="1"/>
    <col min="15" max="15" width="2.5" style="261" hidden="1" customWidth="1"/>
    <col min="16" max="16" width="12.625" style="588" customWidth="1"/>
    <col min="17" max="17" width="8" style="250" hidden="1" customWidth="1"/>
    <col min="18" max="18" width="5.375" style="250" hidden="1" customWidth="1"/>
    <col min="19" max="19" width="8.625" style="250" hidden="1" customWidth="1"/>
    <col min="20" max="20" width="8.25" style="250" hidden="1" customWidth="1"/>
    <col min="21" max="21" width="7" style="262" hidden="1" customWidth="1"/>
    <col min="22" max="22" width="9.25" style="250" hidden="1" customWidth="1"/>
    <col min="23" max="23" width="9" style="250" hidden="1" customWidth="1"/>
    <col min="24" max="24" width="10" style="250" hidden="1" customWidth="1"/>
    <col min="25" max="25" width="8.5" style="298" hidden="1" customWidth="1"/>
    <col min="26" max="26" width="8.625" style="298" hidden="1" customWidth="1"/>
    <col min="27" max="27" width="6.375" style="298" hidden="1" customWidth="1"/>
    <col min="28" max="46" width="7.5" style="256" customWidth="1"/>
    <col min="47" max="48" width="7.5" style="548" customWidth="1"/>
    <col min="49" max="49" width="6.375" style="548" customWidth="1"/>
    <col min="50" max="50" width="7.5" style="329" hidden="1" customWidth="1"/>
    <col min="51" max="52" width="9" style="329" hidden="1" customWidth="1"/>
    <col min="53" max="53" width="5.125" style="329" hidden="1" customWidth="1"/>
    <col min="54" max="54" width="9" style="329" hidden="1" customWidth="1"/>
    <col min="55" max="55" width="12.375" style="256" hidden="1" customWidth="1"/>
    <col min="56" max="56" width="9" style="256" hidden="1" customWidth="1"/>
    <col min="57" max="57" width="12.25" style="336" hidden="1" customWidth="1"/>
    <col min="58" max="59" width="3.75" style="250" hidden="1" customWidth="1"/>
    <col min="60" max="60" width="4.5" style="250" hidden="1" customWidth="1"/>
    <col min="61" max="61" width="3.5" style="250" hidden="1" customWidth="1"/>
    <col min="62" max="65" width="8.5" style="250" hidden="1" customWidth="1"/>
    <col min="66" max="66" width="5.5" style="250" hidden="1" customWidth="1"/>
    <col min="67" max="68" width="2.25" style="250" hidden="1" customWidth="1"/>
    <col min="69" max="69" width="3" style="250" hidden="1" customWidth="1"/>
    <col min="70" max="16384" width="9" style="250"/>
  </cols>
  <sheetData>
    <row r="1" spans="1:70" ht="15" customHeight="1">
      <c r="D1" s="766"/>
      <c r="E1" s="767" t="s">
        <v>221</v>
      </c>
      <c r="F1" s="242"/>
      <c r="G1" s="242"/>
      <c r="H1" s="242"/>
      <c r="I1" s="244"/>
      <c r="J1" s="244"/>
      <c r="K1" s="244"/>
      <c r="L1" s="245"/>
      <c r="M1" s="243"/>
      <c r="N1" s="246"/>
      <c r="O1" s="247"/>
      <c r="P1" s="584"/>
      <c r="Q1" s="248"/>
      <c r="R1" s="248"/>
      <c r="S1" s="248"/>
      <c r="T1" s="248"/>
      <c r="U1" s="249"/>
      <c r="V1" s="248"/>
      <c r="W1" s="248"/>
      <c r="X1" s="248"/>
      <c r="Y1" s="297"/>
      <c r="Z1" s="297"/>
      <c r="AA1" s="297"/>
      <c r="AB1" s="255"/>
      <c r="AC1" s="255"/>
      <c r="AD1" s="255"/>
      <c r="AE1" s="255"/>
      <c r="AF1" s="255"/>
      <c r="AG1" s="255"/>
      <c r="AH1" s="255"/>
      <c r="AI1" s="255"/>
      <c r="AJ1" s="255"/>
      <c r="AK1" s="255"/>
      <c r="AL1" s="255"/>
      <c r="AM1" s="255"/>
      <c r="AN1" s="255"/>
      <c r="AO1" s="255"/>
      <c r="AP1" s="255"/>
      <c r="AQ1" s="255"/>
      <c r="AR1" s="255"/>
      <c r="AS1" s="255"/>
      <c r="AT1" s="255"/>
      <c r="AU1" s="543"/>
      <c r="AV1" s="543"/>
      <c r="AW1" s="543"/>
      <c r="AX1" s="325"/>
      <c r="AY1" s="325"/>
      <c r="AZ1" s="325"/>
      <c r="BA1" s="325"/>
      <c r="BB1" s="325"/>
      <c r="BC1" s="255"/>
      <c r="BD1" s="255"/>
      <c r="BE1" s="539"/>
      <c r="BF1" s="248"/>
      <c r="BG1" s="248"/>
    </row>
    <row r="2" spans="1:70" ht="15" customHeight="1">
      <c r="D2" s="766"/>
      <c r="E2" s="766"/>
      <c r="G2" s="508" t="s">
        <v>384</v>
      </c>
      <c r="H2" s="248"/>
      <c r="I2" s="244"/>
      <c r="J2" s="244"/>
      <c r="K2" s="244"/>
      <c r="L2" s="245"/>
      <c r="M2" s="825"/>
      <c r="N2" s="825"/>
      <c r="O2" s="825"/>
      <c r="P2" s="584"/>
      <c r="Q2" s="248"/>
      <c r="R2" s="248"/>
      <c r="S2" s="248"/>
      <c r="T2" s="248"/>
      <c r="U2" s="249"/>
      <c r="V2" s="248"/>
      <c r="W2" s="248"/>
      <c r="X2" s="248"/>
      <c r="Y2" s="297"/>
      <c r="Z2" s="297"/>
      <c r="AA2" s="297"/>
      <c r="AB2" s="255"/>
      <c r="AC2" s="255"/>
      <c r="AD2" s="255"/>
      <c r="AE2" s="255"/>
      <c r="AF2" s="255"/>
      <c r="AG2" s="255"/>
      <c r="AH2" s="255"/>
      <c r="AI2" s="255"/>
      <c r="AJ2" s="255"/>
      <c r="AK2" s="255"/>
      <c r="AL2" s="255"/>
      <c r="AM2" s="255"/>
      <c r="AN2" s="255"/>
      <c r="AO2" s="255"/>
      <c r="AP2" s="255"/>
      <c r="AQ2" s="255"/>
      <c r="AR2" s="255"/>
      <c r="AS2" s="255"/>
      <c r="AT2" s="255"/>
      <c r="AU2" s="543"/>
      <c r="AV2" s="543"/>
      <c r="AW2" s="543"/>
      <c r="AX2" s="325"/>
      <c r="AY2" s="325"/>
      <c r="AZ2" s="325"/>
      <c r="BA2" s="325"/>
      <c r="BB2" s="325"/>
      <c r="BC2" s="255"/>
      <c r="BD2" s="255"/>
      <c r="BE2" s="539"/>
      <c r="BF2" s="248"/>
      <c r="BG2" s="248"/>
    </row>
    <row r="3" spans="1:70" ht="15" customHeight="1">
      <c r="D3" s="766"/>
      <c r="E3" s="766"/>
      <c r="G3" s="509" t="s">
        <v>222</v>
      </c>
      <c r="H3" s="248"/>
      <c r="I3" s="244"/>
      <c r="J3" s="244"/>
      <c r="K3" s="244"/>
      <c r="L3" s="245"/>
      <c r="M3" s="243"/>
      <c r="N3" s="246"/>
      <c r="O3" s="247"/>
      <c r="P3" s="584"/>
      <c r="Q3" s="248"/>
      <c r="R3" s="248"/>
      <c r="S3" s="248"/>
      <c r="T3" s="248"/>
      <c r="U3" s="249"/>
      <c r="V3" s="248"/>
      <c r="W3" s="248"/>
      <c r="X3" s="248"/>
      <c r="Y3" s="297"/>
      <c r="Z3" s="297"/>
      <c r="AA3" s="297"/>
      <c r="AB3" s="255"/>
      <c r="AC3" s="255"/>
      <c r="AD3" s="255"/>
      <c r="AE3" s="255"/>
      <c r="AF3" s="255"/>
      <c r="AG3" s="255"/>
      <c r="AH3" s="255"/>
      <c r="AI3" s="255"/>
      <c r="AJ3" s="255"/>
      <c r="AK3" s="255"/>
      <c r="AL3" s="255"/>
      <c r="AM3" s="255"/>
      <c r="AN3" s="255"/>
      <c r="AO3" s="255"/>
      <c r="AP3" s="255"/>
      <c r="AQ3" s="255"/>
      <c r="AR3" s="255"/>
      <c r="AS3" s="255"/>
      <c r="AT3" s="255"/>
      <c r="AU3" s="543"/>
      <c r="AV3" s="543"/>
      <c r="AW3" s="543"/>
      <c r="AX3" s="325"/>
      <c r="AY3" s="325"/>
      <c r="AZ3" s="325"/>
      <c r="BA3" s="325"/>
      <c r="BB3" s="325"/>
      <c r="BC3" s="255"/>
      <c r="BD3" s="255"/>
      <c r="BE3" s="539"/>
      <c r="BF3" s="248"/>
      <c r="BG3" s="248"/>
    </row>
    <row r="4" spans="1:70" ht="15" customHeight="1" thickBot="1">
      <c r="D4" s="766"/>
      <c r="E4" s="766" t="s">
        <v>485</v>
      </c>
      <c r="F4" s="510"/>
      <c r="G4" s="248"/>
      <c r="H4" s="248"/>
      <c r="I4" s="244"/>
      <c r="J4" s="244"/>
      <c r="K4" s="244"/>
      <c r="L4" s="245"/>
      <c r="M4" s="243"/>
      <c r="N4" s="246"/>
      <c r="O4" s="247"/>
      <c r="P4" s="584"/>
      <c r="Q4" s="248"/>
      <c r="R4" s="248"/>
      <c r="S4" s="248"/>
      <c r="T4" s="248"/>
      <c r="U4" s="249"/>
      <c r="V4" s="248"/>
      <c r="W4" s="248"/>
      <c r="X4" s="248"/>
      <c r="Y4" s="297"/>
      <c r="Z4" s="297"/>
      <c r="AA4" s="297"/>
      <c r="AB4" s="255"/>
      <c r="AC4" s="255"/>
      <c r="AD4" s="255"/>
      <c r="AE4" s="255"/>
      <c r="AF4" s="255"/>
      <c r="AG4" s="255"/>
      <c r="AH4" s="255"/>
      <c r="AI4" s="255"/>
      <c r="AJ4" s="255"/>
      <c r="AK4" s="255"/>
      <c r="AL4" s="255"/>
      <c r="AM4" s="255"/>
      <c r="AN4" s="255"/>
      <c r="AO4" s="255"/>
      <c r="AP4" s="255"/>
      <c r="AQ4" s="255"/>
      <c r="AR4" s="255"/>
      <c r="AS4" s="255"/>
      <c r="AT4" s="255"/>
      <c r="AU4" s="543"/>
      <c r="AV4" s="543"/>
      <c r="AW4" s="543"/>
      <c r="AX4" s="325"/>
      <c r="AY4" s="325"/>
      <c r="AZ4" s="325"/>
      <c r="BA4" s="325"/>
      <c r="BB4" s="325"/>
      <c r="BC4" s="255"/>
      <c r="BD4" s="255"/>
      <c r="BE4" s="539"/>
      <c r="BF4" s="248"/>
      <c r="BG4" s="248"/>
    </row>
    <row r="5" spans="1:70" ht="23.25" customHeight="1" thickBot="1">
      <c r="A5" s="251" t="s">
        <v>383</v>
      </c>
      <c r="B5" s="481"/>
      <c r="C5" s="481"/>
      <c r="D5" s="481"/>
      <c r="E5" s="830"/>
      <c r="F5" s="830"/>
      <c r="G5" s="830"/>
      <c r="H5" s="490" t="s">
        <v>220</v>
      </c>
      <c r="I5" s="831"/>
      <c r="J5" s="832"/>
      <c r="K5" s="832"/>
      <c r="L5" s="832"/>
      <c r="M5" s="832"/>
      <c r="N5" s="246"/>
      <c r="O5" s="248"/>
      <c r="P5" s="584"/>
      <c r="Q5" s="248"/>
      <c r="R5" s="248"/>
      <c r="S5" s="248"/>
      <c r="T5" s="248"/>
      <c r="U5" s="249"/>
      <c r="V5" s="248"/>
      <c r="W5" s="248"/>
      <c r="X5" s="248"/>
      <c r="Y5" s="297"/>
      <c r="Z5" s="297"/>
      <c r="AA5" s="297"/>
      <c r="AB5" s="255"/>
      <c r="AC5" s="255"/>
      <c r="AD5" s="255"/>
      <c r="AE5" s="255"/>
      <c r="AF5" s="255"/>
      <c r="AG5" s="255"/>
      <c r="AH5" s="255"/>
      <c r="AI5" s="255"/>
      <c r="AJ5" s="255"/>
      <c r="AK5" s="255"/>
      <c r="AL5" s="255"/>
      <c r="AM5" s="255"/>
      <c r="AN5" s="255"/>
      <c r="AO5" s="255"/>
      <c r="AP5" s="255"/>
      <c r="AQ5" s="255"/>
      <c r="AR5" s="255"/>
      <c r="AS5" s="255"/>
      <c r="AT5" s="255"/>
      <c r="AU5" s="543"/>
      <c r="AV5" s="543"/>
      <c r="AW5" s="543"/>
      <c r="AX5" s="325"/>
      <c r="AY5" s="325"/>
      <c r="AZ5" s="325"/>
      <c r="BA5" s="325"/>
      <c r="BB5" s="325"/>
      <c r="BC5" s="255"/>
      <c r="BD5" s="255"/>
      <c r="BE5" s="539"/>
      <c r="BF5" s="248"/>
      <c r="BG5" s="248"/>
    </row>
    <row r="6" spans="1:70" ht="15" customHeight="1" thickBot="1">
      <c r="A6" s="248"/>
      <c r="B6" s="248"/>
      <c r="C6" s="248"/>
      <c r="D6" s="248"/>
      <c r="E6" s="691" t="s">
        <v>458</v>
      </c>
      <c r="F6" s="692"/>
      <c r="G6" s="693"/>
      <c r="H6" s="243"/>
      <c r="I6" s="244"/>
      <c r="J6" s="244"/>
      <c r="K6" s="244"/>
      <c r="L6" s="245"/>
      <c r="M6" s="243"/>
      <c r="N6" s="246"/>
      <c r="O6" s="247"/>
      <c r="P6" s="584"/>
      <c r="Q6" s="248"/>
      <c r="R6" s="248"/>
      <c r="S6" s="248"/>
      <c r="T6" s="248"/>
      <c r="U6" s="249"/>
      <c r="V6" s="248"/>
      <c r="W6" s="248"/>
      <c r="X6" s="248"/>
      <c r="Y6" s="297"/>
      <c r="Z6" s="297"/>
      <c r="AA6" s="297"/>
      <c r="AB6" s="255"/>
      <c r="AC6" s="255"/>
      <c r="AD6" s="255"/>
      <c r="AE6" s="255"/>
      <c r="AF6" s="255"/>
      <c r="AG6" s="255"/>
      <c r="AH6" s="255"/>
      <c r="AI6" s="255"/>
      <c r="AJ6" s="255"/>
      <c r="AK6" s="255"/>
      <c r="AL6" s="255"/>
      <c r="AM6" s="255"/>
      <c r="AN6" s="255"/>
      <c r="AO6" s="255"/>
      <c r="AP6" s="255"/>
      <c r="AQ6" s="255"/>
      <c r="AR6" s="255"/>
      <c r="AS6" s="255"/>
      <c r="AT6" s="255"/>
      <c r="AU6" s="543"/>
      <c r="AV6" s="543"/>
      <c r="AW6" s="543"/>
      <c r="AX6" s="325"/>
      <c r="AY6" s="325"/>
      <c r="AZ6" s="325"/>
      <c r="BA6" s="325"/>
      <c r="BB6" s="325"/>
      <c r="BC6" s="255"/>
      <c r="BD6" s="255"/>
      <c r="BE6" s="539"/>
      <c r="BF6" s="248"/>
      <c r="BG6" s="248"/>
    </row>
    <row r="7" spans="1:70" s="254" customFormat="1" ht="15" customHeight="1">
      <c r="A7" s="826"/>
      <c r="B7" s="506" t="s">
        <v>378</v>
      </c>
      <c r="C7" s="845" t="s">
        <v>673</v>
      </c>
      <c r="D7" s="843" t="s">
        <v>559</v>
      </c>
      <c r="E7" s="835" t="s">
        <v>558</v>
      </c>
      <c r="F7" s="833" t="s">
        <v>252</v>
      </c>
      <c r="G7" s="841" t="s">
        <v>295</v>
      </c>
      <c r="H7" s="841" t="s">
        <v>274</v>
      </c>
      <c r="I7" s="820" t="s">
        <v>398</v>
      </c>
      <c r="J7" s="822" t="s">
        <v>12</v>
      </c>
      <c r="K7" s="822" t="s">
        <v>346</v>
      </c>
      <c r="L7" s="822"/>
      <c r="M7" s="824"/>
      <c r="N7" s="341"/>
      <c r="O7" s="341"/>
      <c r="P7" s="837" t="s">
        <v>385</v>
      </c>
      <c r="Q7" s="839" t="s">
        <v>133</v>
      </c>
      <c r="R7" s="818" t="s">
        <v>294</v>
      </c>
      <c r="S7" s="348"/>
      <c r="T7" s="252"/>
      <c r="U7" s="252"/>
      <c r="V7" s="252"/>
      <c r="W7" s="252"/>
      <c r="X7" s="253"/>
      <c r="Y7" s="252"/>
      <c r="Z7" s="252"/>
      <c r="AA7" s="252" t="s">
        <v>273</v>
      </c>
      <c r="AB7" s="544" t="s">
        <v>4</v>
      </c>
      <c r="AC7" s="545"/>
      <c r="AD7" s="545"/>
      <c r="AE7" s="545"/>
      <c r="AF7" s="545"/>
      <c r="AG7" s="545"/>
      <c r="AH7" s="545"/>
      <c r="AI7" s="545"/>
      <c r="AJ7" s="545"/>
      <c r="AK7" s="545"/>
      <c r="AL7" s="545"/>
      <c r="AM7" s="545"/>
      <c r="AN7" s="545"/>
      <c r="AO7" s="545"/>
      <c r="AP7" s="545"/>
      <c r="AQ7" s="545"/>
      <c r="AR7" s="545"/>
      <c r="AS7" s="545"/>
      <c r="AT7" s="545"/>
      <c r="AU7" s="545"/>
      <c r="AV7" s="545"/>
      <c r="AW7" s="546"/>
      <c r="AX7" s="326"/>
      <c r="AY7" s="326"/>
      <c r="AZ7" s="326"/>
      <c r="BA7" s="326"/>
      <c r="BB7" s="326"/>
      <c r="BC7" s="536"/>
      <c r="BD7" s="326"/>
      <c r="BE7" s="326"/>
      <c r="BF7" s="816" t="s">
        <v>336</v>
      </c>
      <c r="BG7" s="817"/>
      <c r="BH7" s="337"/>
    </row>
    <row r="8" spans="1:70" s="256" customFormat="1" ht="15" customHeight="1" thickBot="1">
      <c r="A8" s="827"/>
      <c r="B8" s="488" t="s">
        <v>379</v>
      </c>
      <c r="C8" s="846"/>
      <c r="D8" s="844"/>
      <c r="E8" s="836"/>
      <c r="F8" s="834"/>
      <c r="G8" s="842"/>
      <c r="H8" s="842"/>
      <c r="I8" s="821"/>
      <c r="J8" s="823"/>
      <c r="K8" s="489" t="s">
        <v>347</v>
      </c>
      <c r="L8" s="489" t="s">
        <v>348</v>
      </c>
      <c r="M8" s="507" t="s">
        <v>349</v>
      </c>
      <c r="N8" s="342"/>
      <c r="O8" s="342"/>
      <c r="P8" s="838"/>
      <c r="Q8" s="840"/>
      <c r="R8" s="819"/>
      <c r="S8" s="349"/>
      <c r="T8" s="255"/>
      <c r="U8" s="255"/>
      <c r="V8" s="255"/>
      <c r="W8" s="255"/>
      <c r="X8" s="154"/>
      <c r="Y8" s="255"/>
      <c r="Z8" s="255"/>
      <c r="AA8" s="255" t="s">
        <v>275</v>
      </c>
      <c r="AB8" s="302">
        <v>100</v>
      </c>
      <c r="AC8" s="303">
        <v>200</v>
      </c>
      <c r="AD8" s="303">
        <v>400</v>
      </c>
      <c r="AE8" s="303">
        <v>800</v>
      </c>
      <c r="AF8" s="303">
        <v>1500</v>
      </c>
      <c r="AG8" s="303">
        <v>3000</v>
      </c>
      <c r="AH8" s="303">
        <v>5000</v>
      </c>
      <c r="AI8" s="303">
        <v>10000</v>
      </c>
      <c r="AJ8" s="303" t="s">
        <v>309</v>
      </c>
      <c r="AK8" s="303" t="s">
        <v>326</v>
      </c>
      <c r="AL8" s="303" t="s">
        <v>310</v>
      </c>
      <c r="AM8" s="303" t="s">
        <v>311</v>
      </c>
      <c r="AN8" s="303" t="s">
        <v>312</v>
      </c>
      <c r="AO8" s="303" t="s">
        <v>313</v>
      </c>
      <c r="AP8" s="303" t="s">
        <v>314</v>
      </c>
      <c r="AQ8" s="303" t="s">
        <v>315</v>
      </c>
      <c r="AR8" s="303" t="s">
        <v>316</v>
      </c>
      <c r="AS8" s="303" t="s">
        <v>317</v>
      </c>
      <c r="AT8" s="303" t="s">
        <v>318</v>
      </c>
      <c r="AU8" s="303" t="s">
        <v>319</v>
      </c>
      <c r="AV8" s="339" t="s">
        <v>3</v>
      </c>
      <c r="AW8" s="303" t="s">
        <v>320</v>
      </c>
      <c r="AX8" s="327" t="s">
        <v>321</v>
      </c>
      <c r="AY8" s="330" t="s">
        <v>322</v>
      </c>
      <c r="AZ8" s="332" t="s">
        <v>327</v>
      </c>
      <c r="BA8" s="330" t="s">
        <v>330</v>
      </c>
      <c r="BB8" s="327" t="s">
        <v>323</v>
      </c>
      <c r="BC8" s="537" t="s">
        <v>382</v>
      </c>
      <c r="BD8" s="327" t="s">
        <v>324</v>
      </c>
      <c r="BE8" s="534" t="s">
        <v>325</v>
      </c>
      <c r="BF8" s="303" t="s">
        <v>328</v>
      </c>
      <c r="BG8" s="304" t="s">
        <v>329</v>
      </c>
      <c r="BH8" s="336" t="s">
        <v>340</v>
      </c>
      <c r="BI8" s="100" t="s">
        <v>331</v>
      </c>
      <c r="BJ8" s="100" t="s">
        <v>332</v>
      </c>
      <c r="BK8" s="100" t="s">
        <v>333</v>
      </c>
      <c r="BL8" s="100" t="s">
        <v>334</v>
      </c>
      <c r="BM8" s="100" t="s">
        <v>333</v>
      </c>
      <c r="BN8" s="100"/>
    </row>
    <row r="9" spans="1:70" ht="15" customHeight="1">
      <c r="A9" s="492">
        <v>1</v>
      </c>
      <c r="B9" s="493"/>
      <c r="C9" s="810"/>
      <c r="D9" s="768"/>
      <c r="E9" s="556"/>
      <c r="F9" s="494"/>
      <c r="G9" s="485"/>
      <c r="H9" s="495"/>
      <c r="I9" s="486"/>
      <c r="J9" s="617"/>
      <c r="K9" s="533"/>
      <c r="L9" s="533"/>
      <c r="M9" s="678"/>
      <c r="N9" s="347" t="str">
        <f t="shared" ref="N9:N40" si="0">CONCATENATE(L9,BO9)</f>
        <v>0</v>
      </c>
      <c r="O9" s="496" t="str">
        <f t="shared" ref="O9:O58" si="1">IF(J9="","",IF(J9="男",1,2))</f>
        <v/>
      </c>
      <c r="P9" s="585"/>
      <c r="Q9" s="491" t="str">
        <f>IF(P9="","",VLOOKUP(P9,所属コード!$A$2:$E$200,2,FALSE))</f>
        <v/>
      </c>
      <c r="R9" s="301" t="str">
        <f>IF(P9="","",VLOOKUP(P9,所属コード!$A:$G,7,FALSE))</f>
        <v/>
      </c>
      <c r="S9" s="350"/>
      <c r="T9" s="248"/>
      <c r="U9" s="248"/>
      <c r="V9" s="248"/>
      <c r="W9" s="248"/>
      <c r="X9" t="s">
        <v>568</v>
      </c>
      <c r="Y9" s="828"/>
      <c r="Z9" s="255" t="str">
        <f>ASC(H9)</f>
        <v/>
      </c>
      <c r="AA9" s="255"/>
      <c r="AB9" s="547"/>
      <c r="AC9" s="540"/>
      <c r="AD9" s="540"/>
      <c r="AE9" s="540"/>
      <c r="AF9" s="540"/>
      <c r="AG9" s="540"/>
      <c r="AH9" s="540"/>
      <c r="AI9" s="540"/>
      <c r="AJ9" s="540"/>
      <c r="AK9" s="540"/>
      <c r="AL9" s="540"/>
      <c r="AM9" s="540"/>
      <c r="AN9" s="540"/>
      <c r="AO9" s="540"/>
      <c r="AP9" s="540"/>
      <c r="AQ9" s="540"/>
      <c r="AR9" s="540"/>
      <c r="AS9" s="540"/>
      <c r="AT9" s="540"/>
      <c r="AU9" s="540"/>
      <c r="AV9" s="540"/>
      <c r="AW9" s="540"/>
      <c r="AX9" s="328">
        <f t="shared" ref="AX9:AX40" si="2">AG9</f>
        <v>0</v>
      </c>
      <c r="AY9" s="331">
        <f t="shared" ref="AY9:AY40" si="3">AJ9</f>
        <v>0</v>
      </c>
      <c r="AZ9" s="333">
        <f t="shared" ref="AZ9:AZ40" si="4">AK9</f>
        <v>0</v>
      </c>
      <c r="BA9" s="331">
        <f t="shared" ref="BA9:BA40" si="5">AJ9</f>
        <v>0</v>
      </c>
      <c r="BB9" s="328">
        <f>AT9</f>
        <v>0</v>
      </c>
      <c r="BC9" s="538">
        <f>AT9</f>
        <v>0</v>
      </c>
      <c r="BD9" s="328">
        <f>AU9</f>
        <v>0</v>
      </c>
      <c r="BE9" s="535">
        <f>AV9</f>
        <v>0</v>
      </c>
      <c r="BF9" s="540">
        <f>AP9</f>
        <v>0</v>
      </c>
      <c r="BG9" s="541">
        <f>AP9</f>
        <v>0</v>
      </c>
      <c r="BH9" s="338" t="str">
        <f>TRIM(G9)</f>
        <v/>
      </c>
      <c r="BI9" s="100" t="str">
        <f>IF(BH9="","",LEN(BH9))</f>
        <v/>
      </c>
      <c r="BJ9" s="100" t="str">
        <f>IF(BH9="","",FIND("　",BH9,1))</f>
        <v/>
      </c>
      <c r="BK9" s="100" t="str">
        <f>IF(BH9="","",BI9-BJ9)</f>
        <v/>
      </c>
      <c r="BL9" s="100" t="str">
        <f>IF(BH9="","",LEFT(BH9,BJ9-1))</f>
        <v/>
      </c>
      <c r="BM9" s="100" t="str">
        <f>IF(BH9="","",RIGHT(BH9,BK9))</f>
        <v/>
      </c>
      <c r="BN9" s="100" t="str">
        <f>IF(BH9="","",IF(BI9=4,CONCATENATE(BL9,"　","　",BM9),IF(BI9=6,CONCATENATE(BL9,BM9),BH9)))</f>
        <v/>
      </c>
      <c r="BO9" s="250" t="str">
        <f>IF(L9&lt;10,CONCATENATE("0",L9),L9)</f>
        <v>0</v>
      </c>
      <c r="BP9" s="250" t="str">
        <f>IF(M9&lt;10,CONCATENATE("0",M9),M9)</f>
        <v>0</v>
      </c>
      <c r="BQ9" s="677" t="str">
        <f>CONCATENATE(BO9,BP9)</f>
        <v>00</v>
      </c>
      <c r="BR9" s="335"/>
    </row>
    <row r="10" spans="1:70" ht="15" customHeight="1">
      <c r="A10" s="497">
        <v>2</v>
      </c>
      <c r="B10" s="498"/>
      <c r="C10" s="811"/>
      <c r="D10" s="769"/>
      <c r="E10" s="557"/>
      <c r="F10" s="499"/>
      <c r="G10" s="482"/>
      <c r="H10" s="484"/>
      <c r="I10" s="483"/>
      <c r="J10" s="487"/>
      <c r="K10" s="533"/>
      <c r="L10" s="533"/>
      <c r="M10" s="678"/>
      <c r="N10" s="347" t="str">
        <f t="shared" si="0"/>
        <v>0</v>
      </c>
      <c r="O10" s="500" t="str">
        <f t="shared" si="1"/>
        <v/>
      </c>
      <c r="P10" s="586" t="str">
        <f>IF(G10="","",$P$9)</f>
        <v/>
      </c>
      <c r="Q10" s="491" t="str">
        <f>IF(P10="","",VLOOKUP(P10,所属コード!$A$2:$E$200,2,FALSE))</f>
        <v/>
      </c>
      <c r="R10" s="301" t="str">
        <f>IF(P10="","",VLOOKUP(P10,所属コード!$A:$G,7,FALSE))</f>
        <v/>
      </c>
      <c r="S10" s="350"/>
      <c r="T10" s="248"/>
      <c r="U10" s="248"/>
      <c r="V10" s="248"/>
      <c r="W10" s="248"/>
      <c r="X10" t="s">
        <v>493</v>
      </c>
      <c r="Y10" s="828"/>
      <c r="Z10" s="255" t="str">
        <f t="shared" ref="Z10:Z58" si="6">ASC(H10)</f>
        <v/>
      </c>
      <c r="AA10" s="255"/>
      <c r="AB10" s="547"/>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328">
        <f t="shared" si="2"/>
        <v>0</v>
      </c>
      <c r="AY10" s="331">
        <f t="shared" si="3"/>
        <v>0</v>
      </c>
      <c r="AZ10" s="333">
        <f t="shared" si="4"/>
        <v>0</v>
      </c>
      <c r="BA10" s="331">
        <f t="shared" si="5"/>
        <v>0</v>
      </c>
      <c r="BB10" s="328">
        <f t="shared" ref="BB10:BB41" si="7">AT10</f>
        <v>0</v>
      </c>
      <c r="BC10" s="538">
        <f t="shared" ref="BC10:BC58" si="8">AT10</f>
        <v>0</v>
      </c>
      <c r="BD10" s="328">
        <f t="shared" ref="BD10:BD58" si="9">AU10</f>
        <v>0</v>
      </c>
      <c r="BE10" s="535">
        <f t="shared" ref="BE10:BE41" si="10">AV10</f>
        <v>0</v>
      </c>
      <c r="BF10" s="540">
        <f t="shared" ref="BF10:BF58" si="11">AP10</f>
        <v>0</v>
      </c>
      <c r="BG10" s="541">
        <f t="shared" ref="BG10:BG58" si="12">AP10</f>
        <v>0</v>
      </c>
      <c r="BH10" s="338" t="str">
        <f t="shared" ref="BH10:BH58" si="13">TRIM(G10)</f>
        <v/>
      </c>
      <c r="BI10" s="100" t="str">
        <f t="shared" ref="BI10:BI58" si="14">IF(BH10="","",LEN(BH10))</f>
        <v/>
      </c>
      <c r="BJ10" s="100" t="str">
        <f t="shared" ref="BJ10:BJ58" si="15">IF(BH10="","",FIND("　",BH10,1))</f>
        <v/>
      </c>
      <c r="BK10" s="100" t="str">
        <f t="shared" ref="BK10:BK58" si="16">IF(BH10="","",BI10-BJ10)</f>
        <v/>
      </c>
      <c r="BL10" s="100" t="str">
        <f t="shared" ref="BL10:BL58" si="17">IF(BH10="","",LEFT(BH10,BJ10-1))</f>
        <v/>
      </c>
      <c r="BM10" s="100" t="str">
        <f t="shared" ref="BM10:BM58" si="18">IF(BH10="","",RIGHT(BH10,BK10))</f>
        <v/>
      </c>
      <c r="BN10" s="100" t="str">
        <f t="shared" ref="BN10:BN58" si="19">IF(BH10="","",IF(BI10=4,CONCATENATE(BL10,"　","　",BM10),IF(BI10=6,CONCATENATE(BL10,BM10),BH10)))</f>
        <v/>
      </c>
      <c r="BO10" s="250" t="str">
        <f t="shared" ref="BO10:BO58" si="20">IF(L10&lt;10,CONCATENATE("0",L10),L10)</f>
        <v>0</v>
      </c>
      <c r="BP10" s="250" t="str">
        <f t="shared" ref="BP10:BP58" si="21">IF(M10&lt;10,CONCATENATE("0",M10),M10)</f>
        <v>0</v>
      </c>
      <c r="BQ10" s="677" t="str">
        <f t="shared" ref="BQ10:BQ58" si="22">CONCATENATE(BO10,BP10)</f>
        <v>00</v>
      </c>
      <c r="BR10" s="335"/>
    </row>
    <row r="11" spans="1:70" ht="15" customHeight="1">
      <c r="A11" s="497">
        <v>3</v>
      </c>
      <c r="B11" s="498"/>
      <c r="C11" s="811"/>
      <c r="D11" s="769" t="s">
        <v>224</v>
      </c>
      <c r="E11" s="557"/>
      <c r="F11" s="499"/>
      <c r="G11" s="482"/>
      <c r="H11" s="484"/>
      <c r="I11" s="483"/>
      <c r="J11" s="487"/>
      <c r="K11" s="533"/>
      <c r="L11" s="533"/>
      <c r="M11" s="678"/>
      <c r="N11" s="347" t="str">
        <f t="shared" si="0"/>
        <v>0</v>
      </c>
      <c r="O11" s="500" t="str">
        <f t="shared" si="1"/>
        <v/>
      </c>
      <c r="P11" s="586" t="str">
        <f t="shared" ref="P11:P58" si="23">IF(G11="","",$P$9)</f>
        <v/>
      </c>
      <c r="Q11" s="491" t="str">
        <f>IF(P11="","",VLOOKUP(P11,所属コード!$A$2:$E$200,2,FALSE))</f>
        <v/>
      </c>
      <c r="R11" s="301" t="str">
        <f>IF(P11="","",VLOOKUP(P11,所属コード!$A:$G,7,FALSE))</f>
        <v/>
      </c>
      <c r="S11" s="350"/>
      <c r="T11" s="248"/>
      <c r="U11" s="248"/>
      <c r="V11" s="248"/>
      <c r="W11" s="248"/>
      <c r="X11" t="s">
        <v>569</v>
      </c>
      <c r="Y11" s="828"/>
      <c r="Z11" s="255" t="str">
        <f t="shared" si="6"/>
        <v/>
      </c>
      <c r="AA11" s="248"/>
      <c r="AB11" s="547"/>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328">
        <f t="shared" si="2"/>
        <v>0</v>
      </c>
      <c r="AY11" s="331">
        <f t="shared" si="3"/>
        <v>0</v>
      </c>
      <c r="AZ11" s="333">
        <f t="shared" si="4"/>
        <v>0</v>
      </c>
      <c r="BA11" s="331">
        <f t="shared" si="5"/>
        <v>0</v>
      </c>
      <c r="BB11" s="328">
        <f t="shared" si="7"/>
        <v>0</v>
      </c>
      <c r="BC11" s="538">
        <f t="shared" si="8"/>
        <v>0</v>
      </c>
      <c r="BD11" s="328">
        <f t="shared" si="9"/>
        <v>0</v>
      </c>
      <c r="BE11" s="535">
        <f t="shared" si="10"/>
        <v>0</v>
      </c>
      <c r="BF11" s="540">
        <f t="shared" si="11"/>
        <v>0</v>
      </c>
      <c r="BG11" s="541">
        <f t="shared" si="12"/>
        <v>0</v>
      </c>
      <c r="BH11" s="338" t="str">
        <f t="shared" si="13"/>
        <v/>
      </c>
      <c r="BI11" s="100" t="str">
        <f t="shared" si="14"/>
        <v/>
      </c>
      <c r="BJ11" s="100" t="str">
        <f t="shared" si="15"/>
        <v/>
      </c>
      <c r="BK11" s="100" t="str">
        <f t="shared" si="16"/>
        <v/>
      </c>
      <c r="BL11" s="100" t="str">
        <f t="shared" si="17"/>
        <v/>
      </c>
      <c r="BM11" s="100" t="str">
        <f t="shared" si="18"/>
        <v/>
      </c>
      <c r="BN11" s="100" t="str">
        <f t="shared" si="19"/>
        <v/>
      </c>
      <c r="BO11" s="250" t="str">
        <f t="shared" si="20"/>
        <v>0</v>
      </c>
      <c r="BP11" s="250" t="str">
        <f t="shared" si="21"/>
        <v>0</v>
      </c>
      <c r="BQ11" s="677" t="str">
        <f t="shared" si="22"/>
        <v>00</v>
      </c>
      <c r="BR11" s="335"/>
    </row>
    <row r="12" spans="1:70" s="256" customFormat="1" ht="15" customHeight="1">
      <c r="A12" s="497">
        <v>4</v>
      </c>
      <c r="B12" s="498"/>
      <c r="C12" s="811"/>
      <c r="D12" s="769" t="s">
        <v>224</v>
      </c>
      <c r="E12" s="557"/>
      <c r="F12" s="499"/>
      <c r="G12" s="482"/>
      <c r="H12" s="484"/>
      <c r="I12" s="483"/>
      <c r="J12" s="487"/>
      <c r="K12" s="533"/>
      <c r="L12" s="533"/>
      <c r="M12" s="678"/>
      <c r="N12" s="347" t="str">
        <f t="shared" si="0"/>
        <v>0</v>
      </c>
      <c r="O12" s="500" t="str">
        <f t="shared" si="1"/>
        <v/>
      </c>
      <c r="P12" s="586" t="str">
        <f t="shared" si="23"/>
        <v/>
      </c>
      <c r="Q12" s="491" t="str">
        <f>IF(P12="","",VLOOKUP(P12,所属コード!$A$2:$E$200,2,FALSE))</f>
        <v/>
      </c>
      <c r="R12" s="301" t="str">
        <f>IF(P12="","",VLOOKUP(P12,所属コード!$A:$G,7,FALSE))</f>
        <v/>
      </c>
      <c r="S12" s="350"/>
      <c r="T12" s="255"/>
      <c r="U12" s="255"/>
      <c r="V12" s="255"/>
      <c r="W12" s="255"/>
      <c r="X12" t="s">
        <v>505</v>
      </c>
      <c r="Y12" s="828"/>
      <c r="Z12" s="255" t="str">
        <f t="shared" si="6"/>
        <v/>
      </c>
      <c r="AA12" s="255"/>
      <c r="AB12" s="547"/>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328">
        <f t="shared" si="2"/>
        <v>0</v>
      </c>
      <c r="AY12" s="331">
        <f t="shared" si="3"/>
        <v>0</v>
      </c>
      <c r="AZ12" s="333">
        <f t="shared" si="4"/>
        <v>0</v>
      </c>
      <c r="BA12" s="331">
        <f t="shared" si="5"/>
        <v>0</v>
      </c>
      <c r="BB12" s="328">
        <f t="shared" si="7"/>
        <v>0</v>
      </c>
      <c r="BC12" s="538">
        <f t="shared" si="8"/>
        <v>0</v>
      </c>
      <c r="BD12" s="328">
        <f t="shared" si="9"/>
        <v>0</v>
      </c>
      <c r="BE12" s="535">
        <f t="shared" si="10"/>
        <v>0</v>
      </c>
      <c r="BF12" s="540">
        <f t="shared" si="11"/>
        <v>0</v>
      </c>
      <c r="BG12" s="541">
        <f t="shared" si="12"/>
        <v>0</v>
      </c>
      <c r="BH12" s="338" t="str">
        <f t="shared" si="13"/>
        <v/>
      </c>
      <c r="BI12" s="100" t="str">
        <f t="shared" si="14"/>
        <v/>
      </c>
      <c r="BJ12" s="100" t="str">
        <f t="shared" si="15"/>
        <v/>
      </c>
      <c r="BK12" s="100" t="str">
        <f t="shared" si="16"/>
        <v/>
      </c>
      <c r="BL12" s="100" t="str">
        <f t="shared" si="17"/>
        <v/>
      </c>
      <c r="BM12" s="100" t="str">
        <f t="shared" si="18"/>
        <v/>
      </c>
      <c r="BN12" s="100" t="str">
        <f t="shared" si="19"/>
        <v/>
      </c>
      <c r="BO12" s="250" t="str">
        <f t="shared" si="20"/>
        <v>0</v>
      </c>
      <c r="BP12" s="250" t="str">
        <f t="shared" si="21"/>
        <v>0</v>
      </c>
      <c r="BQ12" s="677" t="str">
        <f t="shared" si="22"/>
        <v>00</v>
      </c>
      <c r="BR12" s="335"/>
    </row>
    <row r="13" spans="1:70" s="256" customFormat="1" ht="15" customHeight="1">
      <c r="A13" s="497">
        <v>5</v>
      </c>
      <c r="B13" s="498"/>
      <c r="C13" s="811"/>
      <c r="D13" s="769" t="s">
        <v>224</v>
      </c>
      <c r="E13" s="557"/>
      <c r="F13" s="499"/>
      <c r="G13" s="482"/>
      <c r="H13" s="484"/>
      <c r="I13" s="483"/>
      <c r="J13" s="487"/>
      <c r="K13" s="533"/>
      <c r="L13" s="533"/>
      <c r="M13" s="678"/>
      <c r="N13" s="347" t="str">
        <f t="shared" si="0"/>
        <v>0</v>
      </c>
      <c r="O13" s="500" t="str">
        <f t="shared" si="1"/>
        <v/>
      </c>
      <c r="P13" s="586" t="str">
        <f t="shared" si="23"/>
        <v/>
      </c>
      <c r="Q13" s="491" t="str">
        <f>IF(P13="","",VLOOKUP(P13,所属コード!$A$2:$E$200,2,FALSE))</f>
        <v/>
      </c>
      <c r="R13" s="301" t="str">
        <f>IF(P13="","",VLOOKUP(P13,所属コード!$A:$G,7,FALSE))</f>
        <v/>
      </c>
      <c r="S13" s="350"/>
      <c r="T13" s="255"/>
      <c r="U13" s="255"/>
      <c r="V13" s="255"/>
      <c r="W13" s="255"/>
      <c r="X13" t="s">
        <v>516</v>
      </c>
      <c r="Y13" s="828"/>
      <c r="Z13" s="255" t="str">
        <f t="shared" si="6"/>
        <v/>
      </c>
      <c r="AA13" s="255"/>
      <c r="AB13" s="547"/>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328">
        <f t="shared" si="2"/>
        <v>0</v>
      </c>
      <c r="AY13" s="331">
        <f t="shared" si="3"/>
        <v>0</v>
      </c>
      <c r="AZ13" s="333">
        <f t="shared" si="4"/>
        <v>0</v>
      </c>
      <c r="BA13" s="331">
        <f t="shared" si="5"/>
        <v>0</v>
      </c>
      <c r="BB13" s="328">
        <f t="shared" si="7"/>
        <v>0</v>
      </c>
      <c r="BC13" s="538">
        <f t="shared" si="8"/>
        <v>0</v>
      </c>
      <c r="BD13" s="328">
        <f t="shared" si="9"/>
        <v>0</v>
      </c>
      <c r="BE13" s="535">
        <f t="shared" si="10"/>
        <v>0</v>
      </c>
      <c r="BF13" s="540">
        <f t="shared" si="11"/>
        <v>0</v>
      </c>
      <c r="BG13" s="541">
        <f t="shared" si="12"/>
        <v>0</v>
      </c>
      <c r="BH13" s="338" t="str">
        <f t="shared" si="13"/>
        <v/>
      </c>
      <c r="BI13" s="100" t="str">
        <f t="shared" si="14"/>
        <v/>
      </c>
      <c r="BJ13" s="100" t="str">
        <f t="shared" si="15"/>
        <v/>
      </c>
      <c r="BK13" s="100" t="str">
        <f t="shared" si="16"/>
        <v/>
      </c>
      <c r="BL13" s="100" t="str">
        <f t="shared" si="17"/>
        <v/>
      </c>
      <c r="BM13" s="100" t="str">
        <f t="shared" si="18"/>
        <v/>
      </c>
      <c r="BN13" s="100" t="str">
        <f t="shared" si="19"/>
        <v/>
      </c>
      <c r="BO13" s="250" t="str">
        <f t="shared" si="20"/>
        <v>0</v>
      </c>
      <c r="BP13" s="250" t="str">
        <f t="shared" si="21"/>
        <v>0</v>
      </c>
      <c r="BQ13" s="677" t="str">
        <f t="shared" si="22"/>
        <v>00</v>
      </c>
      <c r="BR13" s="335"/>
    </row>
    <row r="14" spans="1:70" s="256" customFormat="1" ht="15" customHeight="1">
      <c r="A14" s="497">
        <v>6</v>
      </c>
      <c r="B14" s="498"/>
      <c r="C14" s="811"/>
      <c r="D14" s="769" t="s">
        <v>224</v>
      </c>
      <c r="E14" s="557"/>
      <c r="F14" s="499"/>
      <c r="G14" s="482"/>
      <c r="H14" s="484"/>
      <c r="I14" s="483"/>
      <c r="J14" s="487"/>
      <c r="K14" s="533"/>
      <c r="L14" s="533"/>
      <c r="M14" s="678"/>
      <c r="N14" s="347" t="str">
        <f t="shared" si="0"/>
        <v>0</v>
      </c>
      <c r="O14" s="500" t="str">
        <f t="shared" si="1"/>
        <v/>
      </c>
      <c r="P14" s="586" t="str">
        <f t="shared" si="23"/>
        <v/>
      </c>
      <c r="Q14" s="491" t="str">
        <f>IF(P14="","",VLOOKUP(P14,所属コード!$A$2:$E$200,2,FALSE))</f>
        <v/>
      </c>
      <c r="R14" s="301" t="str">
        <f>IF(P14="","",VLOOKUP(P14,所属コード!$A:$G,7,FALSE))</f>
        <v/>
      </c>
      <c r="S14" s="350"/>
      <c r="T14" s="255"/>
      <c r="U14" s="255"/>
      <c r="V14" s="255"/>
      <c r="W14" s="255"/>
      <c r="X14" t="s">
        <v>501</v>
      </c>
      <c r="Y14" s="828"/>
      <c r="Z14" s="255" t="str">
        <f t="shared" si="6"/>
        <v/>
      </c>
      <c r="AA14" s="255"/>
      <c r="AB14" s="547"/>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328">
        <f t="shared" si="2"/>
        <v>0</v>
      </c>
      <c r="AY14" s="331">
        <f t="shared" si="3"/>
        <v>0</v>
      </c>
      <c r="AZ14" s="333">
        <f t="shared" si="4"/>
        <v>0</v>
      </c>
      <c r="BA14" s="331">
        <f t="shared" si="5"/>
        <v>0</v>
      </c>
      <c r="BB14" s="328">
        <f t="shared" si="7"/>
        <v>0</v>
      </c>
      <c r="BC14" s="538">
        <f t="shared" si="8"/>
        <v>0</v>
      </c>
      <c r="BD14" s="328">
        <f t="shared" si="9"/>
        <v>0</v>
      </c>
      <c r="BE14" s="535">
        <f t="shared" si="10"/>
        <v>0</v>
      </c>
      <c r="BF14" s="540">
        <f t="shared" si="11"/>
        <v>0</v>
      </c>
      <c r="BG14" s="541">
        <f t="shared" si="12"/>
        <v>0</v>
      </c>
      <c r="BH14" s="338" t="str">
        <f t="shared" si="13"/>
        <v/>
      </c>
      <c r="BI14" s="100" t="str">
        <f t="shared" si="14"/>
        <v/>
      </c>
      <c r="BJ14" s="100" t="str">
        <f t="shared" si="15"/>
        <v/>
      </c>
      <c r="BK14" s="100" t="str">
        <f t="shared" si="16"/>
        <v/>
      </c>
      <c r="BL14" s="100" t="str">
        <f t="shared" si="17"/>
        <v/>
      </c>
      <c r="BM14" s="100" t="str">
        <f t="shared" si="18"/>
        <v/>
      </c>
      <c r="BN14" s="100" t="str">
        <f t="shared" si="19"/>
        <v/>
      </c>
      <c r="BO14" s="250" t="str">
        <f t="shared" si="20"/>
        <v>0</v>
      </c>
      <c r="BP14" s="250" t="str">
        <f t="shared" si="21"/>
        <v>0</v>
      </c>
      <c r="BQ14" s="677" t="str">
        <f t="shared" si="22"/>
        <v>00</v>
      </c>
      <c r="BR14" s="335"/>
    </row>
    <row r="15" spans="1:70" s="256" customFormat="1" ht="15" customHeight="1">
      <c r="A15" s="497">
        <v>7</v>
      </c>
      <c r="B15" s="498"/>
      <c r="C15" s="811"/>
      <c r="D15" s="769" t="s">
        <v>224</v>
      </c>
      <c r="E15" s="557"/>
      <c r="F15" s="499"/>
      <c r="G15" s="482"/>
      <c r="H15" s="484"/>
      <c r="I15" s="483"/>
      <c r="J15" s="487"/>
      <c r="K15" s="533"/>
      <c r="L15" s="533"/>
      <c r="M15" s="678"/>
      <c r="N15" s="347" t="str">
        <f t="shared" si="0"/>
        <v>0</v>
      </c>
      <c r="O15" s="500" t="str">
        <f t="shared" si="1"/>
        <v/>
      </c>
      <c r="P15" s="586" t="str">
        <f t="shared" si="23"/>
        <v/>
      </c>
      <c r="Q15" s="491" t="str">
        <f>IF(P15="","",VLOOKUP(P15,所属コード!$A$2:$E$200,2,FALSE))</f>
        <v/>
      </c>
      <c r="R15" s="301" t="str">
        <f>IF(P15="","",VLOOKUP(P15,所属コード!$A:$G,7,FALSE))</f>
        <v/>
      </c>
      <c r="S15" s="350"/>
      <c r="T15" s="255"/>
      <c r="U15" s="255"/>
      <c r="V15" s="255"/>
      <c r="W15" s="255"/>
      <c r="X15" t="s">
        <v>502</v>
      </c>
      <c r="Y15" s="828"/>
      <c r="Z15" s="255" t="str">
        <f t="shared" si="6"/>
        <v/>
      </c>
      <c r="AA15" s="255"/>
      <c r="AB15" s="547"/>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328">
        <f t="shared" si="2"/>
        <v>0</v>
      </c>
      <c r="AY15" s="331">
        <f t="shared" si="3"/>
        <v>0</v>
      </c>
      <c r="AZ15" s="333">
        <f t="shared" si="4"/>
        <v>0</v>
      </c>
      <c r="BA15" s="331">
        <f t="shared" si="5"/>
        <v>0</v>
      </c>
      <c r="BB15" s="328">
        <f t="shared" si="7"/>
        <v>0</v>
      </c>
      <c r="BC15" s="538">
        <f t="shared" si="8"/>
        <v>0</v>
      </c>
      <c r="BD15" s="328">
        <f t="shared" si="9"/>
        <v>0</v>
      </c>
      <c r="BE15" s="535">
        <f t="shared" si="10"/>
        <v>0</v>
      </c>
      <c r="BF15" s="540">
        <f t="shared" si="11"/>
        <v>0</v>
      </c>
      <c r="BG15" s="541">
        <f t="shared" si="12"/>
        <v>0</v>
      </c>
      <c r="BH15" s="338" t="str">
        <f t="shared" si="13"/>
        <v/>
      </c>
      <c r="BI15" s="100" t="str">
        <f t="shared" si="14"/>
        <v/>
      </c>
      <c r="BJ15" s="100" t="str">
        <f t="shared" si="15"/>
        <v/>
      </c>
      <c r="BK15" s="100" t="str">
        <f t="shared" si="16"/>
        <v/>
      </c>
      <c r="BL15" s="100" t="str">
        <f t="shared" si="17"/>
        <v/>
      </c>
      <c r="BM15" s="100" t="str">
        <f t="shared" si="18"/>
        <v/>
      </c>
      <c r="BN15" s="100" t="str">
        <f t="shared" si="19"/>
        <v/>
      </c>
      <c r="BO15" s="250" t="str">
        <f t="shared" si="20"/>
        <v>0</v>
      </c>
      <c r="BP15" s="250" t="str">
        <f t="shared" si="21"/>
        <v>0</v>
      </c>
      <c r="BQ15" s="677" t="str">
        <f t="shared" si="22"/>
        <v>00</v>
      </c>
      <c r="BR15" s="335"/>
    </row>
    <row r="16" spans="1:70" ht="15" customHeight="1">
      <c r="A16" s="497">
        <v>8</v>
      </c>
      <c r="B16" s="498"/>
      <c r="C16" s="811"/>
      <c r="D16" s="769" t="s">
        <v>224</v>
      </c>
      <c r="E16" s="557"/>
      <c r="F16" s="499"/>
      <c r="G16" s="482"/>
      <c r="H16" s="484"/>
      <c r="I16" s="483"/>
      <c r="J16" s="487"/>
      <c r="K16" s="533"/>
      <c r="L16" s="533"/>
      <c r="M16" s="678"/>
      <c r="N16" s="347" t="str">
        <f t="shared" si="0"/>
        <v>0</v>
      </c>
      <c r="O16" s="500" t="str">
        <f t="shared" si="1"/>
        <v/>
      </c>
      <c r="P16" s="586" t="str">
        <f t="shared" si="23"/>
        <v/>
      </c>
      <c r="Q16" s="491" t="str">
        <f>IF(P16="","",VLOOKUP(P16,所属コード!$A$2:$E$200,2,FALSE))</f>
        <v/>
      </c>
      <c r="R16" s="301" t="str">
        <f>IF(P16="","",VLOOKUP(P16,所属コード!$A:$G,7,FALSE))</f>
        <v/>
      </c>
      <c r="S16" s="350"/>
      <c r="T16" s="248"/>
      <c r="U16" s="248"/>
      <c r="V16" s="248"/>
      <c r="W16" s="248"/>
      <c r="X16" t="s">
        <v>570</v>
      </c>
      <c r="Y16" s="828"/>
      <c r="Z16" s="255" t="str">
        <f t="shared" si="6"/>
        <v/>
      </c>
      <c r="AA16" s="248"/>
      <c r="AB16" s="547"/>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328">
        <f t="shared" si="2"/>
        <v>0</v>
      </c>
      <c r="AY16" s="331">
        <f t="shared" si="3"/>
        <v>0</v>
      </c>
      <c r="AZ16" s="333">
        <f t="shared" si="4"/>
        <v>0</v>
      </c>
      <c r="BA16" s="331">
        <f t="shared" si="5"/>
        <v>0</v>
      </c>
      <c r="BB16" s="328">
        <f t="shared" si="7"/>
        <v>0</v>
      </c>
      <c r="BC16" s="538">
        <f t="shared" si="8"/>
        <v>0</v>
      </c>
      <c r="BD16" s="328">
        <f t="shared" si="9"/>
        <v>0</v>
      </c>
      <c r="BE16" s="535">
        <f t="shared" si="10"/>
        <v>0</v>
      </c>
      <c r="BF16" s="540">
        <f t="shared" si="11"/>
        <v>0</v>
      </c>
      <c r="BG16" s="541">
        <f t="shared" si="12"/>
        <v>0</v>
      </c>
      <c r="BH16" s="338" t="str">
        <f t="shared" si="13"/>
        <v/>
      </c>
      <c r="BI16" s="100" t="str">
        <f t="shared" si="14"/>
        <v/>
      </c>
      <c r="BJ16" s="100" t="str">
        <f t="shared" si="15"/>
        <v/>
      </c>
      <c r="BK16" s="100" t="str">
        <f t="shared" si="16"/>
        <v/>
      </c>
      <c r="BL16" s="100" t="str">
        <f t="shared" si="17"/>
        <v/>
      </c>
      <c r="BM16" s="100" t="str">
        <f t="shared" si="18"/>
        <v/>
      </c>
      <c r="BN16" s="100" t="str">
        <f t="shared" si="19"/>
        <v/>
      </c>
      <c r="BO16" s="250" t="str">
        <f t="shared" si="20"/>
        <v>0</v>
      </c>
      <c r="BP16" s="250" t="str">
        <f t="shared" si="21"/>
        <v>0</v>
      </c>
      <c r="BQ16" s="677" t="str">
        <f t="shared" si="22"/>
        <v>00</v>
      </c>
      <c r="BR16" s="335"/>
    </row>
    <row r="17" spans="1:70" ht="15" customHeight="1">
      <c r="A17" s="497">
        <v>9</v>
      </c>
      <c r="B17" s="498"/>
      <c r="C17" s="811"/>
      <c r="D17" s="769" t="s">
        <v>224</v>
      </c>
      <c r="E17" s="557"/>
      <c r="F17" s="499"/>
      <c r="G17" s="482"/>
      <c r="H17" s="484"/>
      <c r="I17" s="483"/>
      <c r="J17" s="487"/>
      <c r="K17" s="533"/>
      <c r="L17" s="533"/>
      <c r="M17" s="678"/>
      <c r="N17" s="347" t="str">
        <f t="shared" si="0"/>
        <v>0</v>
      </c>
      <c r="O17" s="500" t="str">
        <f t="shared" si="1"/>
        <v/>
      </c>
      <c r="P17" s="586" t="str">
        <f t="shared" si="23"/>
        <v/>
      </c>
      <c r="Q17" s="491" t="str">
        <f>IF(P17="","",VLOOKUP(P17,所属コード!$A$2:$E$200,2,FALSE))</f>
        <v/>
      </c>
      <c r="R17" s="301" t="str">
        <f>IF(P17="","",VLOOKUP(P17,所属コード!$A:$G,7,FALSE))</f>
        <v/>
      </c>
      <c r="S17" s="350"/>
      <c r="T17" s="248"/>
      <c r="U17" s="248"/>
      <c r="V17" s="248"/>
      <c r="W17" s="248"/>
      <c r="X17" t="s">
        <v>571</v>
      </c>
      <c r="Y17" s="828"/>
      <c r="Z17" s="255" t="str">
        <f t="shared" si="6"/>
        <v/>
      </c>
      <c r="AA17" s="248"/>
      <c r="AB17" s="547"/>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328">
        <f t="shared" si="2"/>
        <v>0</v>
      </c>
      <c r="AY17" s="331">
        <f t="shared" si="3"/>
        <v>0</v>
      </c>
      <c r="AZ17" s="333">
        <f t="shared" si="4"/>
        <v>0</v>
      </c>
      <c r="BA17" s="331">
        <f t="shared" si="5"/>
        <v>0</v>
      </c>
      <c r="BB17" s="328">
        <f t="shared" si="7"/>
        <v>0</v>
      </c>
      <c r="BC17" s="538">
        <f t="shared" si="8"/>
        <v>0</v>
      </c>
      <c r="BD17" s="328">
        <f t="shared" si="9"/>
        <v>0</v>
      </c>
      <c r="BE17" s="535">
        <f t="shared" si="10"/>
        <v>0</v>
      </c>
      <c r="BF17" s="540">
        <f t="shared" si="11"/>
        <v>0</v>
      </c>
      <c r="BG17" s="541">
        <f t="shared" si="12"/>
        <v>0</v>
      </c>
      <c r="BH17" s="338" t="str">
        <f t="shared" si="13"/>
        <v/>
      </c>
      <c r="BI17" s="100" t="str">
        <f t="shared" si="14"/>
        <v/>
      </c>
      <c r="BJ17" s="100" t="str">
        <f t="shared" si="15"/>
        <v/>
      </c>
      <c r="BK17" s="100" t="str">
        <f t="shared" si="16"/>
        <v/>
      </c>
      <c r="BL17" s="100" t="str">
        <f t="shared" si="17"/>
        <v/>
      </c>
      <c r="BM17" s="100" t="str">
        <f t="shared" si="18"/>
        <v/>
      </c>
      <c r="BN17" s="100" t="str">
        <f t="shared" si="19"/>
        <v/>
      </c>
      <c r="BO17" s="250" t="str">
        <f t="shared" si="20"/>
        <v>0</v>
      </c>
      <c r="BP17" s="250" t="str">
        <f t="shared" si="21"/>
        <v>0</v>
      </c>
      <c r="BQ17" s="677" t="str">
        <f t="shared" si="22"/>
        <v>00</v>
      </c>
      <c r="BR17" s="335"/>
    </row>
    <row r="18" spans="1:70" ht="15" customHeight="1">
      <c r="A18" s="497">
        <v>10</v>
      </c>
      <c r="B18" s="498"/>
      <c r="C18" s="811"/>
      <c r="D18" s="769" t="s">
        <v>224</v>
      </c>
      <c r="E18" s="557"/>
      <c r="F18" s="499"/>
      <c r="G18" s="482"/>
      <c r="H18" s="484"/>
      <c r="I18" s="483"/>
      <c r="J18" s="487"/>
      <c r="K18" s="533"/>
      <c r="L18" s="533"/>
      <c r="M18" s="678"/>
      <c r="N18" s="347" t="str">
        <f t="shared" si="0"/>
        <v>0</v>
      </c>
      <c r="O18" s="500" t="str">
        <f t="shared" si="1"/>
        <v/>
      </c>
      <c r="P18" s="586" t="str">
        <f t="shared" si="23"/>
        <v/>
      </c>
      <c r="Q18" s="491" t="str">
        <f>IF(P18="","",VLOOKUP(P18,所属コード!$A$2:$E$200,2,FALSE))</f>
        <v/>
      </c>
      <c r="R18" s="301" t="str">
        <f>IF(P18="","",VLOOKUP(P18,所属コード!$A:$G,7,FALSE))</f>
        <v/>
      </c>
      <c r="S18" s="350"/>
      <c r="T18" s="248"/>
      <c r="U18" s="248"/>
      <c r="V18" s="248"/>
      <c r="W18" s="248"/>
      <c r="X18" t="s">
        <v>513</v>
      </c>
      <c r="Y18" s="828"/>
      <c r="Z18" s="255" t="str">
        <f t="shared" si="6"/>
        <v/>
      </c>
      <c r="AA18" s="248"/>
      <c r="AB18" s="547"/>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328">
        <f t="shared" si="2"/>
        <v>0</v>
      </c>
      <c r="AY18" s="331">
        <f t="shared" si="3"/>
        <v>0</v>
      </c>
      <c r="AZ18" s="333">
        <f t="shared" si="4"/>
        <v>0</v>
      </c>
      <c r="BA18" s="331">
        <f t="shared" si="5"/>
        <v>0</v>
      </c>
      <c r="BB18" s="328">
        <f t="shared" si="7"/>
        <v>0</v>
      </c>
      <c r="BC18" s="538">
        <f t="shared" si="8"/>
        <v>0</v>
      </c>
      <c r="BD18" s="328">
        <f t="shared" si="9"/>
        <v>0</v>
      </c>
      <c r="BE18" s="535">
        <f t="shared" si="10"/>
        <v>0</v>
      </c>
      <c r="BF18" s="540">
        <f t="shared" si="11"/>
        <v>0</v>
      </c>
      <c r="BG18" s="541">
        <f t="shared" si="12"/>
        <v>0</v>
      </c>
      <c r="BH18" s="338" t="str">
        <f t="shared" si="13"/>
        <v/>
      </c>
      <c r="BI18" s="100" t="str">
        <f t="shared" si="14"/>
        <v/>
      </c>
      <c r="BJ18" s="100" t="str">
        <f t="shared" si="15"/>
        <v/>
      </c>
      <c r="BK18" s="100" t="str">
        <f t="shared" si="16"/>
        <v/>
      </c>
      <c r="BL18" s="100" t="str">
        <f t="shared" si="17"/>
        <v/>
      </c>
      <c r="BM18" s="100" t="str">
        <f t="shared" si="18"/>
        <v/>
      </c>
      <c r="BN18" s="100" t="str">
        <f t="shared" si="19"/>
        <v/>
      </c>
      <c r="BO18" s="250" t="str">
        <f t="shared" si="20"/>
        <v>0</v>
      </c>
      <c r="BP18" s="250" t="str">
        <f t="shared" si="21"/>
        <v>0</v>
      </c>
      <c r="BQ18" s="677" t="str">
        <f t="shared" si="22"/>
        <v>00</v>
      </c>
      <c r="BR18" s="335"/>
    </row>
    <row r="19" spans="1:70" ht="15" customHeight="1">
      <c r="A19" s="497">
        <v>11</v>
      </c>
      <c r="B19" s="498"/>
      <c r="C19" s="811"/>
      <c r="D19" s="769" t="s">
        <v>224</v>
      </c>
      <c r="E19" s="557"/>
      <c r="F19" s="499"/>
      <c r="G19" s="482"/>
      <c r="H19" s="484"/>
      <c r="I19" s="483"/>
      <c r="J19" s="487"/>
      <c r="K19" s="533"/>
      <c r="L19" s="533"/>
      <c r="M19" s="678"/>
      <c r="N19" s="347" t="str">
        <f t="shared" si="0"/>
        <v>0</v>
      </c>
      <c r="O19" s="500" t="str">
        <f t="shared" si="1"/>
        <v/>
      </c>
      <c r="P19" s="586" t="str">
        <f t="shared" si="23"/>
        <v/>
      </c>
      <c r="Q19" s="491" t="str">
        <f>IF(P19="","",VLOOKUP(P19,所属コード!$A$2:$E$200,2,FALSE))</f>
        <v/>
      </c>
      <c r="R19" s="301" t="str">
        <f>IF(P19="","",VLOOKUP(P19,所属コード!$A:$G,7,FALSE))</f>
        <v/>
      </c>
      <c r="S19" s="350"/>
      <c r="T19" s="248"/>
      <c r="U19" s="248"/>
      <c r="V19" s="248"/>
      <c r="W19" s="248"/>
      <c r="X19" t="s">
        <v>520</v>
      </c>
      <c r="Y19" s="828"/>
      <c r="Z19" s="255" t="str">
        <f t="shared" si="6"/>
        <v/>
      </c>
      <c r="AA19" s="248"/>
      <c r="AB19" s="547"/>
      <c r="AC19" s="540"/>
      <c r="AD19" s="540"/>
      <c r="AE19" s="540"/>
      <c r="AF19" s="540"/>
      <c r="AG19" s="540"/>
      <c r="AH19" s="540"/>
      <c r="AI19" s="540"/>
      <c r="AJ19" s="540"/>
      <c r="AK19" s="540"/>
      <c r="AL19" s="540"/>
      <c r="AM19" s="540"/>
      <c r="AN19" s="540"/>
      <c r="AO19" s="540"/>
      <c r="AP19" s="540"/>
      <c r="AQ19" s="540"/>
      <c r="AR19" s="540"/>
      <c r="AS19" s="540"/>
      <c r="AT19" s="540"/>
      <c r="AU19" s="540"/>
      <c r="AV19" s="540"/>
      <c r="AW19" s="540"/>
      <c r="AX19" s="328">
        <f t="shared" si="2"/>
        <v>0</v>
      </c>
      <c r="AY19" s="331">
        <f t="shared" si="3"/>
        <v>0</v>
      </c>
      <c r="AZ19" s="333">
        <f t="shared" si="4"/>
        <v>0</v>
      </c>
      <c r="BA19" s="331">
        <f t="shared" si="5"/>
        <v>0</v>
      </c>
      <c r="BB19" s="328">
        <f t="shared" si="7"/>
        <v>0</v>
      </c>
      <c r="BC19" s="538">
        <f t="shared" si="8"/>
        <v>0</v>
      </c>
      <c r="BD19" s="328">
        <f t="shared" si="9"/>
        <v>0</v>
      </c>
      <c r="BE19" s="535">
        <f t="shared" si="10"/>
        <v>0</v>
      </c>
      <c r="BF19" s="540">
        <f t="shared" si="11"/>
        <v>0</v>
      </c>
      <c r="BG19" s="541">
        <f t="shared" si="12"/>
        <v>0</v>
      </c>
      <c r="BH19" s="338" t="str">
        <f t="shared" si="13"/>
        <v/>
      </c>
      <c r="BI19" s="100" t="str">
        <f t="shared" si="14"/>
        <v/>
      </c>
      <c r="BJ19" s="100" t="str">
        <f t="shared" si="15"/>
        <v/>
      </c>
      <c r="BK19" s="100" t="str">
        <f t="shared" si="16"/>
        <v/>
      </c>
      <c r="BL19" s="100" t="str">
        <f t="shared" si="17"/>
        <v/>
      </c>
      <c r="BM19" s="100" t="str">
        <f t="shared" si="18"/>
        <v/>
      </c>
      <c r="BN19" s="100" t="str">
        <f t="shared" si="19"/>
        <v/>
      </c>
      <c r="BO19" s="250" t="str">
        <f t="shared" si="20"/>
        <v>0</v>
      </c>
      <c r="BP19" s="250" t="str">
        <f t="shared" si="21"/>
        <v>0</v>
      </c>
      <c r="BQ19" s="677" t="str">
        <f t="shared" si="22"/>
        <v>00</v>
      </c>
      <c r="BR19" s="335"/>
    </row>
    <row r="20" spans="1:70" s="256" customFormat="1" ht="15" customHeight="1">
      <c r="A20" s="497">
        <v>12</v>
      </c>
      <c r="B20" s="498"/>
      <c r="C20" s="811"/>
      <c r="D20" s="769" t="s">
        <v>224</v>
      </c>
      <c r="E20" s="557"/>
      <c r="F20" s="499"/>
      <c r="G20" s="482"/>
      <c r="H20" s="484"/>
      <c r="I20" s="483"/>
      <c r="J20" s="487"/>
      <c r="K20" s="533"/>
      <c r="L20" s="533"/>
      <c r="M20" s="678"/>
      <c r="N20" s="347" t="str">
        <f t="shared" si="0"/>
        <v>0</v>
      </c>
      <c r="O20" s="500" t="str">
        <f t="shared" si="1"/>
        <v/>
      </c>
      <c r="P20" s="586" t="str">
        <f t="shared" si="23"/>
        <v/>
      </c>
      <c r="Q20" s="491" t="str">
        <f>IF(P20="","",VLOOKUP(P20,所属コード!$A$2:$E$200,2,FALSE))</f>
        <v/>
      </c>
      <c r="R20" s="301" t="str">
        <f>IF(P20="","",VLOOKUP(P20,所属コード!$A:$G,7,FALSE))</f>
        <v/>
      </c>
      <c r="S20" s="350"/>
      <c r="T20" s="255"/>
      <c r="U20" s="255"/>
      <c r="V20" s="255"/>
      <c r="W20" s="255"/>
      <c r="X20" t="s">
        <v>497</v>
      </c>
      <c r="Y20" s="828"/>
      <c r="Z20" s="255" t="str">
        <f t="shared" si="6"/>
        <v/>
      </c>
      <c r="AA20" s="255"/>
      <c r="AB20" s="547"/>
      <c r="AC20" s="540"/>
      <c r="AD20" s="540"/>
      <c r="AE20" s="540"/>
      <c r="AF20" s="540"/>
      <c r="AG20" s="540"/>
      <c r="AH20" s="540"/>
      <c r="AI20" s="540"/>
      <c r="AJ20" s="540"/>
      <c r="AK20" s="540"/>
      <c r="AL20" s="540"/>
      <c r="AM20" s="540"/>
      <c r="AN20" s="540"/>
      <c r="AO20" s="540"/>
      <c r="AP20" s="540"/>
      <c r="AQ20" s="540"/>
      <c r="AR20" s="540"/>
      <c r="AS20" s="540"/>
      <c r="AT20" s="540"/>
      <c r="AU20" s="540"/>
      <c r="AV20" s="540"/>
      <c r="AW20" s="540"/>
      <c r="AX20" s="328">
        <f t="shared" si="2"/>
        <v>0</v>
      </c>
      <c r="AY20" s="331">
        <f t="shared" si="3"/>
        <v>0</v>
      </c>
      <c r="AZ20" s="333">
        <f t="shared" si="4"/>
        <v>0</v>
      </c>
      <c r="BA20" s="331">
        <f t="shared" si="5"/>
        <v>0</v>
      </c>
      <c r="BB20" s="328">
        <f t="shared" si="7"/>
        <v>0</v>
      </c>
      <c r="BC20" s="538">
        <f t="shared" si="8"/>
        <v>0</v>
      </c>
      <c r="BD20" s="328">
        <f t="shared" si="9"/>
        <v>0</v>
      </c>
      <c r="BE20" s="535">
        <f t="shared" si="10"/>
        <v>0</v>
      </c>
      <c r="BF20" s="540">
        <f t="shared" si="11"/>
        <v>0</v>
      </c>
      <c r="BG20" s="541">
        <f t="shared" si="12"/>
        <v>0</v>
      </c>
      <c r="BH20" s="338" t="str">
        <f t="shared" si="13"/>
        <v/>
      </c>
      <c r="BI20" s="100" t="str">
        <f t="shared" si="14"/>
        <v/>
      </c>
      <c r="BJ20" s="100" t="str">
        <f t="shared" si="15"/>
        <v/>
      </c>
      <c r="BK20" s="100" t="str">
        <f t="shared" si="16"/>
        <v/>
      </c>
      <c r="BL20" s="100" t="str">
        <f t="shared" si="17"/>
        <v/>
      </c>
      <c r="BM20" s="100" t="str">
        <f t="shared" si="18"/>
        <v/>
      </c>
      <c r="BN20" s="100" t="str">
        <f t="shared" si="19"/>
        <v/>
      </c>
      <c r="BO20" s="250" t="str">
        <f t="shared" si="20"/>
        <v>0</v>
      </c>
      <c r="BP20" s="250" t="str">
        <f t="shared" si="21"/>
        <v>0</v>
      </c>
      <c r="BQ20" s="677" t="str">
        <f t="shared" si="22"/>
        <v>00</v>
      </c>
      <c r="BR20" s="335"/>
    </row>
    <row r="21" spans="1:70" s="256" customFormat="1" ht="15" customHeight="1">
      <c r="A21" s="497">
        <v>13</v>
      </c>
      <c r="B21" s="498"/>
      <c r="C21" s="811"/>
      <c r="D21" s="769" t="s">
        <v>224</v>
      </c>
      <c r="E21" s="557"/>
      <c r="F21" s="499"/>
      <c r="G21" s="482"/>
      <c r="H21" s="484"/>
      <c r="I21" s="483"/>
      <c r="J21" s="487"/>
      <c r="K21" s="533"/>
      <c r="L21" s="533"/>
      <c r="M21" s="678"/>
      <c r="N21" s="347" t="str">
        <f t="shared" si="0"/>
        <v>0</v>
      </c>
      <c r="O21" s="500" t="str">
        <f t="shared" si="1"/>
        <v/>
      </c>
      <c r="P21" s="586" t="str">
        <f t="shared" si="23"/>
        <v/>
      </c>
      <c r="Q21" s="491" t="str">
        <f>IF(P21="","",VLOOKUP(P21,所属コード!$A$2:$E$200,2,FALSE))</f>
        <v/>
      </c>
      <c r="R21" s="301" t="str">
        <f>IF(P21="","",VLOOKUP(P21,所属コード!$A:$G,7,FALSE))</f>
        <v/>
      </c>
      <c r="S21" s="350"/>
      <c r="T21" s="255"/>
      <c r="U21" s="255"/>
      <c r="V21" s="255"/>
      <c r="W21" s="255"/>
      <c r="X21" t="s">
        <v>500</v>
      </c>
      <c r="Y21" s="828"/>
      <c r="Z21" s="255" t="str">
        <f t="shared" si="6"/>
        <v/>
      </c>
      <c r="AA21" s="255"/>
      <c r="AB21" s="547"/>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328">
        <f t="shared" si="2"/>
        <v>0</v>
      </c>
      <c r="AY21" s="331">
        <f t="shared" si="3"/>
        <v>0</v>
      </c>
      <c r="AZ21" s="333">
        <f t="shared" si="4"/>
        <v>0</v>
      </c>
      <c r="BA21" s="331">
        <f t="shared" si="5"/>
        <v>0</v>
      </c>
      <c r="BB21" s="328">
        <f t="shared" si="7"/>
        <v>0</v>
      </c>
      <c r="BC21" s="538">
        <f t="shared" si="8"/>
        <v>0</v>
      </c>
      <c r="BD21" s="328">
        <f t="shared" si="9"/>
        <v>0</v>
      </c>
      <c r="BE21" s="535">
        <f t="shared" si="10"/>
        <v>0</v>
      </c>
      <c r="BF21" s="540">
        <f t="shared" si="11"/>
        <v>0</v>
      </c>
      <c r="BG21" s="541">
        <f t="shared" si="12"/>
        <v>0</v>
      </c>
      <c r="BH21" s="338" t="str">
        <f t="shared" si="13"/>
        <v/>
      </c>
      <c r="BI21" s="100" t="str">
        <f t="shared" si="14"/>
        <v/>
      </c>
      <c r="BJ21" s="100" t="str">
        <f t="shared" si="15"/>
        <v/>
      </c>
      <c r="BK21" s="100" t="str">
        <f t="shared" si="16"/>
        <v/>
      </c>
      <c r="BL21" s="100" t="str">
        <f t="shared" si="17"/>
        <v/>
      </c>
      <c r="BM21" s="100" t="str">
        <f t="shared" si="18"/>
        <v/>
      </c>
      <c r="BN21" s="100" t="str">
        <f t="shared" si="19"/>
        <v/>
      </c>
      <c r="BO21" s="250" t="str">
        <f t="shared" si="20"/>
        <v>0</v>
      </c>
      <c r="BP21" s="250" t="str">
        <f t="shared" si="21"/>
        <v>0</v>
      </c>
      <c r="BQ21" s="677" t="str">
        <f t="shared" si="22"/>
        <v>00</v>
      </c>
      <c r="BR21" s="335"/>
    </row>
    <row r="22" spans="1:70" s="256" customFormat="1" ht="15" customHeight="1">
      <c r="A22" s="497">
        <v>14</v>
      </c>
      <c r="B22" s="498"/>
      <c r="C22" s="811"/>
      <c r="D22" s="769" t="s">
        <v>224</v>
      </c>
      <c r="E22" s="557"/>
      <c r="F22" s="499"/>
      <c r="G22" s="482"/>
      <c r="H22" s="484"/>
      <c r="I22" s="483"/>
      <c r="J22" s="487"/>
      <c r="K22" s="533"/>
      <c r="L22" s="533"/>
      <c r="M22" s="678"/>
      <c r="N22" s="347" t="str">
        <f t="shared" si="0"/>
        <v>0</v>
      </c>
      <c r="O22" s="500" t="str">
        <f t="shared" si="1"/>
        <v/>
      </c>
      <c r="P22" s="586" t="str">
        <f t="shared" si="23"/>
        <v/>
      </c>
      <c r="Q22" s="491" t="str">
        <f>IF(P22="","",VLOOKUP(P22,所属コード!$A$2:$E$200,2,FALSE))</f>
        <v/>
      </c>
      <c r="R22" s="301" t="str">
        <f>IF(P22="","",VLOOKUP(P22,所属コード!$A:$G,7,FALSE))</f>
        <v/>
      </c>
      <c r="S22" s="350"/>
      <c r="T22" s="255"/>
      <c r="U22" s="255"/>
      <c r="V22" s="255"/>
      <c r="W22" s="255"/>
      <c r="X22" t="s">
        <v>572</v>
      </c>
      <c r="Y22" s="828"/>
      <c r="Z22" s="255" t="str">
        <f t="shared" si="6"/>
        <v/>
      </c>
      <c r="AA22" s="255"/>
      <c r="AB22" s="547"/>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328">
        <f t="shared" si="2"/>
        <v>0</v>
      </c>
      <c r="AY22" s="331">
        <f t="shared" si="3"/>
        <v>0</v>
      </c>
      <c r="AZ22" s="333">
        <f t="shared" si="4"/>
        <v>0</v>
      </c>
      <c r="BA22" s="331">
        <f t="shared" si="5"/>
        <v>0</v>
      </c>
      <c r="BB22" s="328">
        <f t="shared" si="7"/>
        <v>0</v>
      </c>
      <c r="BC22" s="538">
        <f t="shared" si="8"/>
        <v>0</v>
      </c>
      <c r="BD22" s="328">
        <f t="shared" si="9"/>
        <v>0</v>
      </c>
      <c r="BE22" s="535">
        <f t="shared" si="10"/>
        <v>0</v>
      </c>
      <c r="BF22" s="540">
        <f t="shared" si="11"/>
        <v>0</v>
      </c>
      <c r="BG22" s="541">
        <f t="shared" si="12"/>
        <v>0</v>
      </c>
      <c r="BH22" s="338" t="str">
        <f t="shared" si="13"/>
        <v/>
      </c>
      <c r="BI22" s="100" t="str">
        <f t="shared" si="14"/>
        <v/>
      </c>
      <c r="BJ22" s="100" t="str">
        <f t="shared" si="15"/>
        <v/>
      </c>
      <c r="BK22" s="100" t="str">
        <f t="shared" si="16"/>
        <v/>
      </c>
      <c r="BL22" s="100" t="str">
        <f t="shared" si="17"/>
        <v/>
      </c>
      <c r="BM22" s="100" t="str">
        <f t="shared" si="18"/>
        <v/>
      </c>
      <c r="BN22" s="100" t="str">
        <f t="shared" si="19"/>
        <v/>
      </c>
      <c r="BO22" s="250" t="str">
        <f t="shared" si="20"/>
        <v>0</v>
      </c>
      <c r="BP22" s="250" t="str">
        <f t="shared" si="21"/>
        <v>0</v>
      </c>
      <c r="BQ22" s="677" t="str">
        <f t="shared" si="22"/>
        <v>00</v>
      </c>
      <c r="BR22" s="335"/>
    </row>
    <row r="23" spans="1:70" s="256" customFormat="1" ht="15" customHeight="1">
      <c r="A23" s="497">
        <v>15</v>
      </c>
      <c r="B23" s="498"/>
      <c r="C23" s="811"/>
      <c r="D23" s="769" t="s">
        <v>224</v>
      </c>
      <c r="E23" s="557"/>
      <c r="F23" s="499"/>
      <c r="G23" s="482"/>
      <c r="H23" s="484"/>
      <c r="I23" s="483"/>
      <c r="J23" s="487"/>
      <c r="K23" s="533"/>
      <c r="L23" s="533"/>
      <c r="M23" s="678"/>
      <c r="N23" s="347" t="str">
        <f t="shared" si="0"/>
        <v>0</v>
      </c>
      <c r="O23" s="500" t="str">
        <f t="shared" si="1"/>
        <v/>
      </c>
      <c r="P23" s="586" t="str">
        <f t="shared" si="23"/>
        <v/>
      </c>
      <c r="Q23" s="491" t="str">
        <f>IF(P23="","",VLOOKUP(P23,所属コード!$A$2:$E$200,2,FALSE))</f>
        <v/>
      </c>
      <c r="R23" s="301" t="str">
        <f>IF(P23="","",VLOOKUP(P23,所属コード!$A:$G,7,FALSE))</f>
        <v/>
      </c>
      <c r="S23" s="350"/>
      <c r="T23" s="255"/>
      <c r="U23" s="255"/>
      <c r="V23" s="255"/>
      <c r="W23" s="255"/>
      <c r="X23" t="s">
        <v>573</v>
      </c>
      <c r="Y23" s="828"/>
      <c r="Z23" s="255" t="str">
        <f t="shared" si="6"/>
        <v/>
      </c>
      <c r="AA23" s="255"/>
      <c r="AB23" s="547"/>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328">
        <f t="shared" si="2"/>
        <v>0</v>
      </c>
      <c r="AY23" s="331">
        <f t="shared" si="3"/>
        <v>0</v>
      </c>
      <c r="AZ23" s="333">
        <f t="shared" si="4"/>
        <v>0</v>
      </c>
      <c r="BA23" s="331">
        <f t="shared" si="5"/>
        <v>0</v>
      </c>
      <c r="BB23" s="328">
        <f t="shared" si="7"/>
        <v>0</v>
      </c>
      <c r="BC23" s="538">
        <f t="shared" si="8"/>
        <v>0</v>
      </c>
      <c r="BD23" s="328">
        <f t="shared" si="9"/>
        <v>0</v>
      </c>
      <c r="BE23" s="535">
        <f t="shared" si="10"/>
        <v>0</v>
      </c>
      <c r="BF23" s="540">
        <f t="shared" si="11"/>
        <v>0</v>
      </c>
      <c r="BG23" s="541">
        <f t="shared" si="12"/>
        <v>0</v>
      </c>
      <c r="BH23" s="338" t="str">
        <f t="shared" si="13"/>
        <v/>
      </c>
      <c r="BI23" s="100" t="str">
        <f t="shared" si="14"/>
        <v/>
      </c>
      <c r="BJ23" s="100" t="str">
        <f t="shared" si="15"/>
        <v/>
      </c>
      <c r="BK23" s="100" t="str">
        <f t="shared" si="16"/>
        <v/>
      </c>
      <c r="BL23" s="100" t="str">
        <f t="shared" si="17"/>
        <v/>
      </c>
      <c r="BM23" s="100" t="str">
        <f t="shared" si="18"/>
        <v/>
      </c>
      <c r="BN23" s="100" t="str">
        <f t="shared" si="19"/>
        <v/>
      </c>
      <c r="BO23" s="250" t="str">
        <f t="shared" si="20"/>
        <v>0</v>
      </c>
      <c r="BP23" s="250" t="str">
        <f t="shared" si="21"/>
        <v>0</v>
      </c>
      <c r="BQ23" s="677" t="str">
        <f t="shared" si="22"/>
        <v>00</v>
      </c>
      <c r="BR23" s="335"/>
    </row>
    <row r="24" spans="1:70" s="256" customFormat="1" ht="15" customHeight="1">
      <c r="A24" s="497">
        <v>16</v>
      </c>
      <c r="B24" s="498"/>
      <c r="C24" s="811"/>
      <c r="D24" s="769" t="s">
        <v>224</v>
      </c>
      <c r="E24" s="557"/>
      <c r="F24" s="499"/>
      <c r="G24" s="482"/>
      <c r="H24" s="484"/>
      <c r="I24" s="483"/>
      <c r="J24" s="487"/>
      <c r="K24" s="533"/>
      <c r="L24" s="533"/>
      <c r="M24" s="678"/>
      <c r="N24" s="347" t="str">
        <f t="shared" si="0"/>
        <v>0</v>
      </c>
      <c r="O24" s="500" t="str">
        <f t="shared" si="1"/>
        <v/>
      </c>
      <c r="P24" s="586" t="str">
        <f t="shared" si="23"/>
        <v/>
      </c>
      <c r="Q24" s="491" t="str">
        <f>IF(P24="","",VLOOKUP(P24,所属コード!$A$2:$E$200,2,FALSE))</f>
        <v/>
      </c>
      <c r="R24" s="301" t="str">
        <f>IF(P24="","",VLOOKUP(P24,所属コード!$A:$G,7,FALSE))</f>
        <v/>
      </c>
      <c r="S24" s="350"/>
      <c r="T24" s="255"/>
      <c r="U24" s="255"/>
      <c r="V24" s="255"/>
      <c r="W24" s="255"/>
      <c r="X24" t="s">
        <v>498</v>
      </c>
      <c r="Y24" s="828"/>
      <c r="Z24" s="255" t="str">
        <f t="shared" si="6"/>
        <v/>
      </c>
      <c r="AA24" s="255"/>
      <c r="AB24" s="547"/>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328">
        <f t="shared" si="2"/>
        <v>0</v>
      </c>
      <c r="AY24" s="331">
        <f t="shared" si="3"/>
        <v>0</v>
      </c>
      <c r="AZ24" s="333">
        <f t="shared" si="4"/>
        <v>0</v>
      </c>
      <c r="BA24" s="331">
        <f t="shared" si="5"/>
        <v>0</v>
      </c>
      <c r="BB24" s="328">
        <f t="shared" si="7"/>
        <v>0</v>
      </c>
      <c r="BC24" s="538">
        <f t="shared" si="8"/>
        <v>0</v>
      </c>
      <c r="BD24" s="328">
        <f t="shared" si="9"/>
        <v>0</v>
      </c>
      <c r="BE24" s="535">
        <f t="shared" si="10"/>
        <v>0</v>
      </c>
      <c r="BF24" s="540">
        <f t="shared" si="11"/>
        <v>0</v>
      </c>
      <c r="BG24" s="541">
        <f t="shared" si="12"/>
        <v>0</v>
      </c>
      <c r="BH24" s="338" t="str">
        <f t="shared" si="13"/>
        <v/>
      </c>
      <c r="BI24" s="100" t="str">
        <f t="shared" si="14"/>
        <v/>
      </c>
      <c r="BJ24" s="100" t="str">
        <f t="shared" si="15"/>
        <v/>
      </c>
      <c r="BK24" s="100" t="str">
        <f t="shared" si="16"/>
        <v/>
      </c>
      <c r="BL24" s="100" t="str">
        <f t="shared" si="17"/>
        <v/>
      </c>
      <c r="BM24" s="100" t="str">
        <f t="shared" si="18"/>
        <v/>
      </c>
      <c r="BN24" s="100" t="str">
        <f t="shared" si="19"/>
        <v/>
      </c>
      <c r="BO24" s="250" t="str">
        <f t="shared" si="20"/>
        <v>0</v>
      </c>
      <c r="BP24" s="250" t="str">
        <f t="shared" si="21"/>
        <v>0</v>
      </c>
      <c r="BQ24" s="677" t="str">
        <f t="shared" si="22"/>
        <v>00</v>
      </c>
      <c r="BR24" s="335"/>
    </row>
    <row r="25" spans="1:70" s="256" customFormat="1" ht="15" customHeight="1">
      <c r="A25" s="497">
        <v>17</v>
      </c>
      <c r="B25" s="498"/>
      <c r="C25" s="811"/>
      <c r="D25" s="769" t="s">
        <v>224</v>
      </c>
      <c r="E25" s="557"/>
      <c r="F25" s="499"/>
      <c r="G25" s="482"/>
      <c r="H25" s="484"/>
      <c r="I25" s="483"/>
      <c r="J25" s="487"/>
      <c r="K25" s="533"/>
      <c r="L25" s="533"/>
      <c r="M25" s="678"/>
      <c r="N25" s="347" t="str">
        <f t="shared" si="0"/>
        <v>0</v>
      </c>
      <c r="O25" s="500" t="str">
        <f t="shared" si="1"/>
        <v/>
      </c>
      <c r="P25" s="586" t="str">
        <f t="shared" si="23"/>
        <v/>
      </c>
      <c r="Q25" s="491" t="str">
        <f>IF(P25="","",VLOOKUP(P25,所属コード!$A$2:$E$200,2,FALSE))</f>
        <v/>
      </c>
      <c r="R25" s="301" t="str">
        <f>IF(P25="","",VLOOKUP(P25,所属コード!$A:$G,7,FALSE))</f>
        <v/>
      </c>
      <c r="S25" s="350"/>
      <c r="T25" s="255"/>
      <c r="U25" s="255"/>
      <c r="V25" s="255"/>
      <c r="W25" s="255"/>
      <c r="X25" t="s">
        <v>499</v>
      </c>
      <c r="Y25" s="828"/>
      <c r="Z25" s="255" t="str">
        <f t="shared" si="6"/>
        <v/>
      </c>
      <c r="AA25" s="255"/>
      <c r="AB25" s="547"/>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328">
        <f t="shared" si="2"/>
        <v>0</v>
      </c>
      <c r="AY25" s="331">
        <f t="shared" si="3"/>
        <v>0</v>
      </c>
      <c r="AZ25" s="333">
        <f t="shared" si="4"/>
        <v>0</v>
      </c>
      <c r="BA25" s="331">
        <f t="shared" si="5"/>
        <v>0</v>
      </c>
      <c r="BB25" s="328">
        <f t="shared" si="7"/>
        <v>0</v>
      </c>
      <c r="BC25" s="538">
        <f t="shared" si="8"/>
        <v>0</v>
      </c>
      <c r="BD25" s="328">
        <f t="shared" si="9"/>
        <v>0</v>
      </c>
      <c r="BE25" s="535">
        <f t="shared" si="10"/>
        <v>0</v>
      </c>
      <c r="BF25" s="540">
        <f t="shared" si="11"/>
        <v>0</v>
      </c>
      <c r="BG25" s="541">
        <f t="shared" si="12"/>
        <v>0</v>
      </c>
      <c r="BH25" s="338" t="str">
        <f t="shared" si="13"/>
        <v/>
      </c>
      <c r="BI25" s="100" t="str">
        <f t="shared" si="14"/>
        <v/>
      </c>
      <c r="BJ25" s="100" t="str">
        <f t="shared" si="15"/>
        <v/>
      </c>
      <c r="BK25" s="100" t="str">
        <f t="shared" si="16"/>
        <v/>
      </c>
      <c r="BL25" s="100" t="str">
        <f t="shared" si="17"/>
        <v/>
      </c>
      <c r="BM25" s="100" t="str">
        <f t="shared" si="18"/>
        <v/>
      </c>
      <c r="BN25" s="100" t="str">
        <f t="shared" si="19"/>
        <v/>
      </c>
      <c r="BO25" s="250" t="str">
        <f t="shared" si="20"/>
        <v>0</v>
      </c>
      <c r="BP25" s="250" t="str">
        <f t="shared" si="21"/>
        <v>0</v>
      </c>
      <c r="BQ25" s="677" t="str">
        <f t="shared" si="22"/>
        <v>00</v>
      </c>
      <c r="BR25" s="335"/>
    </row>
    <row r="26" spans="1:70" s="256" customFormat="1" ht="15" customHeight="1">
      <c r="A26" s="497">
        <v>18</v>
      </c>
      <c r="B26" s="498"/>
      <c r="C26" s="811"/>
      <c r="D26" s="769" t="s">
        <v>224</v>
      </c>
      <c r="E26" s="557"/>
      <c r="F26" s="499"/>
      <c r="G26" s="482"/>
      <c r="H26" s="484"/>
      <c r="I26" s="483"/>
      <c r="J26" s="487"/>
      <c r="K26" s="533"/>
      <c r="L26" s="533"/>
      <c r="M26" s="678"/>
      <c r="N26" s="347" t="str">
        <f t="shared" si="0"/>
        <v>0</v>
      </c>
      <c r="O26" s="500" t="str">
        <f t="shared" si="1"/>
        <v/>
      </c>
      <c r="P26" s="586" t="str">
        <f t="shared" si="23"/>
        <v/>
      </c>
      <c r="Q26" s="491" t="str">
        <f>IF(P26="","",VLOOKUP(P26,所属コード!$A$2:$E$200,2,FALSE))</f>
        <v/>
      </c>
      <c r="R26" s="301" t="str">
        <f>IF(P26="","",VLOOKUP(P26,所属コード!$A:$G,7,FALSE))</f>
        <v/>
      </c>
      <c r="S26" s="350"/>
      <c r="T26" s="255"/>
      <c r="U26" s="255"/>
      <c r="V26" s="255"/>
      <c r="W26" s="255"/>
      <c r="X26" t="s">
        <v>574</v>
      </c>
      <c r="Y26" s="828"/>
      <c r="Z26" s="255" t="str">
        <f t="shared" si="6"/>
        <v/>
      </c>
      <c r="AA26" s="255"/>
      <c r="AB26" s="547"/>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328">
        <f t="shared" si="2"/>
        <v>0</v>
      </c>
      <c r="AY26" s="331">
        <f t="shared" si="3"/>
        <v>0</v>
      </c>
      <c r="AZ26" s="333">
        <f t="shared" si="4"/>
        <v>0</v>
      </c>
      <c r="BA26" s="331">
        <f t="shared" si="5"/>
        <v>0</v>
      </c>
      <c r="BB26" s="328">
        <f t="shared" si="7"/>
        <v>0</v>
      </c>
      <c r="BC26" s="538">
        <f t="shared" si="8"/>
        <v>0</v>
      </c>
      <c r="BD26" s="328">
        <f t="shared" si="9"/>
        <v>0</v>
      </c>
      <c r="BE26" s="535">
        <f t="shared" si="10"/>
        <v>0</v>
      </c>
      <c r="BF26" s="540">
        <f t="shared" si="11"/>
        <v>0</v>
      </c>
      <c r="BG26" s="541">
        <f t="shared" si="12"/>
        <v>0</v>
      </c>
      <c r="BH26" s="338" t="str">
        <f t="shared" si="13"/>
        <v/>
      </c>
      <c r="BI26" s="100" t="str">
        <f t="shared" si="14"/>
        <v/>
      </c>
      <c r="BJ26" s="100" t="str">
        <f t="shared" si="15"/>
        <v/>
      </c>
      <c r="BK26" s="100" t="str">
        <f t="shared" si="16"/>
        <v/>
      </c>
      <c r="BL26" s="100" t="str">
        <f t="shared" si="17"/>
        <v/>
      </c>
      <c r="BM26" s="100" t="str">
        <f t="shared" si="18"/>
        <v/>
      </c>
      <c r="BN26" s="100" t="str">
        <f t="shared" si="19"/>
        <v/>
      </c>
      <c r="BO26" s="250" t="str">
        <f t="shared" si="20"/>
        <v>0</v>
      </c>
      <c r="BP26" s="250" t="str">
        <f t="shared" si="21"/>
        <v>0</v>
      </c>
      <c r="BQ26" s="677" t="str">
        <f t="shared" si="22"/>
        <v>00</v>
      </c>
      <c r="BR26" s="335"/>
    </row>
    <row r="27" spans="1:70" s="256" customFormat="1" ht="15" customHeight="1">
      <c r="A27" s="497">
        <v>19</v>
      </c>
      <c r="B27" s="498"/>
      <c r="C27" s="811"/>
      <c r="D27" s="769" t="s">
        <v>224</v>
      </c>
      <c r="E27" s="557"/>
      <c r="F27" s="499"/>
      <c r="G27" s="482"/>
      <c r="H27" s="484"/>
      <c r="I27" s="483"/>
      <c r="J27" s="487"/>
      <c r="K27" s="533"/>
      <c r="L27" s="533"/>
      <c r="M27" s="678"/>
      <c r="N27" s="347" t="str">
        <f t="shared" si="0"/>
        <v>0</v>
      </c>
      <c r="O27" s="500" t="str">
        <f t="shared" si="1"/>
        <v/>
      </c>
      <c r="P27" s="586" t="str">
        <f t="shared" si="23"/>
        <v/>
      </c>
      <c r="Q27" s="491" t="str">
        <f>IF(P27="","",VLOOKUP(P27,所属コード!$A$2:$E$200,2,FALSE))</f>
        <v/>
      </c>
      <c r="R27" s="301" t="str">
        <f>IF(P27="","",VLOOKUP(P27,所属コード!$A:$G,7,FALSE))</f>
        <v/>
      </c>
      <c r="S27" s="350"/>
      <c r="T27" s="255"/>
      <c r="U27" s="255"/>
      <c r="V27" s="255"/>
      <c r="W27" s="255"/>
      <c r="X27" t="s">
        <v>575</v>
      </c>
      <c r="Y27" s="828"/>
      <c r="Z27" s="255" t="str">
        <f t="shared" si="6"/>
        <v/>
      </c>
      <c r="AA27" s="255"/>
      <c r="AB27" s="547"/>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328">
        <f t="shared" si="2"/>
        <v>0</v>
      </c>
      <c r="AY27" s="331">
        <f t="shared" si="3"/>
        <v>0</v>
      </c>
      <c r="AZ27" s="333">
        <f t="shared" si="4"/>
        <v>0</v>
      </c>
      <c r="BA27" s="331">
        <f t="shared" si="5"/>
        <v>0</v>
      </c>
      <c r="BB27" s="328">
        <f t="shared" si="7"/>
        <v>0</v>
      </c>
      <c r="BC27" s="538">
        <f t="shared" si="8"/>
        <v>0</v>
      </c>
      <c r="BD27" s="328">
        <f t="shared" si="9"/>
        <v>0</v>
      </c>
      <c r="BE27" s="535">
        <f t="shared" si="10"/>
        <v>0</v>
      </c>
      <c r="BF27" s="540">
        <f t="shared" si="11"/>
        <v>0</v>
      </c>
      <c r="BG27" s="541">
        <f t="shared" si="12"/>
        <v>0</v>
      </c>
      <c r="BH27" s="338" t="str">
        <f t="shared" si="13"/>
        <v/>
      </c>
      <c r="BI27" s="100" t="str">
        <f t="shared" si="14"/>
        <v/>
      </c>
      <c r="BJ27" s="100" t="str">
        <f t="shared" si="15"/>
        <v/>
      </c>
      <c r="BK27" s="100" t="str">
        <f t="shared" si="16"/>
        <v/>
      </c>
      <c r="BL27" s="100" t="str">
        <f t="shared" si="17"/>
        <v/>
      </c>
      <c r="BM27" s="100" t="str">
        <f t="shared" si="18"/>
        <v/>
      </c>
      <c r="BN27" s="100" t="str">
        <f t="shared" si="19"/>
        <v/>
      </c>
      <c r="BO27" s="250" t="str">
        <f t="shared" si="20"/>
        <v>0</v>
      </c>
      <c r="BP27" s="250" t="str">
        <f t="shared" si="21"/>
        <v>0</v>
      </c>
      <c r="BQ27" s="677" t="str">
        <f t="shared" si="22"/>
        <v>00</v>
      </c>
      <c r="BR27" s="335"/>
    </row>
    <row r="28" spans="1:70" s="256" customFormat="1" ht="15" customHeight="1">
      <c r="A28" s="501">
        <v>20</v>
      </c>
      <c r="B28" s="502"/>
      <c r="C28" s="812"/>
      <c r="D28" s="770"/>
      <c r="E28" s="558"/>
      <c r="F28" s="503"/>
      <c r="G28" s="503"/>
      <c r="H28" s="504"/>
      <c r="I28" s="505"/>
      <c r="J28" s="487"/>
      <c r="K28" s="533"/>
      <c r="L28" s="533"/>
      <c r="M28" s="678"/>
      <c r="N28" s="347" t="str">
        <f t="shared" si="0"/>
        <v>0</v>
      </c>
      <c r="O28" s="500" t="str">
        <f t="shared" si="1"/>
        <v/>
      </c>
      <c r="P28" s="586" t="str">
        <f t="shared" si="23"/>
        <v/>
      </c>
      <c r="Q28" s="491" t="str">
        <f>IF(P28="","",VLOOKUP(P28,所属コード!$A$2:$E$200,2,FALSE))</f>
        <v/>
      </c>
      <c r="R28" s="301" t="str">
        <f>IF(P28="","",VLOOKUP(P28,所属コード!$A:$G,7,FALSE))</f>
        <v/>
      </c>
      <c r="S28" s="350"/>
      <c r="T28" s="255"/>
      <c r="U28" s="255"/>
      <c r="V28" s="255"/>
      <c r="W28" s="255"/>
      <c r="X28" t="s">
        <v>504</v>
      </c>
      <c r="Y28" s="828"/>
      <c r="Z28" s="255" t="str">
        <f t="shared" si="6"/>
        <v/>
      </c>
      <c r="AA28" s="255"/>
      <c r="AB28" s="547"/>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328">
        <f t="shared" si="2"/>
        <v>0</v>
      </c>
      <c r="AY28" s="331">
        <f t="shared" si="3"/>
        <v>0</v>
      </c>
      <c r="AZ28" s="333">
        <f t="shared" si="4"/>
        <v>0</v>
      </c>
      <c r="BA28" s="331">
        <f t="shared" si="5"/>
        <v>0</v>
      </c>
      <c r="BB28" s="328">
        <f t="shared" si="7"/>
        <v>0</v>
      </c>
      <c r="BC28" s="538">
        <f t="shared" si="8"/>
        <v>0</v>
      </c>
      <c r="BD28" s="328">
        <f t="shared" si="9"/>
        <v>0</v>
      </c>
      <c r="BE28" s="535">
        <f t="shared" si="10"/>
        <v>0</v>
      </c>
      <c r="BF28" s="540">
        <f t="shared" si="11"/>
        <v>0</v>
      </c>
      <c r="BG28" s="541">
        <f t="shared" si="12"/>
        <v>0</v>
      </c>
      <c r="BH28" s="338" t="str">
        <f t="shared" si="13"/>
        <v/>
      </c>
      <c r="BI28" s="100" t="str">
        <f t="shared" si="14"/>
        <v/>
      </c>
      <c r="BJ28" s="100" t="str">
        <f t="shared" si="15"/>
        <v/>
      </c>
      <c r="BK28" s="100" t="str">
        <f t="shared" si="16"/>
        <v/>
      </c>
      <c r="BL28" s="100" t="str">
        <f t="shared" si="17"/>
        <v/>
      </c>
      <c r="BM28" s="100" t="str">
        <f t="shared" si="18"/>
        <v/>
      </c>
      <c r="BN28" s="100" t="str">
        <f t="shared" si="19"/>
        <v/>
      </c>
      <c r="BO28" s="250" t="str">
        <f t="shared" si="20"/>
        <v>0</v>
      </c>
      <c r="BP28" s="250" t="str">
        <f t="shared" si="21"/>
        <v>0</v>
      </c>
      <c r="BQ28" s="677" t="str">
        <f t="shared" si="22"/>
        <v>00</v>
      </c>
      <c r="BR28" s="335"/>
    </row>
    <row r="29" spans="1:70" s="256" customFormat="1" ht="15" customHeight="1">
      <c r="A29" s="501">
        <v>21</v>
      </c>
      <c r="B29" s="502"/>
      <c r="C29" s="812"/>
      <c r="D29" s="770"/>
      <c r="E29" s="558"/>
      <c r="F29" s="503"/>
      <c r="G29" s="503"/>
      <c r="H29" s="504"/>
      <c r="I29" s="505"/>
      <c r="J29" s="487"/>
      <c r="K29" s="533"/>
      <c r="L29" s="533"/>
      <c r="M29" s="678"/>
      <c r="N29" s="347" t="str">
        <f t="shared" si="0"/>
        <v>0</v>
      </c>
      <c r="O29" s="500" t="str">
        <f t="shared" si="1"/>
        <v/>
      </c>
      <c r="P29" s="586" t="str">
        <f t="shared" si="23"/>
        <v/>
      </c>
      <c r="Q29" s="491" t="str">
        <f>IF(P29="","",VLOOKUP(P29,所属コード!$A$2:$E$200,2,FALSE))</f>
        <v/>
      </c>
      <c r="R29" s="301" t="str">
        <f>IF(P29="","",VLOOKUP(P29,所属コード!$A:$G,7,FALSE))</f>
        <v/>
      </c>
      <c r="S29" s="350"/>
      <c r="T29" s="255"/>
      <c r="U29" s="255"/>
      <c r="V29" s="255"/>
      <c r="W29" s="255"/>
      <c r="X29" t="s">
        <v>506</v>
      </c>
      <c r="Y29" s="828"/>
      <c r="Z29" s="255" t="str">
        <f t="shared" si="6"/>
        <v/>
      </c>
      <c r="AA29" s="255"/>
      <c r="AB29" s="547"/>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328">
        <f t="shared" si="2"/>
        <v>0</v>
      </c>
      <c r="AY29" s="331">
        <f t="shared" si="3"/>
        <v>0</v>
      </c>
      <c r="AZ29" s="333">
        <f t="shared" si="4"/>
        <v>0</v>
      </c>
      <c r="BA29" s="331">
        <f t="shared" si="5"/>
        <v>0</v>
      </c>
      <c r="BB29" s="328">
        <f t="shared" si="7"/>
        <v>0</v>
      </c>
      <c r="BC29" s="538">
        <f t="shared" si="8"/>
        <v>0</v>
      </c>
      <c r="BD29" s="328">
        <f t="shared" si="9"/>
        <v>0</v>
      </c>
      <c r="BE29" s="535">
        <f t="shared" si="10"/>
        <v>0</v>
      </c>
      <c r="BF29" s="540">
        <f t="shared" si="11"/>
        <v>0</v>
      </c>
      <c r="BG29" s="541">
        <f t="shared" si="12"/>
        <v>0</v>
      </c>
      <c r="BH29" s="338" t="str">
        <f t="shared" si="13"/>
        <v/>
      </c>
      <c r="BI29" s="100" t="str">
        <f t="shared" si="14"/>
        <v/>
      </c>
      <c r="BJ29" s="100" t="str">
        <f t="shared" si="15"/>
        <v/>
      </c>
      <c r="BK29" s="100" t="str">
        <f t="shared" si="16"/>
        <v/>
      </c>
      <c r="BL29" s="100" t="str">
        <f t="shared" si="17"/>
        <v/>
      </c>
      <c r="BM29" s="100" t="str">
        <f t="shared" si="18"/>
        <v/>
      </c>
      <c r="BN29" s="100" t="str">
        <f t="shared" si="19"/>
        <v/>
      </c>
      <c r="BO29" s="250" t="str">
        <f t="shared" si="20"/>
        <v>0</v>
      </c>
      <c r="BP29" s="250" t="str">
        <f t="shared" si="21"/>
        <v>0</v>
      </c>
      <c r="BQ29" s="677" t="str">
        <f t="shared" si="22"/>
        <v>00</v>
      </c>
      <c r="BR29" s="335"/>
    </row>
    <row r="30" spans="1:70" s="256" customFormat="1" ht="15" customHeight="1">
      <c r="A30" s="501">
        <v>22</v>
      </c>
      <c r="B30" s="502"/>
      <c r="C30" s="812"/>
      <c r="D30" s="770"/>
      <c r="E30" s="558"/>
      <c r="F30" s="503"/>
      <c r="G30" s="503"/>
      <c r="H30" s="504"/>
      <c r="I30" s="505"/>
      <c r="J30" s="487"/>
      <c r="K30" s="533"/>
      <c r="L30" s="533"/>
      <c r="M30" s="678"/>
      <c r="N30" s="347" t="str">
        <f t="shared" si="0"/>
        <v>0</v>
      </c>
      <c r="O30" s="500" t="str">
        <f t="shared" si="1"/>
        <v/>
      </c>
      <c r="P30" s="586" t="str">
        <f t="shared" si="23"/>
        <v/>
      </c>
      <c r="Q30" s="491" t="str">
        <f>IF(P30="","",VLOOKUP(P30,所属コード!$A$2:$E$200,2,FALSE))</f>
        <v/>
      </c>
      <c r="R30" s="301" t="str">
        <f>IF(P30="","",VLOOKUP(P30,所属コード!$A:$G,7,FALSE))</f>
        <v/>
      </c>
      <c r="S30" s="350"/>
      <c r="T30" s="255"/>
      <c r="U30" s="255"/>
      <c r="V30" s="255"/>
      <c r="W30" s="255"/>
      <c r="X30" t="s">
        <v>508</v>
      </c>
      <c r="Y30" s="828"/>
      <c r="Z30" s="255" t="str">
        <f t="shared" si="6"/>
        <v/>
      </c>
      <c r="AA30" s="255"/>
      <c r="AB30" s="547"/>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328">
        <f t="shared" si="2"/>
        <v>0</v>
      </c>
      <c r="AY30" s="331">
        <f t="shared" si="3"/>
        <v>0</v>
      </c>
      <c r="AZ30" s="333">
        <f t="shared" si="4"/>
        <v>0</v>
      </c>
      <c r="BA30" s="331">
        <f t="shared" si="5"/>
        <v>0</v>
      </c>
      <c r="BB30" s="328">
        <f t="shared" si="7"/>
        <v>0</v>
      </c>
      <c r="BC30" s="538">
        <f t="shared" si="8"/>
        <v>0</v>
      </c>
      <c r="BD30" s="328">
        <f t="shared" si="9"/>
        <v>0</v>
      </c>
      <c r="BE30" s="535">
        <f t="shared" si="10"/>
        <v>0</v>
      </c>
      <c r="BF30" s="540">
        <f t="shared" si="11"/>
        <v>0</v>
      </c>
      <c r="BG30" s="541">
        <f t="shared" si="12"/>
        <v>0</v>
      </c>
      <c r="BH30" s="338" t="str">
        <f t="shared" si="13"/>
        <v/>
      </c>
      <c r="BI30" s="100" t="str">
        <f t="shared" si="14"/>
        <v/>
      </c>
      <c r="BJ30" s="100" t="str">
        <f t="shared" si="15"/>
        <v/>
      </c>
      <c r="BK30" s="100" t="str">
        <f t="shared" si="16"/>
        <v/>
      </c>
      <c r="BL30" s="100" t="str">
        <f t="shared" si="17"/>
        <v/>
      </c>
      <c r="BM30" s="100" t="str">
        <f t="shared" si="18"/>
        <v/>
      </c>
      <c r="BN30" s="100" t="str">
        <f t="shared" si="19"/>
        <v/>
      </c>
      <c r="BO30" s="250" t="str">
        <f t="shared" si="20"/>
        <v>0</v>
      </c>
      <c r="BP30" s="250" t="str">
        <f t="shared" si="21"/>
        <v>0</v>
      </c>
      <c r="BQ30" s="677" t="str">
        <f t="shared" si="22"/>
        <v>00</v>
      </c>
      <c r="BR30" s="335"/>
    </row>
    <row r="31" spans="1:70" s="256" customFormat="1" ht="15" customHeight="1">
      <c r="A31" s="501">
        <v>23</v>
      </c>
      <c r="B31" s="502"/>
      <c r="C31" s="812"/>
      <c r="D31" s="770"/>
      <c r="E31" s="558"/>
      <c r="F31" s="503"/>
      <c r="G31" s="503"/>
      <c r="H31" s="504"/>
      <c r="I31" s="505"/>
      <c r="J31" s="487"/>
      <c r="K31" s="533"/>
      <c r="L31" s="533"/>
      <c r="M31" s="678"/>
      <c r="N31" s="347" t="str">
        <f t="shared" si="0"/>
        <v>0</v>
      </c>
      <c r="O31" s="500" t="str">
        <f t="shared" si="1"/>
        <v/>
      </c>
      <c r="P31" s="586" t="str">
        <f t="shared" si="23"/>
        <v/>
      </c>
      <c r="Q31" s="491" t="str">
        <f>IF(P31="","",VLOOKUP(P31,所属コード!$A$2:$E$200,2,FALSE))</f>
        <v/>
      </c>
      <c r="R31" s="301" t="str">
        <f>IF(P31="","",VLOOKUP(P31,所属コード!$A:$G,7,FALSE))</f>
        <v/>
      </c>
      <c r="S31" s="350"/>
      <c r="T31" s="255"/>
      <c r="U31" s="255"/>
      <c r="V31" s="255"/>
      <c r="W31" s="255"/>
      <c r="X31" t="s">
        <v>509</v>
      </c>
      <c r="Y31" s="828"/>
      <c r="Z31" s="255" t="str">
        <f t="shared" si="6"/>
        <v/>
      </c>
      <c r="AA31" s="255"/>
      <c r="AB31" s="547"/>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328">
        <f t="shared" si="2"/>
        <v>0</v>
      </c>
      <c r="AY31" s="331">
        <f t="shared" si="3"/>
        <v>0</v>
      </c>
      <c r="AZ31" s="333">
        <f t="shared" si="4"/>
        <v>0</v>
      </c>
      <c r="BA31" s="331">
        <f t="shared" si="5"/>
        <v>0</v>
      </c>
      <c r="BB31" s="328">
        <f t="shared" si="7"/>
        <v>0</v>
      </c>
      <c r="BC31" s="538">
        <f t="shared" si="8"/>
        <v>0</v>
      </c>
      <c r="BD31" s="328">
        <f t="shared" si="9"/>
        <v>0</v>
      </c>
      <c r="BE31" s="535">
        <f t="shared" si="10"/>
        <v>0</v>
      </c>
      <c r="BF31" s="540">
        <f t="shared" si="11"/>
        <v>0</v>
      </c>
      <c r="BG31" s="541">
        <f t="shared" si="12"/>
        <v>0</v>
      </c>
      <c r="BH31" s="338" t="str">
        <f t="shared" si="13"/>
        <v/>
      </c>
      <c r="BI31" s="100" t="str">
        <f t="shared" si="14"/>
        <v/>
      </c>
      <c r="BJ31" s="100" t="str">
        <f t="shared" si="15"/>
        <v/>
      </c>
      <c r="BK31" s="100" t="str">
        <f t="shared" si="16"/>
        <v/>
      </c>
      <c r="BL31" s="100" t="str">
        <f t="shared" si="17"/>
        <v/>
      </c>
      <c r="BM31" s="100" t="str">
        <f t="shared" si="18"/>
        <v/>
      </c>
      <c r="BN31" s="100" t="str">
        <f t="shared" si="19"/>
        <v/>
      </c>
      <c r="BO31" s="250" t="str">
        <f t="shared" si="20"/>
        <v>0</v>
      </c>
      <c r="BP31" s="250" t="str">
        <f t="shared" si="21"/>
        <v>0</v>
      </c>
      <c r="BQ31" s="677" t="str">
        <f t="shared" si="22"/>
        <v>00</v>
      </c>
      <c r="BR31" s="335"/>
    </row>
    <row r="32" spans="1:70" s="256" customFormat="1" ht="15" customHeight="1">
      <c r="A32" s="501">
        <v>24</v>
      </c>
      <c r="B32" s="502"/>
      <c r="C32" s="812"/>
      <c r="D32" s="770"/>
      <c r="E32" s="558"/>
      <c r="F32" s="503"/>
      <c r="G32" s="503"/>
      <c r="H32" s="504"/>
      <c r="I32" s="505"/>
      <c r="J32" s="487"/>
      <c r="K32" s="533"/>
      <c r="L32" s="533"/>
      <c r="M32" s="678"/>
      <c r="N32" s="347" t="str">
        <f t="shared" si="0"/>
        <v>0</v>
      </c>
      <c r="O32" s="500" t="str">
        <f t="shared" si="1"/>
        <v/>
      </c>
      <c r="P32" s="586" t="str">
        <f t="shared" si="23"/>
        <v/>
      </c>
      <c r="Q32" s="491" t="str">
        <f>IF(P32="","",VLOOKUP(P32,所属コード!$A$2:$E$200,2,FALSE))</f>
        <v/>
      </c>
      <c r="R32" s="301" t="str">
        <f>IF(P32="","",VLOOKUP(P32,所属コード!$A:$G,7,FALSE))</f>
        <v/>
      </c>
      <c r="S32" s="350"/>
      <c r="T32" s="255"/>
      <c r="U32" s="255"/>
      <c r="V32" s="255"/>
      <c r="W32" s="255"/>
      <c r="X32" t="s">
        <v>510</v>
      </c>
      <c r="Y32" s="828"/>
      <c r="Z32" s="255" t="str">
        <f t="shared" si="6"/>
        <v/>
      </c>
      <c r="AA32" s="255"/>
      <c r="AB32" s="547"/>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328">
        <f t="shared" si="2"/>
        <v>0</v>
      </c>
      <c r="AY32" s="331">
        <f t="shared" si="3"/>
        <v>0</v>
      </c>
      <c r="AZ32" s="333">
        <f t="shared" si="4"/>
        <v>0</v>
      </c>
      <c r="BA32" s="331">
        <f t="shared" si="5"/>
        <v>0</v>
      </c>
      <c r="BB32" s="328">
        <f t="shared" si="7"/>
        <v>0</v>
      </c>
      <c r="BC32" s="538">
        <f t="shared" si="8"/>
        <v>0</v>
      </c>
      <c r="BD32" s="328">
        <f t="shared" si="9"/>
        <v>0</v>
      </c>
      <c r="BE32" s="535">
        <f t="shared" si="10"/>
        <v>0</v>
      </c>
      <c r="BF32" s="540">
        <f t="shared" si="11"/>
        <v>0</v>
      </c>
      <c r="BG32" s="541">
        <f t="shared" si="12"/>
        <v>0</v>
      </c>
      <c r="BH32" s="338" t="str">
        <f t="shared" si="13"/>
        <v/>
      </c>
      <c r="BI32" s="100" t="str">
        <f t="shared" si="14"/>
        <v/>
      </c>
      <c r="BJ32" s="100" t="str">
        <f t="shared" si="15"/>
        <v/>
      </c>
      <c r="BK32" s="100" t="str">
        <f t="shared" si="16"/>
        <v/>
      </c>
      <c r="BL32" s="100" t="str">
        <f t="shared" si="17"/>
        <v/>
      </c>
      <c r="BM32" s="100" t="str">
        <f t="shared" si="18"/>
        <v/>
      </c>
      <c r="BN32" s="100" t="str">
        <f t="shared" si="19"/>
        <v/>
      </c>
      <c r="BO32" s="250" t="str">
        <f t="shared" si="20"/>
        <v>0</v>
      </c>
      <c r="BP32" s="250" t="str">
        <f t="shared" si="21"/>
        <v>0</v>
      </c>
      <c r="BQ32" s="677" t="str">
        <f t="shared" si="22"/>
        <v>00</v>
      </c>
      <c r="BR32" s="335"/>
    </row>
    <row r="33" spans="1:70" s="256" customFormat="1" ht="15" customHeight="1">
      <c r="A33" s="501">
        <v>25</v>
      </c>
      <c r="B33" s="502"/>
      <c r="C33" s="812"/>
      <c r="D33" s="770"/>
      <c r="E33" s="558"/>
      <c r="F33" s="503"/>
      <c r="G33" s="503"/>
      <c r="H33" s="504"/>
      <c r="I33" s="505"/>
      <c r="J33" s="487"/>
      <c r="K33" s="533"/>
      <c r="L33" s="533"/>
      <c r="M33" s="678"/>
      <c r="N33" s="347" t="str">
        <f t="shared" si="0"/>
        <v>0</v>
      </c>
      <c r="O33" s="500" t="str">
        <f t="shared" si="1"/>
        <v/>
      </c>
      <c r="P33" s="586" t="str">
        <f t="shared" si="23"/>
        <v/>
      </c>
      <c r="Q33" s="491" t="str">
        <f>IF(P33="","",VLOOKUP(P33,所属コード!$A$2:$E$200,2,FALSE))</f>
        <v/>
      </c>
      <c r="R33" s="301" t="str">
        <f>IF(P33="","",VLOOKUP(P33,所属コード!$A:$G,7,FALSE))</f>
        <v/>
      </c>
      <c r="S33" s="350"/>
      <c r="T33" s="255"/>
      <c r="U33" s="255"/>
      <c r="V33" s="255"/>
      <c r="W33" s="255"/>
      <c r="X33" t="s">
        <v>511</v>
      </c>
      <c r="Y33" s="828"/>
      <c r="Z33" s="255" t="str">
        <f t="shared" si="6"/>
        <v/>
      </c>
      <c r="AA33" s="255"/>
      <c r="AB33" s="547"/>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328">
        <f t="shared" si="2"/>
        <v>0</v>
      </c>
      <c r="AY33" s="331">
        <f t="shared" si="3"/>
        <v>0</v>
      </c>
      <c r="AZ33" s="333">
        <f t="shared" si="4"/>
        <v>0</v>
      </c>
      <c r="BA33" s="331">
        <f t="shared" si="5"/>
        <v>0</v>
      </c>
      <c r="BB33" s="328">
        <f t="shared" si="7"/>
        <v>0</v>
      </c>
      <c r="BC33" s="538">
        <f t="shared" si="8"/>
        <v>0</v>
      </c>
      <c r="BD33" s="328">
        <f t="shared" si="9"/>
        <v>0</v>
      </c>
      <c r="BE33" s="535">
        <f t="shared" si="10"/>
        <v>0</v>
      </c>
      <c r="BF33" s="540">
        <f t="shared" si="11"/>
        <v>0</v>
      </c>
      <c r="BG33" s="541">
        <f t="shared" si="12"/>
        <v>0</v>
      </c>
      <c r="BH33" s="338" t="str">
        <f t="shared" si="13"/>
        <v/>
      </c>
      <c r="BI33" s="100" t="str">
        <f t="shared" si="14"/>
        <v/>
      </c>
      <c r="BJ33" s="100" t="str">
        <f t="shared" si="15"/>
        <v/>
      </c>
      <c r="BK33" s="100" t="str">
        <f t="shared" si="16"/>
        <v/>
      </c>
      <c r="BL33" s="100" t="str">
        <f t="shared" si="17"/>
        <v/>
      </c>
      <c r="BM33" s="100" t="str">
        <f t="shared" si="18"/>
        <v/>
      </c>
      <c r="BN33" s="100" t="str">
        <f t="shared" si="19"/>
        <v/>
      </c>
      <c r="BO33" s="250" t="str">
        <f t="shared" si="20"/>
        <v>0</v>
      </c>
      <c r="BP33" s="250" t="str">
        <f t="shared" si="21"/>
        <v>0</v>
      </c>
      <c r="BQ33" s="677" t="str">
        <f t="shared" si="22"/>
        <v>00</v>
      </c>
      <c r="BR33" s="335"/>
    </row>
    <row r="34" spans="1:70" s="256" customFormat="1" ht="15" customHeight="1">
      <c r="A34" s="501">
        <v>26</v>
      </c>
      <c r="B34" s="502"/>
      <c r="C34" s="812"/>
      <c r="D34" s="770"/>
      <c r="E34" s="558"/>
      <c r="F34" s="503"/>
      <c r="G34" s="503"/>
      <c r="H34" s="504"/>
      <c r="I34" s="505"/>
      <c r="J34" s="487"/>
      <c r="K34" s="533"/>
      <c r="L34" s="533"/>
      <c r="M34" s="678"/>
      <c r="N34" s="347" t="str">
        <f t="shared" si="0"/>
        <v>0</v>
      </c>
      <c r="O34" s="500" t="str">
        <f t="shared" si="1"/>
        <v/>
      </c>
      <c r="P34" s="586" t="str">
        <f t="shared" si="23"/>
        <v/>
      </c>
      <c r="Q34" s="491" t="str">
        <f>IF(P34="","",VLOOKUP(P34,所属コード!$A$2:$E$200,2,FALSE))</f>
        <v/>
      </c>
      <c r="R34" s="301" t="str">
        <f>IF(P34="","",VLOOKUP(P34,所属コード!$A:$G,7,FALSE))</f>
        <v/>
      </c>
      <c r="S34" s="350"/>
      <c r="T34" s="255"/>
      <c r="U34" s="255"/>
      <c r="V34" s="255"/>
      <c r="W34" s="255"/>
      <c r="X34" t="s">
        <v>512</v>
      </c>
      <c r="Y34" s="828"/>
      <c r="Z34" s="255" t="str">
        <f t="shared" si="6"/>
        <v/>
      </c>
      <c r="AA34" s="255"/>
      <c r="AB34" s="547"/>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328">
        <f t="shared" si="2"/>
        <v>0</v>
      </c>
      <c r="AY34" s="331">
        <f t="shared" si="3"/>
        <v>0</v>
      </c>
      <c r="AZ34" s="333">
        <f t="shared" si="4"/>
        <v>0</v>
      </c>
      <c r="BA34" s="331">
        <f t="shared" si="5"/>
        <v>0</v>
      </c>
      <c r="BB34" s="328">
        <f t="shared" si="7"/>
        <v>0</v>
      </c>
      <c r="BC34" s="538">
        <f t="shared" si="8"/>
        <v>0</v>
      </c>
      <c r="BD34" s="328">
        <f t="shared" si="9"/>
        <v>0</v>
      </c>
      <c r="BE34" s="535">
        <f t="shared" si="10"/>
        <v>0</v>
      </c>
      <c r="BF34" s="540">
        <f t="shared" si="11"/>
        <v>0</v>
      </c>
      <c r="BG34" s="541">
        <f t="shared" si="12"/>
        <v>0</v>
      </c>
      <c r="BH34" s="338" t="str">
        <f t="shared" si="13"/>
        <v/>
      </c>
      <c r="BI34" s="100" t="str">
        <f t="shared" si="14"/>
        <v/>
      </c>
      <c r="BJ34" s="100" t="str">
        <f t="shared" si="15"/>
        <v/>
      </c>
      <c r="BK34" s="100" t="str">
        <f t="shared" si="16"/>
        <v/>
      </c>
      <c r="BL34" s="100" t="str">
        <f t="shared" si="17"/>
        <v/>
      </c>
      <c r="BM34" s="100" t="str">
        <f t="shared" si="18"/>
        <v/>
      </c>
      <c r="BN34" s="100" t="str">
        <f t="shared" si="19"/>
        <v/>
      </c>
      <c r="BO34" s="250" t="str">
        <f t="shared" si="20"/>
        <v>0</v>
      </c>
      <c r="BP34" s="250" t="str">
        <f t="shared" si="21"/>
        <v>0</v>
      </c>
      <c r="BQ34" s="677" t="str">
        <f t="shared" si="22"/>
        <v>00</v>
      </c>
      <c r="BR34" s="335"/>
    </row>
    <row r="35" spans="1:70" s="256" customFormat="1" ht="15" customHeight="1">
      <c r="A35" s="501">
        <v>27</v>
      </c>
      <c r="B35" s="502"/>
      <c r="C35" s="812"/>
      <c r="D35" s="770"/>
      <c r="E35" s="558"/>
      <c r="F35" s="503"/>
      <c r="G35" s="503"/>
      <c r="H35" s="504"/>
      <c r="I35" s="505"/>
      <c r="J35" s="487"/>
      <c r="K35" s="533"/>
      <c r="L35" s="533"/>
      <c r="M35" s="678"/>
      <c r="N35" s="347" t="str">
        <f t="shared" si="0"/>
        <v>0</v>
      </c>
      <c r="O35" s="500" t="str">
        <f t="shared" si="1"/>
        <v/>
      </c>
      <c r="P35" s="586" t="str">
        <f t="shared" si="23"/>
        <v/>
      </c>
      <c r="Q35" s="491" t="str">
        <f>IF(P35="","",VLOOKUP(P35,所属コード!$A$2:$E$200,2,FALSE))</f>
        <v/>
      </c>
      <c r="R35" s="301" t="str">
        <f>IF(P35="","",VLOOKUP(P35,所属コード!$A:$G,7,FALSE))</f>
        <v/>
      </c>
      <c r="S35" s="350"/>
      <c r="T35" s="255"/>
      <c r="U35" s="255"/>
      <c r="V35" s="255"/>
      <c r="W35" s="255"/>
      <c r="X35" t="s">
        <v>515</v>
      </c>
      <c r="Y35" s="828"/>
      <c r="Z35" s="255" t="str">
        <f t="shared" si="6"/>
        <v/>
      </c>
      <c r="AA35" s="255"/>
      <c r="AB35" s="547"/>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328">
        <f t="shared" si="2"/>
        <v>0</v>
      </c>
      <c r="AY35" s="331">
        <f t="shared" si="3"/>
        <v>0</v>
      </c>
      <c r="AZ35" s="333">
        <f t="shared" si="4"/>
        <v>0</v>
      </c>
      <c r="BA35" s="331">
        <f t="shared" si="5"/>
        <v>0</v>
      </c>
      <c r="BB35" s="328">
        <f t="shared" si="7"/>
        <v>0</v>
      </c>
      <c r="BC35" s="538">
        <f t="shared" si="8"/>
        <v>0</v>
      </c>
      <c r="BD35" s="328">
        <f t="shared" si="9"/>
        <v>0</v>
      </c>
      <c r="BE35" s="535">
        <f t="shared" si="10"/>
        <v>0</v>
      </c>
      <c r="BF35" s="540">
        <f t="shared" si="11"/>
        <v>0</v>
      </c>
      <c r="BG35" s="541">
        <f t="shared" si="12"/>
        <v>0</v>
      </c>
      <c r="BH35" s="338" t="str">
        <f t="shared" si="13"/>
        <v/>
      </c>
      <c r="BI35" s="100" t="str">
        <f t="shared" si="14"/>
        <v/>
      </c>
      <c r="BJ35" s="100" t="str">
        <f t="shared" si="15"/>
        <v/>
      </c>
      <c r="BK35" s="100" t="str">
        <f t="shared" si="16"/>
        <v/>
      </c>
      <c r="BL35" s="100" t="str">
        <f t="shared" si="17"/>
        <v/>
      </c>
      <c r="BM35" s="100" t="str">
        <f t="shared" si="18"/>
        <v/>
      </c>
      <c r="BN35" s="100" t="str">
        <f t="shared" si="19"/>
        <v/>
      </c>
      <c r="BO35" s="250" t="str">
        <f t="shared" si="20"/>
        <v>0</v>
      </c>
      <c r="BP35" s="250" t="str">
        <f t="shared" si="21"/>
        <v>0</v>
      </c>
      <c r="BQ35" s="677" t="str">
        <f t="shared" si="22"/>
        <v>00</v>
      </c>
      <c r="BR35" s="335"/>
    </row>
    <row r="36" spans="1:70" s="256" customFormat="1" ht="15" customHeight="1">
      <c r="A36" s="501">
        <v>28</v>
      </c>
      <c r="B36" s="502"/>
      <c r="C36" s="812"/>
      <c r="D36" s="770"/>
      <c r="E36" s="558"/>
      <c r="F36" s="503"/>
      <c r="G36" s="503"/>
      <c r="H36" s="504"/>
      <c r="I36" s="505"/>
      <c r="J36" s="487"/>
      <c r="K36" s="533"/>
      <c r="L36" s="533"/>
      <c r="M36" s="678"/>
      <c r="N36" s="347" t="str">
        <f t="shared" si="0"/>
        <v>0</v>
      </c>
      <c r="O36" s="500" t="str">
        <f t="shared" si="1"/>
        <v/>
      </c>
      <c r="P36" s="586" t="str">
        <f t="shared" si="23"/>
        <v/>
      </c>
      <c r="Q36" s="491" t="str">
        <f>IF(P36="","",VLOOKUP(P36,所属コード!$A$2:$E$200,2,FALSE))</f>
        <v/>
      </c>
      <c r="R36" s="301" t="str">
        <f>IF(P36="","",VLOOKUP(P36,所属コード!$A:$G,7,FALSE))</f>
        <v/>
      </c>
      <c r="S36" s="350"/>
      <c r="T36" s="255"/>
      <c r="U36" s="255"/>
      <c r="V36" s="255"/>
      <c r="W36" s="255"/>
      <c r="X36" t="s">
        <v>517</v>
      </c>
      <c r="Y36" s="828"/>
      <c r="Z36" s="255" t="str">
        <f t="shared" si="6"/>
        <v/>
      </c>
      <c r="AA36" s="255"/>
      <c r="AB36" s="547"/>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328">
        <f t="shared" si="2"/>
        <v>0</v>
      </c>
      <c r="AY36" s="331">
        <f t="shared" si="3"/>
        <v>0</v>
      </c>
      <c r="AZ36" s="333">
        <f t="shared" si="4"/>
        <v>0</v>
      </c>
      <c r="BA36" s="331">
        <f t="shared" si="5"/>
        <v>0</v>
      </c>
      <c r="BB36" s="328">
        <f t="shared" si="7"/>
        <v>0</v>
      </c>
      <c r="BC36" s="538">
        <f t="shared" si="8"/>
        <v>0</v>
      </c>
      <c r="BD36" s="328">
        <f t="shared" si="9"/>
        <v>0</v>
      </c>
      <c r="BE36" s="535">
        <f t="shared" si="10"/>
        <v>0</v>
      </c>
      <c r="BF36" s="540">
        <f t="shared" si="11"/>
        <v>0</v>
      </c>
      <c r="BG36" s="541">
        <f t="shared" si="12"/>
        <v>0</v>
      </c>
      <c r="BH36" s="338" t="str">
        <f t="shared" si="13"/>
        <v/>
      </c>
      <c r="BI36" s="100" t="str">
        <f t="shared" si="14"/>
        <v/>
      </c>
      <c r="BJ36" s="100" t="str">
        <f t="shared" si="15"/>
        <v/>
      </c>
      <c r="BK36" s="100" t="str">
        <f t="shared" si="16"/>
        <v/>
      </c>
      <c r="BL36" s="100" t="str">
        <f t="shared" si="17"/>
        <v/>
      </c>
      <c r="BM36" s="100" t="str">
        <f t="shared" si="18"/>
        <v/>
      </c>
      <c r="BN36" s="100" t="str">
        <f t="shared" si="19"/>
        <v/>
      </c>
      <c r="BO36" s="250" t="str">
        <f t="shared" si="20"/>
        <v>0</v>
      </c>
      <c r="BP36" s="250" t="str">
        <f t="shared" si="21"/>
        <v>0</v>
      </c>
      <c r="BQ36" s="677" t="str">
        <f t="shared" si="22"/>
        <v>00</v>
      </c>
      <c r="BR36" s="335"/>
    </row>
    <row r="37" spans="1:70" s="256" customFormat="1" ht="15" customHeight="1">
      <c r="A37" s="501">
        <v>29</v>
      </c>
      <c r="B37" s="502"/>
      <c r="C37" s="812"/>
      <c r="D37" s="770"/>
      <c r="E37" s="558"/>
      <c r="F37" s="503"/>
      <c r="G37" s="503"/>
      <c r="H37" s="504"/>
      <c r="I37" s="505"/>
      <c r="J37" s="487"/>
      <c r="K37" s="533"/>
      <c r="L37" s="533"/>
      <c r="M37" s="678"/>
      <c r="N37" s="347" t="str">
        <f t="shared" si="0"/>
        <v>0</v>
      </c>
      <c r="O37" s="500" t="str">
        <f t="shared" si="1"/>
        <v/>
      </c>
      <c r="P37" s="586" t="str">
        <f t="shared" si="23"/>
        <v/>
      </c>
      <c r="Q37" s="491" t="str">
        <f>IF(P37="","",VLOOKUP(P37,所属コード!$A$2:$E$200,2,FALSE))</f>
        <v/>
      </c>
      <c r="R37" s="301" t="str">
        <f>IF(P37="","",VLOOKUP(P37,所属コード!$A:$G,7,FALSE))</f>
        <v/>
      </c>
      <c r="S37" s="350"/>
      <c r="T37" s="255"/>
      <c r="U37" s="255"/>
      <c r="V37" s="255"/>
      <c r="W37" s="255"/>
      <c r="X37" t="s">
        <v>518</v>
      </c>
      <c r="Y37" s="828"/>
      <c r="Z37" s="255" t="str">
        <f t="shared" si="6"/>
        <v/>
      </c>
      <c r="AA37" s="255"/>
      <c r="AB37" s="547"/>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328">
        <f t="shared" si="2"/>
        <v>0</v>
      </c>
      <c r="AY37" s="331">
        <f t="shared" si="3"/>
        <v>0</v>
      </c>
      <c r="AZ37" s="333">
        <f t="shared" si="4"/>
        <v>0</v>
      </c>
      <c r="BA37" s="331">
        <f t="shared" si="5"/>
        <v>0</v>
      </c>
      <c r="BB37" s="328">
        <f t="shared" si="7"/>
        <v>0</v>
      </c>
      <c r="BC37" s="538">
        <f t="shared" si="8"/>
        <v>0</v>
      </c>
      <c r="BD37" s="328">
        <f t="shared" si="9"/>
        <v>0</v>
      </c>
      <c r="BE37" s="535">
        <f t="shared" si="10"/>
        <v>0</v>
      </c>
      <c r="BF37" s="540">
        <f t="shared" si="11"/>
        <v>0</v>
      </c>
      <c r="BG37" s="541">
        <f t="shared" si="12"/>
        <v>0</v>
      </c>
      <c r="BH37" s="338" t="str">
        <f t="shared" si="13"/>
        <v/>
      </c>
      <c r="BI37" s="100" t="str">
        <f t="shared" si="14"/>
        <v/>
      </c>
      <c r="BJ37" s="100" t="str">
        <f t="shared" si="15"/>
        <v/>
      </c>
      <c r="BK37" s="100" t="str">
        <f t="shared" si="16"/>
        <v/>
      </c>
      <c r="BL37" s="100" t="str">
        <f t="shared" si="17"/>
        <v/>
      </c>
      <c r="BM37" s="100" t="str">
        <f t="shared" si="18"/>
        <v/>
      </c>
      <c r="BN37" s="100" t="str">
        <f t="shared" si="19"/>
        <v/>
      </c>
      <c r="BO37" s="250" t="str">
        <f t="shared" si="20"/>
        <v>0</v>
      </c>
      <c r="BP37" s="250" t="str">
        <f t="shared" si="21"/>
        <v>0</v>
      </c>
      <c r="BQ37" s="677" t="str">
        <f t="shared" si="22"/>
        <v>00</v>
      </c>
      <c r="BR37" s="335"/>
    </row>
    <row r="38" spans="1:70" s="256" customFormat="1" ht="15" customHeight="1">
      <c r="A38" s="501">
        <v>30</v>
      </c>
      <c r="B38" s="502"/>
      <c r="C38" s="812"/>
      <c r="D38" s="770"/>
      <c r="E38" s="558"/>
      <c r="F38" s="503"/>
      <c r="G38" s="503"/>
      <c r="H38" s="504"/>
      <c r="I38" s="505"/>
      <c r="J38" s="487"/>
      <c r="K38" s="533"/>
      <c r="L38" s="533"/>
      <c r="M38" s="678"/>
      <c r="N38" s="347" t="str">
        <f t="shared" si="0"/>
        <v>0</v>
      </c>
      <c r="O38" s="500" t="str">
        <f t="shared" si="1"/>
        <v/>
      </c>
      <c r="P38" s="586" t="str">
        <f t="shared" si="23"/>
        <v/>
      </c>
      <c r="Q38" s="491" t="str">
        <f>IF(P38="","",VLOOKUP(P38,所属コード!$A$2:$E$200,2,FALSE))</f>
        <v/>
      </c>
      <c r="R38" s="301" t="str">
        <f>IF(P38="","",VLOOKUP(P38,所属コード!$A:$G,7,FALSE))</f>
        <v/>
      </c>
      <c r="S38" s="350"/>
      <c r="T38" s="255"/>
      <c r="U38" s="255"/>
      <c r="V38" s="255"/>
      <c r="W38" s="255"/>
      <c r="X38" t="s">
        <v>519</v>
      </c>
      <c r="Y38" s="828"/>
      <c r="Z38" s="255" t="str">
        <f t="shared" si="6"/>
        <v/>
      </c>
      <c r="AA38" s="255"/>
      <c r="AB38" s="547"/>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328">
        <f t="shared" si="2"/>
        <v>0</v>
      </c>
      <c r="AY38" s="331">
        <f t="shared" si="3"/>
        <v>0</v>
      </c>
      <c r="AZ38" s="333">
        <f t="shared" si="4"/>
        <v>0</v>
      </c>
      <c r="BA38" s="331">
        <f t="shared" si="5"/>
        <v>0</v>
      </c>
      <c r="BB38" s="328">
        <f t="shared" si="7"/>
        <v>0</v>
      </c>
      <c r="BC38" s="538">
        <f t="shared" si="8"/>
        <v>0</v>
      </c>
      <c r="BD38" s="328">
        <f t="shared" si="9"/>
        <v>0</v>
      </c>
      <c r="BE38" s="535">
        <f t="shared" si="10"/>
        <v>0</v>
      </c>
      <c r="BF38" s="540">
        <f t="shared" si="11"/>
        <v>0</v>
      </c>
      <c r="BG38" s="541">
        <f t="shared" si="12"/>
        <v>0</v>
      </c>
      <c r="BH38" s="338" t="str">
        <f t="shared" si="13"/>
        <v/>
      </c>
      <c r="BI38" s="100" t="str">
        <f t="shared" si="14"/>
        <v/>
      </c>
      <c r="BJ38" s="100" t="str">
        <f t="shared" si="15"/>
        <v/>
      </c>
      <c r="BK38" s="100" t="str">
        <f t="shared" si="16"/>
        <v/>
      </c>
      <c r="BL38" s="100" t="str">
        <f t="shared" si="17"/>
        <v/>
      </c>
      <c r="BM38" s="100" t="str">
        <f t="shared" si="18"/>
        <v/>
      </c>
      <c r="BN38" s="100" t="str">
        <f t="shared" si="19"/>
        <v/>
      </c>
      <c r="BO38" s="250" t="str">
        <f t="shared" si="20"/>
        <v>0</v>
      </c>
      <c r="BP38" s="250" t="str">
        <f t="shared" si="21"/>
        <v>0</v>
      </c>
      <c r="BQ38" s="677" t="str">
        <f t="shared" si="22"/>
        <v>00</v>
      </c>
      <c r="BR38" s="335"/>
    </row>
    <row r="39" spans="1:70" s="256" customFormat="1" ht="15" customHeight="1">
      <c r="A39" s="501">
        <v>31</v>
      </c>
      <c r="B39" s="502"/>
      <c r="C39" s="812"/>
      <c r="D39" s="770"/>
      <c r="E39" s="558"/>
      <c r="F39" s="503"/>
      <c r="G39" s="503"/>
      <c r="H39" s="504"/>
      <c r="I39" s="505"/>
      <c r="J39" s="487"/>
      <c r="K39" s="533"/>
      <c r="L39" s="533"/>
      <c r="M39" s="678"/>
      <c r="N39" s="347" t="str">
        <f t="shared" si="0"/>
        <v>0</v>
      </c>
      <c r="O39" s="500" t="str">
        <f t="shared" si="1"/>
        <v/>
      </c>
      <c r="P39" s="586" t="str">
        <f t="shared" si="23"/>
        <v/>
      </c>
      <c r="Q39" s="491" t="str">
        <f>IF(P39="","",VLOOKUP(P39,所属コード!$A$2:$E$200,2,FALSE))</f>
        <v/>
      </c>
      <c r="R39" s="301" t="str">
        <f>IF(P39="","",VLOOKUP(P39,所属コード!$A:$G,7,FALSE))</f>
        <v/>
      </c>
      <c r="S39" s="350"/>
      <c r="T39" s="255"/>
      <c r="U39" s="255"/>
      <c r="V39" s="255"/>
      <c r="W39" s="255"/>
      <c r="X39" t="s">
        <v>494</v>
      </c>
      <c r="Y39" s="828"/>
      <c r="Z39" s="255" t="str">
        <f t="shared" si="6"/>
        <v/>
      </c>
      <c r="AA39" s="255"/>
      <c r="AB39" s="547"/>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328">
        <f t="shared" si="2"/>
        <v>0</v>
      </c>
      <c r="AY39" s="331">
        <f t="shared" si="3"/>
        <v>0</v>
      </c>
      <c r="AZ39" s="333">
        <f t="shared" si="4"/>
        <v>0</v>
      </c>
      <c r="BA39" s="331">
        <f t="shared" si="5"/>
        <v>0</v>
      </c>
      <c r="BB39" s="328">
        <f t="shared" si="7"/>
        <v>0</v>
      </c>
      <c r="BC39" s="538">
        <f t="shared" si="8"/>
        <v>0</v>
      </c>
      <c r="BD39" s="328">
        <f t="shared" si="9"/>
        <v>0</v>
      </c>
      <c r="BE39" s="535">
        <f t="shared" si="10"/>
        <v>0</v>
      </c>
      <c r="BF39" s="540">
        <f t="shared" si="11"/>
        <v>0</v>
      </c>
      <c r="BG39" s="541">
        <f t="shared" si="12"/>
        <v>0</v>
      </c>
      <c r="BH39" s="338" t="str">
        <f t="shared" si="13"/>
        <v/>
      </c>
      <c r="BI39" s="100" t="str">
        <f t="shared" si="14"/>
        <v/>
      </c>
      <c r="BJ39" s="100" t="str">
        <f t="shared" si="15"/>
        <v/>
      </c>
      <c r="BK39" s="100" t="str">
        <f t="shared" si="16"/>
        <v/>
      </c>
      <c r="BL39" s="100" t="str">
        <f t="shared" si="17"/>
        <v/>
      </c>
      <c r="BM39" s="100" t="str">
        <f t="shared" si="18"/>
        <v/>
      </c>
      <c r="BN39" s="100" t="str">
        <f t="shared" si="19"/>
        <v/>
      </c>
      <c r="BO39" s="250" t="str">
        <f t="shared" si="20"/>
        <v>0</v>
      </c>
      <c r="BP39" s="250" t="str">
        <f t="shared" si="21"/>
        <v>0</v>
      </c>
      <c r="BQ39" s="677" t="str">
        <f t="shared" si="22"/>
        <v>00</v>
      </c>
      <c r="BR39" s="335"/>
    </row>
    <row r="40" spans="1:70" s="256" customFormat="1" ht="15" customHeight="1">
      <c r="A40" s="501">
        <v>32</v>
      </c>
      <c r="B40" s="502"/>
      <c r="C40" s="812"/>
      <c r="D40" s="770"/>
      <c r="E40" s="558"/>
      <c r="F40" s="503"/>
      <c r="G40" s="503"/>
      <c r="H40" s="504"/>
      <c r="I40" s="505"/>
      <c r="J40" s="487"/>
      <c r="K40" s="533"/>
      <c r="L40" s="533"/>
      <c r="M40" s="678"/>
      <c r="N40" s="347" t="str">
        <f t="shared" si="0"/>
        <v>0</v>
      </c>
      <c r="O40" s="500" t="str">
        <f t="shared" si="1"/>
        <v/>
      </c>
      <c r="P40" s="586" t="str">
        <f t="shared" si="23"/>
        <v/>
      </c>
      <c r="Q40" s="491" t="str">
        <f>IF(P40="","",VLOOKUP(P40,所属コード!$A$2:$E$200,2,FALSE))</f>
        <v/>
      </c>
      <c r="R40" s="301" t="str">
        <f>IF(P40="","",VLOOKUP(P40,所属コード!$A:$G,7,FALSE))</f>
        <v/>
      </c>
      <c r="S40" s="350"/>
      <c r="T40" s="255"/>
      <c r="U40" s="255"/>
      <c r="V40" s="255"/>
      <c r="W40" s="255"/>
      <c r="X40" t="s">
        <v>495</v>
      </c>
      <c r="Y40" s="828"/>
      <c r="Z40" s="255" t="str">
        <f t="shared" si="6"/>
        <v/>
      </c>
      <c r="AA40" s="255"/>
      <c r="AB40" s="547"/>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328">
        <f t="shared" si="2"/>
        <v>0</v>
      </c>
      <c r="AY40" s="331">
        <f t="shared" si="3"/>
        <v>0</v>
      </c>
      <c r="AZ40" s="333">
        <f t="shared" si="4"/>
        <v>0</v>
      </c>
      <c r="BA40" s="331">
        <f t="shared" si="5"/>
        <v>0</v>
      </c>
      <c r="BB40" s="328">
        <f t="shared" si="7"/>
        <v>0</v>
      </c>
      <c r="BC40" s="538">
        <f t="shared" si="8"/>
        <v>0</v>
      </c>
      <c r="BD40" s="328">
        <f t="shared" si="9"/>
        <v>0</v>
      </c>
      <c r="BE40" s="535">
        <f t="shared" si="10"/>
        <v>0</v>
      </c>
      <c r="BF40" s="540">
        <f t="shared" si="11"/>
        <v>0</v>
      </c>
      <c r="BG40" s="541">
        <f t="shared" si="12"/>
        <v>0</v>
      </c>
      <c r="BH40" s="338" t="str">
        <f t="shared" si="13"/>
        <v/>
      </c>
      <c r="BI40" s="100" t="str">
        <f t="shared" si="14"/>
        <v/>
      </c>
      <c r="BJ40" s="100" t="str">
        <f t="shared" si="15"/>
        <v/>
      </c>
      <c r="BK40" s="100" t="str">
        <f t="shared" si="16"/>
        <v/>
      </c>
      <c r="BL40" s="100" t="str">
        <f t="shared" si="17"/>
        <v/>
      </c>
      <c r="BM40" s="100" t="str">
        <f t="shared" si="18"/>
        <v/>
      </c>
      <c r="BN40" s="100" t="str">
        <f t="shared" si="19"/>
        <v/>
      </c>
      <c r="BO40" s="250" t="str">
        <f t="shared" si="20"/>
        <v>0</v>
      </c>
      <c r="BP40" s="250" t="str">
        <f t="shared" si="21"/>
        <v>0</v>
      </c>
      <c r="BQ40" s="677" t="str">
        <f t="shared" si="22"/>
        <v>00</v>
      </c>
      <c r="BR40" s="335"/>
    </row>
    <row r="41" spans="1:70" s="256" customFormat="1" ht="15" customHeight="1">
      <c r="A41" s="501">
        <v>33</v>
      </c>
      <c r="B41" s="502"/>
      <c r="C41" s="812"/>
      <c r="D41" s="770"/>
      <c r="E41" s="558"/>
      <c r="F41" s="503"/>
      <c r="G41" s="503"/>
      <c r="H41" s="504"/>
      <c r="I41" s="505"/>
      <c r="J41" s="487"/>
      <c r="K41" s="533"/>
      <c r="L41" s="533"/>
      <c r="M41" s="678"/>
      <c r="N41" s="347" t="str">
        <f t="shared" ref="N41:N58" si="24">CONCATENATE(L41,BO41)</f>
        <v>0</v>
      </c>
      <c r="O41" s="500" t="str">
        <f t="shared" si="1"/>
        <v/>
      </c>
      <c r="P41" s="586" t="str">
        <f t="shared" si="23"/>
        <v/>
      </c>
      <c r="Q41" s="491" t="str">
        <f>IF(P41="","",VLOOKUP(P41,所属コード!$A$2:$E$200,2,FALSE))</f>
        <v/>
      </c>
      <c r="R41" s="301" t="str">
        <f>IF(P41="","",VLOOKUP(P41,所属コード!$A:$G,7,FALSE))</f>
        <v/>
      </c>
      <c r="S41" s="350"/>
      <c r="T41" s="255"/>
      <c r="U41" s="255"/>
      <c r="V41" s="255"/>
      <c r="W41" s="255"/>
      <c r="X41" t="s">
        <v>496</v>
      </c>
      <c r="Y41" s="828"/>
      <c r="Z41" s="255" t="str">
        <f t="shared" si="6"/>
        <v/>
      </c>
      <c r="AA41" s="255"/>
      <c r="AB41" s="547"/>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328">
        <f t="shared" ref="AX41:AX58" si="25">AG41</f>
        <v>0</v>
      </c>
      <c r="AY41" s="331">
        <f t="shared" ref="AY41:AY58" si="26">AJ41</f>
        <v>0</v>
      </c>
      <c r="AZ41" s="333">
        <f t="shared" ref="AZ41:AZ58" si="27">AK41</f>
        <v>0</v>
      </c>
      <c r="BA41" s="331">
        <f t="shared" ref="BA41:BA58" si="28">AJ41</f>
        <v>0</v>
      </c>
      <c r="BB41" s="328">
        <f t="shared" si="7"/>
        <v>0</v>
      </c>
      <c r="BC41" s="538">
        <f t="shared" si="8"/>
        <v>0</v>
      </c>
      <c r="BD41" s="328">
        <f t="shared" si="9"/>
        <v>0</v>
      </c>
      <c r="BE41" s="535">
        <f t="shared" si="10"/>
        <v>0</v>
      </c>
      <c r="BF41" s="540">
        <f t="shared" si="11"/>
        <v>0</v>
      </c>
      <c r="BG41" s="541">
        <f t="shared" si="12"/>
        <v>0</v>
      </c>
      <c r="BH41" s="338" t="str">
        <f t="shared" si="13"/>
        <v/>
      </c>
      <c r="BI41" s="100" t="str">
        <f t="shared" si="14"/>
        <v/>
      </c>
      <c r="BJ41" s="100" t="str">
        <f t="shared" si="15"/>
        <v/>
      </c>
      <c r="BK41" s="100" t="str">
        <f t="shared" si="16"/>
        <v/>
      </c>
      <c r="BL41" s="100" t="str">
        <f t="shared" si="17"/>
        <v/>
      </c>
      <c r="BM41" s="100" t="str">
        <f t="shared" si="18"/>
        <v/>
      </c>
      <c r="BN41" s="100" t="str">
        <f t="shared" si="19"/>
        <v/>
      </c>
      <c r="BO41" s="250" t="str">
        <f t="shared" si="20"/>
        <v>0</v>
      </c>
      <c r="BP41" s="250" t="str">
        <f t="shared" si="21"/>
        <v>0</v>
      </c>
      <c r="BQ41" s="677" t="str">
        <f t="shared" si="22"/>
        <v>00</v>
      </c>
      <c r="BR41" s="335"/>
    </row>
    <row r="42" spans="1:70" s="256" customFormat="1" ht="15" customHeight="1">
      <c r="A42" s="501">
        <v>34</v>
      </c>
      <c r="B42" s="502"/>
      <c r="C42" s="812"/>
      <c r="D42" s="770"/>
      <c r="E42" s="558"/>
      <c r="F42" s="503"/>
      <c r="G42" s="503"/>
      <c r="H42" s="504"/>
      <c r="I42" s="505"/>
      <c r="J42" s="487"/>
      <c r="K42" s="533"/>
      <c r="L42" s="533"/>
      <c r="M42" s="678"/>
      <c r="N42" s="347" t="str">
        <f t="shared" si="24"/>
        <v>0</v>
      </c>
      <c r="O42" s="500" t="str">
        <f t="shared" si="1"/>
        <v/>
      </c>
      <c r="P42" s="586" t="str">
        <f t="shared" si="23"/>
        <v/>
      </c>
      <c r="Q42" s="491" t="str">
        <f>IF(P42="","",VLOOKUP(P42,所属コード!$A$2:$E$200,2,FALSE))</f>
        <v/>
      </c>
      <c r="R42" s="301" t="str">
        <f>IF(P42="","",VLOOKUP(P42,所属コード!$A:$G,7,FALSE))</f>
        <v/>
      </c>
      <c r="S42" s="350"/>
      <c r="T42" s="255"/>
      <c r="U42" s="255"/>
      <c r="V42" s="255"/>
      <c r="W42" s="255"/>
      <c r="X42" t="s">
        <v>503</v>
      </c>
      <c r="Y42" s="828"/>
      <c r="Z42" s="255" t="str">
        <f t="shared" si="6"/>
        <v/>
      </c>
      <c r="AA42" s="255"/>
      <c r="AB42" s="547"/>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328">
        <f t="shared" si="25"/>
        <v>0</v>
      </c>
      <c r="AY42" s="331">
        <f t="shared" si="26"/>
        <v>0</v>
      </c>
      <c r="AZ42" s="333">
        <f t="shared" si="27"/>
        <v>0</v>
      </c>
      <c r="BA42" s="331">
        <f t="shared" si="28"/>
        <v>0</v>
      </c>
      <c r="BB42" s="328">
        <f t="shared" ref="BB42:BB58" si="29">AT42</f>
        <v>0</v>
      </c>
      <c r="BC42" s="538">
        <f t="shared" si="8"/>
        <v>0</v>
      </c>
      <c r="BD42" s="328">
        <f t="shared" si="9"/>
        <v>0</v>
      </c>
      <c r="BE42" s="535">
        <f t="shared" ref="BE42:BE58" si="30">AV42</f>
        <v>0</v>
      </c>
      <c r="BF42" s="540">
        <f t="shared" si="11"/>
        <v>0</v>
      </c>
      <c r="BG42" s="541">
        <f t="shared" si="12"/>
        <v>0</v>
      </c>
      <c r="BH42" s="338" t="str">
        <f t="shared" si="13"/>
        <v/>
      </c>
      <c r="BI42" s="100" t="str">
        <f t="shared" si="14"/>
        <v/>
      </c>
      <c r="BJ42" s="100" t="str">
        <f t="shared" si="15"/>
        <v/>
      </c>
      <c r="BK42" s="100" t="str">
        <f t="shared" si="16"/>
        <v/>
      </c>
      <c r="BL42" s="100" t="str">
        <f t="shared" si="17"/>
        <v/>
      </c>
      <c r="BM42" s="100" t="str">
        <f t="shared" si="18"/>
        <v/>
      </c>
      <c r="BN42" s="100" t="str">
        <f t="shared" si="19"/>
        <v/>
      </c>
      <c r="BO42" s="250" t="str">
        <f t="shared" si="20"/>
        <v>0</v>
      </c>
      <c r="BP42" s="250" t="str">
        <f t="shared" si="21"/>
        <v>0</v>
      </c>
      <c r="BQ42" s="677" t="str">
        <f t="shared" si="22"/>
        <v>00</v>
      </c>
      <c r="BR42" s="335"/>
    </row>
    <row r="43" spans="1:70" s="256" customFormat="1" ht="15" customHeight="1">
      <c r="A43" s="501">
        <v>35</v>
      </c>
      <c r="B43" s="502"/>
      <c r="C43" s="812"/>
      <c r="D43" s="770"/>
      <c r="E43" s="558"/>
      <c r="F43" s="503"/>
      <c r="G43" s="503"/>
      <c r="H43" s="504"/>
      <c r="I43" s="505"/>
      <c r="J43" s="487"/>
      <c r="K43" s="533"/>
      <c r="L43" s="533"/>
      <c r="M43" s="678"/>
      <c r="N43" s="347" t="str">
        <f t="shared" si="24"/>
        <v>0</v>
      </c>
      <c r="O43" s="500" t="str">
        <f t="shared" si="1"/>
        <v/>
      </c>
      <c r="P43" s="586" t="str">
        <f t="shared" si="23"/>
        <v/>
      </c>
      <c r="Q43" s="491" t="str">
        <f>IF(P43="","",VLOOKUP(P43,所属コード!$A$2:$E$200,2,FALSE))</f>
        <v/>
      </c>
      <c r="R43" s="301" t="str">
        <f>IF(P43="","",VLOOKUP(P43,所属コード!$A:$G,7,FALSE))</f>
        <v/>
      </c>
      <c r="S43" s="350"/>
      <c r="T43" s="255"/>
      <c r="U43" s="255"/>
      <c r="V43" s="255"/>
      <c r="W43" s="255"/>
      <c r="X43" t="s">
        <v>507</v>
      </c>
      <c r="Y43" s="828"/>
      <c r="Z43" s="255" t="str">
        <f t="shared" si="6"/>
        <v/>
      </c>
      <c r="AA43" s="255"/>
      <c r="AB43" s="547"/>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328">
        <f t="shared" si="25"/>
        <v>0</v>
      </c>
      <c r="AY43" s="331">
        <f t="shared" si="26"/>
        <v>0</v>
      </c>
      <c r="AZ43" s="333">
        <f t="shared" si="27"/>
        <v>0</v>
      </c>
      <c r="BA43" s="331">
        <f t="shared" si="28"/>
        <v>0</v>
      </c>
      <c r="BB43" s="328">
        <f t="shared" si="29"/>
        <v>0</v>
      </c>
      <c r="BC43" s="538">
        <f t="shared" si="8"/>
        <v>0</v>
      </c>
      <c r="BD43" s="328">
        <f t="shared" si="9"/>
        <v>0</v>
      </c>
      <c r="BE43" s="535">
        <f t="shared" si="30"/>
        <v>0</v>
      </c>
      <c r="BF43" s="540">
        <f t="shared" si="11"/>
        <v>0</v>
      </c>
      <c r="BG43" s="541">
        <f t="shared" si="12"/>
        <v>0</v>
      </c>
      <c r="BH43" s="338" t="str">
        <f t="shared" si="13"/>
        <v/>
      </c>
      <c r="BI43" s="100" t="str">
        <f t="shared" si="14"/>
        <v/>
      </c>
      <c r="BJ43" s="100" t="str">
        <f t="shared" si="15"/>
        <v/>
      </c>
      <c r="BK43" s="100" t="str">
        <f t="shared" si="16"/>
        <v/>
      </c>
      <c r="BL43" s="100" t="str">
        <f t="shared" si="17"/>
        <v/>
      </c>
      <c r="BM43" s="100" t="str">
        <f t="shared" si="18"/>
        <v/>
      </c>
      <c r="BN43" s="100" t="str">
        <f t="shared" si="19"/>
        <v/>
      </c>
      <c r="BO43" s="250" t="str">
        <f t="shared" si="20"/>
        <v>0</v>
      </c>
      <c r="BP43" s="250" t="str">
        <f t="shared" si="21"/>
        <v>0</v>
      </c>
      <c r="BQ43" s="677" t="str">
        <f t="shared" si="22"/>
        <v>00</v>
      </c>
      <c r="BR43" s="335"/>
    </row>
    <row r="44" spans="1:70" s="256" customFormat="1" ht="15" customHeight="1">
      <c r="A44" s="501">
        <v>36</v>
      </c>
      <c r="B44" s="502"/>
      <c r="C44" s="812"/>
      <c r="D44" s="770"/>
      <c r="E44" s="558"/>
      <c r="F44" s="503"/>
      <c r="G44" s="503"/>
      <c r="H44" s="504"/>
      <c r="I44" s="505"/>
      <c r="J44" s="487"/>
      <c r="K44" s="533"/>
      <c r="L44" s="533"/>
      <c r="M44" s="678"/>
      <c r="N44" s="347" t="str">
        <f t="shared" si="24"/>
        <v>0</v>
      </c>
      <c r="O44" s="500" t="str">
        <f t="shared" si="1"/>
        <v/>
      </c>
      <c r="P44" s="586" t="str">
        <f t="shared" si="23"/>
        <v/>
      </c>
      <c r="Q44" s="491" t="str">
        <f>IF(P44="","",VLOOKUP(P44,所属コード!$A$2:$E$200,2,FALSE))</f>
        <v/>
      </c>
      <c r="R44" s="301" t="str">
        <f>IF(P44="","",VLOOKUP(P44,所属コード!$A:$G,7,FALSE))</f>
        <v/>
      </c>
      <c r="S44" s="350"/>
      <c r="T44" s="255"/>
      <c r="U44" s="255"/>
      <c r="V44" s="255"/>
      <c r="W44" s="255"/>
      <c r="X44" t="s">
        <v>514</v>
      </c>
      <c r="Y44" s="828"/>
      <c r="Z44" s="255" t="str">
        <f t="shared" si="6"/>
        <v/>
      </c>
      <c r="AA44" s="255"/>
      <c r="AB44" s="547"/>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328">
        <f t="shared" si="25"/>
        <v>0</v>
      </c>
      <c r="AY44" s="331">
        <f t="shared" si="26"/>
        <v>0</v>
      </c>
      <c r="AZ44" s="333">
        <f t="shared" si="27"/>
        <v>0</v>
      </c>
      <c r="BA44" s="331">
        <f t="shared" si="28"/>
        <v>0</v>
      </c>
      <c r="BB44" s="328">
        <f t="shared" si="29"/>
        <v>0</v>
      </c>
      <c r="BC44" s="538">
        <f t="shared" si="8"/>
        <v>0</v>
      </c>
      <c r="BD44" s="328">
        <f t="shared" si="9"/>
        <v>0</v>
      </c>
      <c r="BE44" s="535">
        <f t="shared" si="30"/>
        <v>0</v>
      </c>
      <c r="BF44" s="540">
        <f t="shared" si="11"/>
        <v>0</v>
      </c>
      <c r="BG44" s="541">
        <f t="shared" si="12"/>
        <v>0</v>
      </c>
      <c r="BH44" s="338" t="str">
        <f t="shared" si="13"/>
        <v/>
      </c>
      <c r="BI44" s="100" t="str">
        <f t="shared" si="14"/>
        <v/>
      </c>
      <c r="BJ44" s="100" t="str">
        <f t="shared" si="15"/>
        <v/>
      </c>
      <c r="BK44" s="100" t="str">
        <f t="shared" si="16"/>
        <v/>
      </c>
      <c r="BL44" s="100" t="str">
        <f t="shared" si="17"/>
        <v/>
      </c>
      <c r="BM44" s="100" t="str">
        <f t="shared" si="18"/>
        <v/>
      </c>
      <c r="BN44" s="100" t="str">
        <f t="shared" si="19"/>
        <v/>
      </c>
      <c r="BO44" s="250" t="str">
        <f t="shared" si="20"/>
        <v>0</v>
      </c>
      <c r="BP44" s="250" t="str">
        <f t="shared" si="21"/>
        <v>0</v>
      </c>
      <c r="BQ44" s="677" t="str">
        <f t="shared" si="22"/>
        <v>00</v>
      </c>
      <c r="BR44" s="335"/>
    </row>
    <row r="45" spans="1:70" s="256" customFormat="1" ht="15" customHeight="1">
      <c r="A45" s="501">
        <v>37</v>
      </c>
      <c r="B45" s="502"/>
      <c r="C45" s="812"/>
      <c r="D45" s="770"/>
      <c r="E45" s="558"/>
      <c r="F45" s="503"/>
      <c r="G45" s="503"/>
      <c r="H45" s="504"/>
      <c r="I45" s="505"/>
      <c r="J45" s="487"/>
      <c r="K45" s="533"/>
      <c r="L45" s="533"/>
      <c r="M45" s="678"/>
      <c r="N45" s="347" t="str">
        <f t="shared" si="24"/>
        <v>0</v>
      </c>
      <c r="O45" s="500" t="str">
        <f t="shared" si="1"/>
        <v/>
      </c>
      <c r="P45" s="586" t="str">
        <f t="shared" si="23"/>
        <v/>
      </c>
      <c r="Q45" s="491" t="str">
        <f>IF(P45="","",VLOOKUP(P45,所属コード!$A$2:$E$200,2,FALSE))</f>
        <v/>
      </c>
      <c r="R45" s="301" t="str">
        <f>IF(P45="","",VLOOKUP(P45,所属コード!$A:$G,7,FALSE))</f>
        <v/>
      </c>
      <c r="S45" s="350"/>
      <c r="T45" s="255"/>
      <c r="U45" s="255"/>
      <c r="V45" s="255"/>
      <c r="W45" s="255"/>
      <c r="X45" t="s">
        <v>576</v>
      </c>
      <c r="Y45" s="828"/>
      <c r="Z45" s="255" t="str">
        <f t="shared" si="6"/>
        <v/>
      </c>
      <c r="AA45" s="255"/>
      <c r="AB45" s="547"/>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328">
        <f t="shared" si="25"/>
        <v>0</v>
      </c>
      <c r="AY45" s="331">
        <f t="shared" si="26"/>
        <v>0</v>
      </c>
      <c r="AZ45" s="333">
        <f t="shared" si="27"/>
        <v>0</v>
      </c>
      <c r="BA45" s="331">
        <f t="shared" si="28"/>
        <v>0</v>
      </c>
      <c r="BB45" s="328">
        <f t="shared" si="29"/>
        <v>0</v>
      </c>
      <c r="BC45" s="538">
        <f t="shared" si="8"/>
        <v>0</v>
      </c>
      <c r="BD45" s="328">
        <f t="shared" si="9"/>
        <v>0</v>
      </c>
      <c r="BE45" s="535">
        <f t="shared" si="30"/>
        <v>0</v>
      </c>
      <c r="BF45" s="540">
        <f t="shared" si="11"/>
        <v>0</v>
      </c>
      <c r="BG45" s="541">
        <f t="shared" si="12"/>
        <v>0</v>
      </c>
      <c r="BH45" s="338" t="str">
        <f t="shared" si="13"/>
        <v/>
      </c>
      <c r="BI45" s="100" t="str">
        <f t="shared" si="14"/>
        <v/>
      </c>
      <c r="BJ45" s="100" t="str">
        <f t="shared" si="15"/>
        <v/>
      </c>
      <c r="BK45" s="100" t="str">
        <f t="shared" si="16"/>
        <v/>
      </c>
      <c r="BL45" s="100" t="str">
        <f t="shared" si="17"/>
        <v/>
      </c>
      <c r="BM45" s="100" t="str">
        <f t="shared" si="18"/>
        <v/>
      </c>
      <c r="BN45" s="100" t="str">
        <f t="shared" si="19"/>
        <v/>
      </c>
      <c r="BO45" s="250" t="str">
        <f t="shared" si="20"/>
        <v>0</v>
      </c>
      <c r="BP45" s="250" t="str">
        <f t="shared" si="21"/>
        <v>0</v>
      </c>
      <c r="BQ45" s="677" t="str">
        <f t="shared" si="22"/>
        <v>00</v>
      </c>
      <c r="BR45" s="335"/>
    </row>
    <row r="46" spans="1:70" ht="15" customHeight="1">
      <c r="A46" s="501">
        <v>38</v>
      </c>
      <c r="B46" s="502"/>
      <c r="C46" s="812"/>
      <c r="D46" s="770"/>
      <c r="E46" s="558"/>
      <c r="F46" s="503"/>
      <c r="G46" s="503"/>
      <c r="H46" s="504"/>
      <c r="I46" s="505"/>
      <c r="J46" s="487"/>
      <c r="K46" s="533"/>
      <c r="L46" s="533"/>
      <c r="M46" s="678"/>
      <c r="N46" s="347" t="str">
        <f t="shared" si="24"/>
        <v>0</v>
      </c>
      <c r="O46" s="500" t="str">
        <f t="shared" si="1"/>
        <v/>
      </c>
      <c r="P46" s="586" t="str">
        <f t="shared" si="23"/>
        <v/>
      </c>
      <c r="Q46" s="491" t="str">
        <f>IF(P46="","",VLOOKUP(P46,所属コード!$A$2:$E$200,2,FALSE))</f>
        <v/>
      </c>
      <c r="R46" s="301" t="str">
        <f>IF(P46="","",VLOOKUP(P46,所属コード!$A:$G,7,FALSE))</f>
        <v/>
      </c>
      <c r="S46" s="350"/>
      <c r="T46" s="248"/>
      <c r="U46" s="248"/>
      <c r="V46" s="248"/>
      <c r="W46" s="248"/>
      <c r="X46" t="s">
        <v>577</v>
      </c>
      <c r="Y46" s="828"/>
      <c r="Z46" s="255" t="str">
        <f t="shared" si="6"/>
        <v/>
      </c>
      <c r="AA46" s="248"/>
      <c r="AB46" s="547"/>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328">
        <f t="shared" si="25"/>
        <v>0</v>
      </c>
      <c r="AY46" s="331">
        <f t="shared" si="26"/>
        <v>0</v>
      </c>
      <c r="AZ46" s="333">
        <f t="shared" si="27"/>
        <v>0</v>
      </c>
      <c r="BA46" s="331">
        <f t="shared" si="28"/>
        <v>0</v>
      </c>
      <c r="BB46" s="328">
        <f t="shared" si="29"/>
        <v>0</v>
      </c>
      <c r="BC46" s="538">
        <f t="shared" si="8"/>
        <v>0</v>
      </c>
      <c r="BD46" s="328">
        <f t="shared" si="9"/>
        <v>0</v>
      </c>
      <c r="BE46" s="535">
        <f t="shared" si="30"/>
        <v>0</v>
      </c>
      <c r="BF46" s="540">
        <f t="shared" si="11"/>
        <v>0</v>
      </c>
      <c r="BG46" s="541">
        <f t="shared" si="12"/>
        <v>0</v>
      </c>
      <c r="BH46" s="338" t="str">
        <f t="shared" si="13"/>
        <v/>
      </c>
      <c r="BI46" s="100" t="str">
        <f t="shared" si="14"/>
        <v/>
      </c>
      <c r="BJ46" s="100" t="str">
        <f t="shared" si="15"/>
        <v/>
      </c>
      <c r="BK46" s="100" t="str">
        <f t="shared" si="16"/>
        <v/>
      </c>
      <c r="BL46" s="100" t="str">
        <f t="shared" si="17"/>
        <v/>
      </c>
      <c r="BM46" s="100" t="str">
        <f t="shared" si="18"/>
        <v/>
      </c>
      <c r="BN46" s="100" t="str">
        <f t="shared" si="19"/>
        <v/>
      </c>
      <c r="BO46" s="250" t="str">
        <f t="shared" si="20"/>
        <v>0</v>
      </c>
      <c r="BP46" s="250" t="str">
        <f t="shared" si="21"/>
        <v>0</v>
      </c>
      <c r="BQ46" s="677" t="str">
        <f t="shared" si="22"/>
        <v>00</v>
      </c>
      <c r="BR46" s="335"/>
    </row>
    <row r="47" spans="1:70" ht="15" customHeight="1">
      <c r="A47" s="501">
        <v>39</v>
      </c>
      <c r="B47" s="502"/>
      <c r="C47" s="812"/>
      <c r="D47" s="770"/>
      <c r="E47" s="558"/>
      <c r="F47" s="503"/>
      <c r="G47" s="503"/>
      <c r="H47" s="504"/>
      <c r="I47" s="505"/>
      <c r="J47" s="487"/>
      <c r="K47" s="533"/>
      <c r="L47" s="533"/>
      <c r="M47" s="678"/>
      <c r="N47" s="347" t="str">
        <f t="shared" si="24"/>
        <v>0</v>
      </c>
      <c r="O47" s="500" t="str">
        <f t="shared" si="1"/>
        <v/>
      </c>
      <c r="P47" s="586" t="str">
        <f t="shared" si="23"/>
        <v/>
      </c>
      <c r="Q47" s="491" t="str">
        <f>IF(P47="","",VLOOKUP(P47,所属コード!$A$2:$E$200,2,FALSE))</f>
        <v/>
      </c>
      <c r="R47" s="301" t="str">
        <f>IF(P47="","",VLOOKUP(P47,所属コード!$A:$G,7,FALSE))</f>
        <v/>
      </c>
      <c r="S47" s="350"/>
      <c r="T47" s="248"/>
      <c r="U47" s="248"/>
      <c r="V47" s="248"/>
      <c r="W47" s="248"/>
      <c r="X47" t="s">
        <v>524</v>
      </c>
      <c r="Y47" s="828"/>
      <c r="Z47" s="255" t="str">
        <f t="shared" si="6"/>
        <v/>
      </c>
      <c r="AA47" s="248"/>
      <c r="AB47" s="547"/>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328">
        <f t="shared" si="25"/>
        <v>0</v>
      </c>
      <c r="AY47" s="331">
        <f t="shared" si="26"/>
        <v>0</v>
      </c>
      <c r="AZ47" s="333">
        <f t="shared" si="27"/>
        <v>0</v>
      </c>
      <c r="BA47" s="331">
        <f t="shared" si="28"/>
        <v>0</v>
      </c>
      <c r="BB47" s="328">
        <f t="shared" si="29"/>
        <v>0</v>
      </c>
      <c r="BC47" s="538">
        <f t="shared" si="8"/>
        <v>0</v>
      </c>
      <c r="BD47" s="328">
        <f t="shared" si="9"/>
        <v>0</v>
      </c>
      <c r="BE47" s="535">
        <f t="shared" si="30"/>
        <v>0</v>
      </c>
      <c r="BF47" s="540">
        <f t="shared" si="11"/>
        <v>0</v>
      </c>
      <c r="BG47" s="541">
        <f t="shared" si="12"/>
        <v>0</v>
      </c>
      <c r="BH47" s="338" t="str">
        <f t="shared" si="13"/>
        <v/>
      </c>
      <c r="BI47" s="100" t="str">
        <f t="shared" si="14"/>
        <v/>
      </c>
      <c r="BJ47" s="100" t="str">
        <f t="shared" si="15"/>
        <v/>
      </c>
      <c r="BK47" s="100" t="str">
        <f t="shared" si="16"/>
        <v/>
      </c>
      <c r="BL47" s="100" t="str">
        <f t="shared" si="17"/>
        <v/>
      </c>
      <c r="BM47" s="100" t="str">
        <f t="shared" si="18"/>
        <v/>
      </c>
      <c r="BN47" s="100" t="str">
        <f t="shared" si="19"/>
        <v/>
      </c>
      <c r="BO47" s="250" t="str">
        <f t="shared" si="20"/>
        <v>0</v>
      </c>
      <c r="BP47" s="250" t="str">
        <f t="shared" si="21"/>
        <v>0</v>
      </c>
      <c r="BQ47" s="677" t="str">
        <f t="shared" si="22"/>
        <v>00</v>
      </c>
      <c r="BR47" s="335"/>
    </row>
    <row r="48" spans="1:70" ht="15" customHeight="1">
      <c r="A48" s="501">
        <v>40</v>
      </c>
      <c r="B48" s="502"/>
      <c r="C48" s="812"/>
      <c r="D48" s="770"/>
      <c r="E48" s="558"/>
      <c r="F48" s="503"/>
      <c r="G48" s="503"/>
      <c r="H48" s="504"/>
      <c r="I48" s="505"/>
      <c r="J48" s="487"/>
      <c r="K48" s="533"/>
      <c r="L48" s="533"/>
      <c r="M48" s="678"/>
      <c r="N48" s="347" t="str">
        <f t="shared" si="24"/>
        <v>0</v>
      </c>
      <c r="O48" s="500" t="str">
        <f t="shared" si="1"/>
        <v/>
      </c>
      <c r="P48" s="586" t="str">
        <f t="shared" si="23"/>
        <v/>
      </c>
      <c r="Q48" s="491" t="str">
        <f>IF(P48="","",VLOOKUP(P48,所属コード!$A$2:$E$200,2,FALSE))</f>
        <v/>
      </c>
      <c r="R48" s="301" t="str">
        <f>IF(P48="","",VLOOKUP(P48,所属コード!$A:$G,7,FALSE))</f>
        <v/>
      </c>
      <c r="S48" s="350"/>
      <c r="T48" s="248"/>
      <c r="U48" s="248"/>
      <c r="V48" s="248"/>
      <c r="W48" s="248"/>
      <c r="X48" t="s">
        <v>528</v>
      </c>
      <c r="Y48" s="828"/>
      <c r="Z48" s="255" t="str">
        <f t="shared" si="6"/>
        <v/>
      </c>
      <c r="AA48" s="248"/>
      <c r="AB48" s="547"/>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328">
        <f t="shared" si="25"/>
        <v>0</v>
      </c>
      <c r="AY48" s="331">
        <f t="shared" si="26"/>
        <v>0</v>
      </c>
      <c r="AZ48" s="333">
        <f t="shared" si="27"/>
        <v>0</v>
      </c>
      <c r="BA48" s="331">
        <f t="shared" si="28"/>
        <v>0</v>
      </c>
      <c r="BB48" s="328">
        <f t="shared" si="29"/>
        <v>0</v>
      </c>
      <c r="BC48" s="538">
        <f t="shared" si="8"/>
        <v>0</v>
      </c>
      <c r="BD48" s="328">
        <f t="shared" si="9"/>
        <v>0</v>
      </c>
      <c r="BE48" s="535">
        <f t="shared" si="30"/>
        <v>0</v>
      </c>
      <c r="BF48" s="540">
        <f t="shared" si="11"/>
        <v>0</v>
      </c>
      <c r="BG48" s="541">
        <f t="shared" si="12"/>
        <v>0</v>
      </c>
      <c r="BH48" s="338" t="str">
        <f t="shared" si="13"/>
        <v/>
      </c>
      <c r="BI48" s="100" t="str">
        <f t="shared" si="14"/>
        <v/>
      </c>
      <c r="BJ48" s="100" t="str">
        <f t="shared" si="15"/>
        <v/>
      </c>
      <c r="BK48" s="100" t="str">
        <f t="shared" si="16"/>
        <v/>
      </c>
      <c r="BL48" s="100" t="str">
        <f t="shared" si="17"/>
        <v/>
      </c>
      <c r="BM48" s="100" t="str">
        <f t="shared" si="18"/>
        <v/>
      </c>
      <c r="BN48" s="100" t="str">
        <f t="shared" si="19"/>
        <v/>
      </c>
      <c r="BO48" s="250" t="str">
        <f t="shared" si="20"/>
        <v>0</v>
      </c>
      <c r="BP48" s="250" t="str">
        <f t="shared" si="21"/>
        <v>0</v>
      </c>
      <c r="BQ48" s="677" t="str">
        <f t="shared" si="22"/>
        <v>00</v>
      </c>
      <c r="BR48" s="335"/>
    </row>
    <row r="49" spans="1:70" ht="15" customHeight="1">
      <c r="A49" s="501">
        <v>41</v>
      </c>
      <c r="B49" s="502"/>
      <c r="C49" s="812"/>
      <c r="D49" s="770"/>
      <c r="E49" s="558"/>
      <c r="F49" s="503"/>
      <c r="G49" s="503"/>
      <c r="H49" s="504"/>
      <c r="I49" s="505"/>
      <c r="J49" s="487"/>
      <c r="K49" s="533"/>
      <c r="L49" s="533"/>
      <c r="M49" s="678"/>
      <c r="N49" s="347" t="str">
        <f t="shared" si="24"/>
        <v>0</v>
      </c>
      <c r="O49" s="500" t="str">
        <f t="shared" si="1"/>
        <v/>
      </c>
      <c r="P49" s="586" t="str">
        <f t="shared" si="23"/>
        <v/>
      </c>
      <c r="Q49" s="491" t="str">
        <f>IF(P49="","",VLOOKUP(P49,所属コード!$A$2:$E$200,2,FALSE))</f>
        <v/>
      </c>
      <c r="R49" s="301" t="str">
        <f>IF(P49="","",VLOOKUP(P49,所属コード!$A:$G,7,FALSE))</f>
        <v/>
      </c>
      <c r="S49" s="350"/>
      <c r="T49" s="248"/>
      <c r="U49" s="248"/>
      <c r="V49" s="248"/>
      <c r="W49" s="248"/>
      <c r="X49" t="s">
        <v>521</v>
      </c>
      <c r="Y49" s="828"/>
      <c r="Z49" s="255" t="str">
        <f t="shared" si="6"/>
        <v/>
      </c>
      <c r="AA49" s="248"/>
      <c r="AB49" s="547"/>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328">
        <f t="shared" si="25"/>
        <v>0</v>
      </c>
      <c r="AY49" s="331">
        <f t="shared" si="26"/>
        <v>0</v>
      </c>
      <c r="AZ49" s="333">
        <f t="shared" si="27"/>
        <v>0</v>
      </c>
      <c r="BA49" s="331">
        <f t="shared" si="28"/>
        <v>0</v>
      </c>
      <c r="BB49" s="328">
        <f t="shared" si="29"/>
        <v>0</v>
      </c>
      <c r="BC49" s="538">
        <f t="shared" si="8"/>
        <v>0</v>
      </c>
      <c r="BD49" s="328">
        <f t="shared" si="9"/>
        <v>0</v>
      </c>
      <c r="BE49" s="535">
        <f t="shared" si="30"/>
        <v>0</v>
      </c>
      <c r="BF49" s="540">
        <f t="shared" si="11"/>
        <v>0</v>
      </c>
      <c r="BG49" s="541">
        <f t="shared" si="12"/>
        <v>0</v>
      </c>
      <c r="BH49" s="338" t="str">
        <f t="shared" si="13"/>
        <v/>
      </c>
      <c r="BI49" s="100" t="str">
        <f t="shared" si="14"/>
        <v/>
      </c>
      <c r="BJ49" s="100" t="str">
        <f t="shared" si="15"/>
        <v/>
      </c>
      <c r="BK49" s="100" t="str">
        <f t="shared" si="16"/>
        <v/>
      </c>
      <c r="BL49" s="100" t="str">
        <f t="shared" si="17"/>
        <v/>
      </c>
      <c r="BM49" s="100" t="str">
        <f t="shared" si="18"/>
        <v/>
      </c>
      <c r="BN49" s="100" t="str">
        <f t="shared" si="19"/>
        <v/>
      </c>
      <c r="BO49" s="250" t="str">
        <f t="shared" si="20"/>
        <v>0</v>
      </c>
      <c r="BP49" s="250" t="str">
        <f t="shared" si="21"/>
        <v>0</v>
      </c>
      <c r="BQ49" s="677" t="str">
        <f t="shared" si="22"/>
        <v>00</v>
      </c>
      <c r="BR49" s="335"/>
    </row>
    <row r="50" spans="1:70" ht="15" customHeight="1">
      <c r="A50" s="501">
        <v>42</v>
      </c>
      <c r="B50" s="502"/>
      <c r="C50" s="812"/>
      <c r="D50" s="770"/>
      <c r="E50" s="558"/>
      <c r="F50" s="503"/>
      <c r="G50" s="503"/>
      <c r="H50" s="504"/>
      <c r="I50" s="505"/>
      <c r="J50" s="487"/>
      <c r="K50" s="533"/>
      <c r="L50" s="533"/>
      <c r="M50" s="678"/>
      <c r="N50" s="347" t="str">
        <f t="shared" si="24"/>
        <v>0</v>
      </c>
      <c r="O50" s="500" t="str">
        <f t="shared" si="1"/>
        <v/>
      </c>
      <c r="P50" s="586" t="str">
        <f t="shared" si="23"/>
        <v/>
      </c>
      <c r="Q50" s="491" t="str">
        <f>IF(P50="","",VLOOKUP(P50,所属コード!$A$2:$E$200,2,FALSE))</f>
        <v/>
      </c>
      <c r="R50" s="301" t="str">
        <f>IF(P50="","",VLOOKUP(P50,所属コード!$A:$G,7,FALSE))</f>
        <v/>
      </c>
      <c r="S50" s="350"/>
      <c r="T50" s="248"/>
      <c r="U50" s="248"/>
      <c r="V50" s="248"/>
      <c r="W50" s="248"/>
      <c r="X50" t="s">
        <v>522</v>
      </c>
      <c r="Y50" s="828"/>
      <c r="Z50" s="255" t="str">
        <f t="shared" si="6"/>
        <v/>
      </c>
      <c r="AA50" s="248"/>
      <c r="AB50" s="547"/>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328">
        <f t="shared" si="25"/>
        <v>0</v>
      </c>
      <c r="AY50" s="331">
        <f t="shared" si="26"/>
        <v>0</v>
      </c>
      <c r="AZ50" s="333">
        <f t="shared" si="27"/>
        <v>0</v>
      </c>
      <c r="BA50" s="331">
        <f t="shared" si="28"/>
        <v>0</v>
      </c>
      <c r="BB50" s="328">
        <f t="shared" si="29"/>
        <v>0</v>
      </c>
      <c r="BC50" s="538">
        <f t="shared" si="8"/>
        <v>0</v>
      </c>
      <c r="BD50" s="328">
        <f t="shared" si="9"/>
        <v>0</v>
      </c>
      <c r="BE50" s="535">
        <f t="shared" si="30"/>
        <v>0</v>
      </c>
      <c r="BF50" s="540">
        <f t="shared" si="11"/>
        <v>0</v>
      </c>
      <c r="BG50" s="541">
        <f t="shared" si="12"/>
        <v>0</v>
      </c>
      <c r="BH50" s="338" t="str">
        <f t="shared" si="13"/>
        <v/>
      </c>
      <c r="BI50" s="100" t="str">
        <f t="shared" si="14"/>
        <v/>
      </c>
      <c r="BJ50" s="100" t="str">
        <f t="shared" si="15"/>
        <v/>
      </c>
      <c r="BK50" s="100" t="str">
        <f t="shared" si="16"/>
        <v/>
      </c>
      <c r="BL50" s="100" t="str">
        <f t="shared" si="17"/>
        <v/>
      </c>
      <c r="BM50" s="100" t="str">
        <f t="shared" si="18"/>
        <v/>
      </c>
      <c r="BN50" s="100" t="str">
        <f t="shared" si="19"/>
        <v/>
      </c>
      <c r="BO50" s="250" t="str">
        <f t="shared" si="20"/>
        <v>0</v>
      </c>
      <c r="BP50" s="250" t="str">
        <f t="shared" si="21"/>
        <v>0</v>
      </c>
      <c r="BQ50" s="677" t="str">
        <f t="shared" si="22"/>
        <v>00</v>
      </c>
      <c r="BR50" s="335"/>
    </row>
    <row r="51" spans="1:70" ht="15" customHeight="1">
      <c r="A51" s="501">
        <v>43</v>
      </c>
      <c r="B51" s="502"/>
      <c r="C51" s="812"/>
      <c r="D51" s="770"/>
      <c r="E51" s="558"/>
      <c r="F51" s="503"/>
      <c r="G51" s="503"/>
      <c r="H51" s="504"/>
      <c r="I51" s="505"/>
      <c r="J51" s="487"/>
      <c r="K51" s="533"/>
      <c r="L51" s="533"/>
      <c r="M51" s="678"/>
      <c r="N51" s="347" t="str">
        <f t="shared" si="24"/>
        <v>0</v>
      </c>
      <c r="O51" s="500" t="str">
        <f t="shared" si="1"/>
        <v/>
      </c>
      <c r="P51" s="586" t="str">
        <f t="shared" si="23"/>
        <v/>
      </c>
      <c r="Q51" s="491" t="str">
        <f>IF(P51="","",VLOOKUP(P51,所属コード!$A$2:$E$200,2,FALSE))</f>
        <v/>
      </c>
      <c r="R51" s="301" t="str">
        <f>IF(P51="","",VLOOKUP(P51,所属コード!$A:$G,7,FALSE))</f>
        <v/>
      </c>
      <c r="S51" s="350"/>
      <c r="T51" s="248"/>
      <c r="U51" s="248"/>
      <c r="V51" s="248"/>
      <c r="W51" s="248"/>
      <c r="X51" t="s">
        <v>578</v>
      </c>
      <c r="Y51" s="828"/>
      <c r="Z51" s="255" t="str">
        <f t="shared" si="6"/>
        <v/>
      </c>
      <c r="AA51" s="248"/>
      <c r="AB51" s="547"/>
      <c r="AC51" s="540"/>
      <c r="AD51" s="540"/>
      <c r="AE51" s="540"/>
      <c r="AF51" s="540"/>
      <c r="AG51" s="540"/>
      <c r="AH51" s="540"/>
      <c r="AI51" s="540"/>
      <c r="AJ51" s="540"/>
      <c r="AK51" s="540"/>
      <c r="AL51" s="540"/>
      <c r="AM51" s="540"/>
      <c r="AN51" s="540"/>
      <c r="AO51" s="540"/>
      <c r="AP51" s="540"/>
      <c r="AQ51" s="540"/>
      <c r="AR51" s="540"/>
      <c r="AS51" s="540"/>
      <c r="AT51" s="540"/>
      <c r="AU51" s="540"/>
      <c r="AV51" s="540"/>
      <c r="AW51" s="540"/>
      <c r="AX51" s="328">
        <f t="shared" si="25"/>
        <v>0</v>
      </c>
      <c r="AY51" s="331">
        <f t="shared" si="26"/>
        <v>0</v>
      </c>
      <c r="AZ51" s="333">
        <f t="shared" si="27"/>
        <v>0</v>
      </c>
      <c r="BA51" s="331">
        <f t="shared" si="28"/>
        <v>0</v>
      </c>
      <c r="BB51" s="328">
        <f t="shared" si="29"/>
        <v>0</v>
      </c>
      <c r="BC51" s="538">
        <f t="shared" si="8"/>
        <v>0</v>
      </c>
      <c r="BD51" s="328">
        <f t="shared" si="9"/>
        <v>0</v>
      </c>
      <c r="BE51" s="535">
        <f t="shared" si="30"/>
        <v>0</v>
      </c>
      <c r="BF51" s="540">
        <f t="shared" si="11"/>
        <v>0</v>
      </c>
      <c r="BG51" s="541">
        <f t="shared" si="12"/>
        <v>0</v>
      </c>
      <c r="BH51" s="338" t="str">
        <f t="shared" si="13"/>
        <v/>
      </c>
      <c r="BI51" s="100" t="str">
        <f t="shared" si="14"/>
        <v/>
      </c>
      <c r="BJ51" s="100" t="str">
        <f t="shared" si="15"/>
        <v/>
      </c>
      <c r="BK51" s="100" t="str">
        <f t="shared" si="16"/>
        <v/>
      </c>
      <c r="BL51" s="100" t="str">
        <f t="shared" si="17"/>
        <v/>
      </c>
      <c r="BM51" s="100" t="str">
        <f t="shared" si="18"/>
        <v/>
      </c>
      <c r="BN51" s="100" t="str">
        <f t="shared" si="19"/>
        <v/>
      </c>
      <c r="BO51" s="250" t="str">
        <f t="shared" si="20"/>
        <v>0</v>
      </c>
      <c r="BP51" s="250" t="str">
        <f t="shared" si="21"/>
        <v>0</v>
      </c>
      <c r="BQ51" s="677" t="str">
        <f t="shared" si="22"/>
        <v>00</v>
      </c>
      <c r="BR51" s="335"/>
    </row>
    <row r="52" spans="1:70" ht="15" customHeight="1">
      <c r="A52" s="501">
        <v>44</v>
      </c>
      <c r="B52" s="502"/>
      <c r="C52" s="812"/>
      <c r="D52" s="770"/>
      <c r="E52" s="558"/>
      <c r="F52" s="503"/>
      <c r="G52" s="503"/>
      <c r="H52" s="504"/>
      <c r="I52" s="505"/>
      <c r="J52" s="487"/>
      <c r="K52" s="533"/>
      <c r="L52" s="533"/>
      <c r="M52" s="678"/>
      <c r="N52" s="347" t="str">
        <f t="shared" si="24"/>
        <v>0</v>
      </c>
      <c r="O52" s="500" t="str">
        <f t="shared" si="1"/>
        <v/>
      </c>
      <c r="P52" s="586" t="str">
        <f t="shared" si="23"/>
        <v/>
      </c>
      <c r="Q52" s="491" t="str">
        <f>IF(P52="","",VLOOKUP(P52,所属コード!$A$2:$E$200,2,FALSE))</f>
        <v/>
      </c>
      <c r="R52" s="301" t="str">
        <f>IF(P52="","",VLOOKUP(P52,所属コード!$A:$G,7,FALSE))</f>
        <v/>
      </c>
      <c r="S52" s="350"/>
      <c r="T52" s="248"/>
      <c r="U52" s="248"/>
      <c r="V52" s="248"/>
      <c r="W52" s="248"/>
      <c r="X52" t="s">
        <v>579</v>
      </c>
      <c r="Y52" s="828"/>
      <c r="Z52" s="255" t="str">
        <f t="shared" si="6"/>
        <v/>
      </c>
      <c r="AA52" s="248"/>
      <c r="AB52" s="547"/>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328">
        <f t="shared" si="25"/>
        <v>0</v>
      </c>
      <c r="AY52" s="331">
        <f t="shared" si="26"/>
        <v>0</v>
      </c>
      <c r="AZ52" s="333">
        <f t="shared" si="27"/>
        <v>0</v>
      </c>
      <c r="BA52" s="331">
        <f t="shared" si="28"/>
        <v>0</v>
      </c>
      <c r="BB52" s="328">
        <f t="shared" si="29"/>
        <v>0</v>
      </c>
      <c r="BC52" s="538">
        <f t="shared" si="8"/>
        <v>0</v>
      </c>
      <c r="BD52" s="328">
        <f t="shared" si="9"/>
        <v>0</v>
      </c>
      <c r="BE52" s="535">
        <f t="shared" si="30"/>
        <v>0</v>
      </c>
      <c r="BF52" s="540">
        <f t="shared" si="11"/>
        <v>0</v>
      </c>
      <c r="BG52" s="541">
        <f t="shared" si="12"/>
        <v>0</v>
      </c>
      <c r="BH52" s="338" t="str">
        <f t="shared" si="13"/>
        <v/>
      </c>
      <c r="BI52" s="100" t="str">
        <f t="shared" si="14"/>
        <v/>
      </c>
      <c r="BJ52" s="100" t="str">
        <f t="shared" si="15"/>
        <v/>
      </c>
      <c r="BK52" s="100" t="str">
        <f t="shared" si="16"/>
        <v/>
      </c>
      <c r="BL52" s="100" t="str">
        <f t="shared" si="17"/>
        <v/>
      </c>
      <c r="BM52" s="100" t="str">
        <f t="shared" si="18"/>
        <v/>
      </c>
      <c r="BN52" s="100" t="str">
        <f t="shared" si="19"/>
        <v/>
      </c>
      <c r="BO52" s="250" t="str">
        <f t="shared" si="20"/>
        <v>0</v>
      </c>
      <c r="BP52" s="250" t="str">
        <f t="shared" si="21"/>
        <v>0</v>
      </c>
      <c r="BQ52" s="677" t="str">
        <f t="shared" si="22"/>
        <v>00</v>
      </c>
      <c r="BR52" s="335"/>
    </row>
    <row r="53" spans="1:70" ht="15" customHeight="1">
      <c r="A53" s="501">
        <v>45</v>
      </c>
      <c r="B53" s="502"/>
      <c r="C53" s="812"/>
      <c r="D53" s="770"/>
      <c r="E53" s="558"/>
      <c r="F53" s="503"/>
      <c r="G53" s="503"/>
      <c r="H53" s="504"/>
      <c r="I53" s="505"/>
      <c r="J53" s="487"/>
      <c r="K53" s="533"/>
      <c r="L53" s="533"/>
      <c r="M53" s="678"/>
      <c r="N53" s="347" t="str">
        <f t="shared" si="24"/>
        <v>0</v>
      </c>
      <c r="O53" s="500" t="str">
        <f t="shared" si="1"/>
        <v/>
      </c>
      <c r="P53" s="586" t="str">
        <f t="shared" si="23"/>
        <v/>
      </c>
      <c r="Q53" s="491" t="str">
        <f>IF(P53="","",VLOOKUP(P53,所属コード!$A$2:$E$200,2,FALSE))</f>
        <v/>
      </c>
      <c r="R53" s="301" t="str">
        <f>IF(P53="","",VLOOKUP(P53,所属コード!$A:$G,7,FALSE))</f>
        <v/>
      </c>
      <c r="S53" s="350"/>
      <c r="T53" s="248"/>
      <c r="U53" s="248"/>
      <c r="V53" s="248"/>
      <c r="W53" s="248"/>
      <c r="X53" t="s">
        <v>580</v>
      </c>
      <c r="Y53" s="828"/>
      <c r="Z53" s="255" t="str">
        <f t="shared" si="6"/>
        <v/>
      </c>
      <c r="AA53" s="248"/>
      <c r="AB53" s="547"/>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328">
        <f t="shared" si="25"/>
        <v>0</v>
      </c>
      <c r="AY53" s="331">
        <f t="shared" si="26"/>
        <v>0</v>
      </c>
      <c r="AZ53" s="333">
        <f t="shared" si="27"/>
        <v>0</v>
      </c>
      <c r="BA53" s="331">
        <f t="shared" si="28"/>
        <v>0</v>
      </c>
      <c r="BB53" s="328">
        <f t="shared" si="29"/>
        <v>0</v>
      </c>
      <c r="BC53" s="538">
        <f t="shared" si="8"/>
        <v>0</v>
      </c>
      <c r="BD53" s="328">
        <f t="shared" si="9"/>
        <v>0</v>
      </c>
      <c r="BE53" s="535">
        <f t="shared" si="30"/>
        <v>0</v>
      </c>
      <c r="BF53" s="540">
        <f t="shared" si="11"/>
        <v>0</v>
      </c>
      <c r="BG53" s="541">
        <f t="shared" si="12"/>
        <v>0</v>
      </c>
      <c r="BH53" s="338" t="str">
        <f t="shared" si="13"/>
        <v/>
      </c>
      <c r="BI53" s="100" t="str">
        <f t="shared" si="14"/>
        <v/>
      </c>
      <c r="BJ53" s="100" t="str">
        <f t="shared" si="15"/>
        <v/>
      </c>
      <c r="BK53" s="100" t="str">
        <f t="shared" si="16"/>
        <v/>
      </c>
      <c r="BL53" s="100" t="str">
        <f t="shared" si="17"/>
        <v/>
      </c>
      <c r="BM53" s="100" t="str">
        <f t="shared" si="18"/>
        <v/>
      </c>
      <c r="BN53" s="100" t="str">
        <f t="shared" si="19"/>
        <v/>
      </c>
      <c r="BO53" s="250" t="str">
        <f t="shared" si="20"/>
        <v>0</v>
      </c>
      <c r="BP53" s="250" t="str">
        <f t="shared" si="21"/>
        <v>0</v>
      </c>
      <c r="BQ53" s="677" t="str">
        <f t="shared" si="22"/>
        <v>00</v>
      </c>
      <c r="BR53" s="335"/>
    </row>
    <row r="54" spans="1:70" ht="15" customHeight="1">
      <c r="A54" s="501">
        <v>46</v>
      </c>
      <c r="B54" s="502"/>
      <c r="C54" s="812"/>
      <c r="D54" s="770"/>
      <c r="E54" s="558"/>
      <c r="F54" s="503"/>
      <c r="G54" s="503"/>
      <c r="H54" s="504"/>
      <c r="I54" s="505"/>
      <c r="J54" s="487"/>
      <c r="K54" s="533"/>
      <c r="L54" s="533"/>
      <c r="M54" s="678"/>
      <c r="N54" s="347" t="str">
        <f t="shared" si="24"/>
        <v>0</v>
      </c>
      <c r="O54" s="500" t="str">
        <f t="shared" si="1"/>
        <v/>
      </c>
      <c r="P54" s="586" t="str">
        <f t="shared" si="23"/>
        <v/>
      </c>
      <c r="Q54" s="491" t="str">
        <f>IF(P54="","",VLOOKUP(P54,所属コード!$A$2:$E$200,2,FALSE))</f>
        <v/>
      </c>
      <c r="R54" s="301" t="str">
        <f>IF(P54="","",VLOOKUP(P54,所属コード!$A:$G,7,FALSE))</f>
        <v/>
      </c>
      <c r="S54" s="350"/>
      <c r="T54" s="248"/>
      <c r="U54" s="248"/>
      <c r="V54" s="248"/>
      <c r="W54" s="248"/>
      <c r="X54" t="s">
        <v>523</v>
      </c>
      <c r="Y54" s="828"/>
      <c r="Z54" s="255" t="str">
        <f t="shared" si="6"/>
        <v/>
      </c>
      <c r="AA54" s="248"/>
      <c r="AB54" s="547"/>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328">
        <f t="shared" si="25"/>
        <v>0</v>
      </c>
      <c r="AY54" s="331">
        <f t="shared" si="26"/>
        <v>0</v>
      </c>
      <c r="AZ54" s="333">
        <f t="shared" si="27"/>
        <v>0</v>
      </c>
      <c r="BA54" s="331">
        <f t="shared" si="28"/>
        <v>0</v>
      </c>
      <c r="BB54" s="328">
        <f t="shared" si="29"/>
        <v>0</v>
      </c>
      <c r="BC54" s="538">
        <f t="shared" si="8"/>
        <v>0</v>
      </c>
      <c r="BD54" s="328">
        <f t="shared" si="9"/>
        <v>0</v>
      </c>
      <c r="BE54" s="535">
        <f t="shared" si="30"/>
        <v>0</v>
      </c>
      <c r="BF54" s="540">
        <f t="shared" si="11"/>
        <v>0</v>
      </c>
      <c r="BG54" s="541">
        <f t="shared" si="12"/>
        <v>0</v>
      </c>
      <c r="BH54" s="338" t="str">
        <f t="shared" si="13"/>
        <v/>
      </c>
      <c r="BI54" s="100" t="str">
        <f t="shared" si="14"/>
        <v/>
      </c>
      <c r="BJ54" s="100" t="str">
        <f t="shared" si="15"/>
        <v/>
      </c>
      <c r="BK54" s="100" t="str">
        <f t="shared" si="16"/>
        <v/>
      </c>
      <c r="BL54" s="100" t="str">
        <f t="shared" si="17"/>
        <v/>
      </c>
      <c r="BM54" s="100" t="str">
        <f t="shared" si="18"/>
        <v/>
      </c>
      <c r="BN54" s="100" t="str">
        <f t="shared" si="19"/>
        <v/>
      </c>
      <c r="BO54" s="250" t="str">
        <f t="shared" si="20"/>
        <v>0</v>
      </c>
      <c r="BP54" s="250" t="str">
        <f t="shared" si="21"/>
        <v>0</v>
      </c>
      <c r="BQ54" s="677" t="str">
        <f t="shared" si="22"/>
        <v>00</v>
      </c>
      <c r="BR54" s="335"/>
    </row>
    <row r="55" spans="1:70" ht="15" customHeight="1">
      <c r="A55" s="501">
        <v>47</v>
      </c>
      <c r="B55" s="502"/>
      <c r="C55" s="812"/>
      <c r="D55" s="770"/>
      <c r="E55" s="558"/>
      <c r="F55" s="503"/>
      <c r="G55" s="503"/>
      <c r="H55" s="504"/>
      <c r="I55" s="505"/>
      <c r="J55" s="487"/>
      <c r="K55" s="533"/>
      <c r="L55" s="533"/>
      <c r="M55" s="678"/>
      <c r="N55" s="347" t="str">
        <f t="shared" si="24"/>
        <v>0</v>
      </c>
      <c r="O55" s="500" t="str">
        <f t="shared" si="1"/>
        <v/>
      </c>
      <c r="P55" s="586" t="str">
        <f t="shared" si="23"/>
        <v/>
      </c>
      <c r="Q55" s="491" t="str">
        <f>IF(P55="","",VLOOKUP(P55,所属コード!$A$2:$E$200,2,FALSE))</f>
        <v/>
      </c>
      <c r="R55" s="301" t="str">
        <f>IF(P55="","",VLOOKUP(P55,所属コード!$A:$G,7,FALSE))</f>
        <v/>
      </c>
      <c r="S55" s="350"/>
      <c r="T55" s="248"/>
      <c r="U55" s="248"/>
      <c r="V55" s="248"/>
      <c r="W55" s="248"/>
      <c r="X55" t="s">
        <v>527</v>
      </c>
      <c r="Y55" s="828"/>
      <c r="Z55" s="255" t="str">
        <f t="shared" si="6"/>
        <v/>
      </c>
      <c r="AA55" s="248"/>
      <c r="AB55" s="547"/>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328">
        <f t="shared" si="25"/>
        <v>0</v>
      </c>
      <c r="AY55" s="331">
        <f t="shared" si="26"/>
        <v>0</v>
      </c>
      <c r="AZ55" s="333">
        <f t="shared" si="27"/>
        <v>0</v>
      </c>
      <c r="BA55" s="331">
        <f t="shared" si="28"/>
        <v>0</v>
      </c>
      <c r="BB55" s="328">
        <f t="shared" si="29"/>
        <v>0</v>
      </c>
      <c r="BC55" s="538">
        <f t="shared" si="8"/>
        <v>0</v>
      </c>
      <c r="BD55" s="328">
        <f t="shared" si="9"/>
        <v>0</v>
      </c>
      <c r="BE55" s="535">
        <f t="shared" si="30"/>
        <v>0</v>
      </c>
      <c r="BF55" s="540">
        <f t="shared" si="11"/>
        <v>0</v>
      </c>
      <c r="BG55" s="541">
        <f t="shared" si="12"/>
        <v>0</v>
      </c>
      <c r="BH55" s="338" t="str">
        <f t="shared" si="13"/>
        <v/>
      </c>
      <c r="BI55" s="100" t="str">
        <f t="shared" si="14"/>
        <v/>
      </c>
      <c r="BJ55" s="100" t="str">
        <f t="shared" si="15"/>
        <v/>
      </c>
      <c r="BK55" s="100" t="str">
        <f t="shared" si="16"/>
        <v/>
      </c>
      <c r="BL55" s="100" t="str">
        <f t="shared" si="17"/>
        <v/>
      </c>
      <c r="BM55" s="100" t="str">
        <f t="shared" si="18"/>
        <v/>
      </c>
      <c r="BN55" s="100" t="str">
        <f t="shared" si="19"/>
        <v/>
      </c>
      <c r="BO55" s="250" t="str">
        <f t="shared" si="20"/>
        <v>0</v>
      </c>
      <c r="BP55" s="250" t="str">
        <f t="shared" si="21"/>
        <v>0</v>
      </c>
      <c r="BQ55" s="677" t="str">
        <f t="shared" si="22"/>
        <v>00</v>
      </c>
      <c r="BR55" s="335"/>
    </row>
    <row r="56" spans="1:70" ht="15" customHeight="1">
      <c r="A56" s="501">
        <v>48</v>
      </c>
      <c r="B56" s="502"/>
      <c r="C56" s="812"/>
      <c r="D56" s="770"/>
      <c r="E56" s="558"/>
      <c r="F56" s="503"/>
      <c r="G56" s="503"/>
      <c r="H56" s="504"/>
      <c r="I56" s="505"/>
      <c r="J56" s="487"/>
      <c r="K56" s="533"/>
      <c r="L56" s="533"/>
      <c r="M56" s="678"/>
      <c r="N56" s="347" t="str">
        <f t="shared" si="24"/>
        <v>0</v>
      </c>
      <c r="O56" s="500" t="str">
        <f t="shared" si="1"/>
        <v/>
      </c>
      <c r="P56" s="586" t="str">
        <f t="shared" si="23"/>
        <v/>
      </c>
      <c r="Q56" s="491" t="str">
        <f>IF(P56="","",VLOOKUP(P56,所属コード!$A$2:$E$200,2,FALSE))</f>
        <v/>
      </c>
      <c r="R56" s="301" t="str">
        <f>IF(P56="","",VLOOKUP(P56,所属コード!$A:$G,7,FALSE))</f>
        <v/>
      </c>
      <c r="S56" s="350"/>
      <c r="T56" s="248"/>
      <c r="U56" s="248"/>
      <c r="V56" s="248"/>
      <c r="W56" s="248"/>
      <c r="X56" t="s">
        <v>581</v>
      </c>
      <c r="Y56" s="828"/>
      <c r="Z56" s="255" t="str">
        <f t="shared" si="6"/>
        <v/>
      </c>
      <c r="AA56" s="248"/>
      <c r="AB56" s="547"/>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328">
        <f t="shared" si="25"/>
        <v>0</v>
      </c>
      <c r="AY56" s="331">
        <f t="shared" si="26"/>
        <v>0</v>
      </c>
      <c r="AZ56" s="333">
        <f t="shared" si="27"/>
        <v>0</v>
      </c>
      <c r="BA56" s="331">
        <f t="shared" si="28"/>
        <v>0</v>
      </c>
      <c r="BB56" s="328">
        <f t="shared" si="29"/>
        <v>0</v>
      </c>
      <c r="BC56" s="538">
        <f t="shared" si="8"/>
        <v>0</v>
      </c>
      <c r="BD56" s="328">
        <f t="shared" si="9"/>
        <v>0</v>
      </c>
      <c r="BE56" s="535">
        <f t="shared" si="30"/>
        <v>0</v>
      </c>
      <c r="BF56" s="540">
        <f t="shared" si="11"/>
        <v>0</v>
      </c>
      <c r="BG56" s="541">
        <f t="shared" si="12"/>
        <v>0</v>
      </c>
      <c r="BH56" s="338" t="str">
        <f t="shared" si="13"/>
        <v/>
      </c>
      <c r="BI56" s="100" t="str">
        <f t="shared" si="14"/>
        <v/>
      </c>
      <c r="BJ56" s="100" t="str">
        <f t="shared" si="15"/>
        <v/>
      </c>
      <c r="BK56" s="100" t="str">
        <f t="shared" si="16"/>
        <v/>
      </c>
      <c r="BL56" s="100" t="str">
        <f t="shared" si="17"/>
        <v/>
      </c>
      <c r="BM56" s="100" t="str">
        <f t="shared" si="18"/>
        <v/>
      </c>
      <c r="BN56" s="100" t="str">
        <f t="shared" si="19"/>
        <v/>
      </c>
      <c r="BO56" s="250" t="str">
        <f t="shared" si="20"/>
        <v>0</v>
      </c>
      <c r="BP56" s="250" t="str">
        <f t="shared" si="21"/>
        <v>0</v>
      </c>
      <c r="BQ56" s="677" t="str">
        <f t="shared" si="22"/>
        <v>00</v>
      </c>
      <c r="BR56" s="335"/>
    </row>
    <row r="57" spans="1:70" ht="15" customHeight="1">
      <c r="A57" s="501">
        <v>49</v>
      </c>
      <c r="B57" s="502"/>
      <c r="C57" s="812"/>
      <c r="D57" s="770"/>
      <c r="E57" s="558"/>
      <c r="F57" s="503"/>
      <c r="G57" s="503"/>
      <c r="H57" s="504"/>
      <c r="I57" s="505"/>
      <c r="J57" s="487"/>
      <c r="K57" s="533"/>
      <c r="L57" s="533"/>
      <c r="M57" s="678"/>
      <c r="N57" s="347" t="str">
        <f t="shared" si="24"/>
        <v>0</v>
      </c>
      <c r="O57" s="500" t="str">
        <f t="shared" si="1"/>
        <v/>
      </c>
      <c r="P57" s="586" t="str">
        <f t="shared" si="23"/>
        <v/>
      </c>
      <c r="Q57" s="491" t="str">
        <f>IF(P57="","",VLOOKUP(P57,所属コード!$A$2:$E$200,2,FALSE))</f>
        <v/>
      </c>
      <c r="R57" s="301" t="str">
        <f>IF(P57="","",VLOOKUP(P57,所属コード!$A:$G,7,FALSE))</f>
        <v/>
      </c>
      <c r="S57" s="350"/>
      <c r="T57" s="248"/>
      <c r="U57" s="248"/>
      <c r="V57" s="248"/>
      <c r="W57" s="248"/>
      <c r="X57" t="s">
        <v>530</v>
      </c>
      <c r="Y57" s="828"/>
      <c r="Z57" s="255" t="str">
        <f t="shared" si="6"/>
        <v/>
      </c>
      <c r="AA57" s="248"/>
      <c r="AB57" s="547"/>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328">
        <f t="shared" si="25"/>
        <v>0</v>
      </c>
      <c r="AY57" s="331">
        <f t="shared" si="26"/>
        <v>0</v>
      </c>
      <c r="AZ57" s="333">
        <f t="shared" si="27"/>
        <v>0</v>
      </c>
      <c r="BA57" s="331">
        <f t="shared" si="28"/>
        <v>0</v>
      </c>
      <c r="BB57" s="328">
        <f t="shared" si="29"/>
        <v>0</v>
      </c>
      <c r="BC57" s="538">
        <f t="shared" si="8"/>
        <v>0</v>
      </c>
      <c r="BD57" s="328">
        <f t="shared" si="9"/>
        <v>0</v>
      </c>
      <c r="BE57" s="535">
        <f t="shared" si="30"/>
        <v>0</v>
      </c>
      <c r="BF57" s="540">
        <f t="shared" si="11"/>
        <v>0</v>
      </c>
      <c r="BG57" s="541">
        <f t="shared" si="12"/>
        <v>0</v>
      </c>
      <c r="BH57" s="338" t="str">
        <f t="shared" si="13"/>
        <v/>
      </c>
      <c r="BI57" s="100" t="str">
        <f t="shared" si="14"/>
        <v/>
      </c>
      <c r="BJ57" s="100" t="str">
        <f t="shared" si="15"/>
        <v/>
      </c>
      <c r="BK57" s="100" t="str">
        <f t="shared" si="16"/>
        <v/>
      </c>
      <c r="BL57" s="100" t="str">
        <f t="shared" si="17"/>
        <v/>
      </c>
      <c r="BM57" s="100" t="str">
        <f t="shared" si="18"/>
        <v/>
      </c>
      <c r="BN57" s="100" t="str">
        <f t="shared" si="19"/>
        <v/>
      </c>
      <c r="BO57" s="250" t="str">
        <f t="shared" si="20"/>
        <v>0</v>
      </c>
      <c r="BP57" s="250" t="str">
        <f t="shared" si="21"/>
        <v>0</v>
      </c>
      <c r="BQ57" s="677" t="str">
        <f t="shared" si="22"/>
        <v>00</v>
      </c>
      <c r="BR57" s="335"/>
    </row>
    <row r="58" spans="1:70" ht="15" customHeight="1">
      <c r="A58" s="501">
        <v>50</v>
      </c>
      <c r="B58" s="502"/>
      <c r="C58" s="812"/>
      <c r="D58" s="771"/>
      <c r="E58" s="559"/>
      <c r="F58" s="560"/>
      <c r="G58" s="560"/>
      <c r="H58" s="561"/>
      <c r="I58" s="562"/>
      <c r="J58" s="765"/>
      <c r="K58" s="614"/>
      <c r="L58" s="614"/>
      <c r="M58" s="679"/>
      <c r="N58" s="563" t="str">
        <f t="shared" si="24"/>
        <v>0</v>
      </c>
      <c r="O58" s="564" t="str">
        <f t="shared" si="1"/>
        <v/>
      </c>
      <c r="P58" s="587" t="str">
        <f t="shared" si="23"/>
        <v/>
      </c>
      <c r="Q58" s="491" t="str">
        <f>IF(P58="","",VLOOKUP(P58,所属コード!$A$2:$E$200,2,FALSE))</f>
        <v/>
      </c>
      <c r="R58" s="301" t="str">
        <f>IF(P58="","",VLOOKUP(P58,所属コード!$A:$G,7,FALSE))</f>
        <v/>
      </c>
      <c r="S58" s="565"/>
      <c r="T58" s="566"/>
      <c r="U58" s="566"/>
      <c r="V58" s="566"/>
      <c r="W58" s="566"/>
      <c r="X58" t="s">
        <v>531</v>
      </c>
      <c r="Y58" s="829"/>
      <c r="Z58" s="567" t="str">
        <f t="shared" si="6"/>
        <v/>
      </c>
      <c r="AA58" s="566"/>
      <c r="AB58" s="547"/>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328">
        <f t="shared" si="25"/>
        <v>0</v>
      </c>
      <c r="AY58" s="331">
        <f t="shared" si="26"/>
        <v>0</v>
      </c>
      <c r="AZ58" s="333">
        <f t="shared" si="27"/>
        <v>0</v>
      </c>
      <c r="BA58" s="331">
        <f t="shared" si="28"/>
        <v>0</v>
      </c>
      <c r="BB58" s="328">
        <f t="shared" si="29"/>
        <v>0</v>
      </c>
      <c r="BC58" s="538">
        <f t="shared" si="8"/>
        <v>0</v>
      </c>
      <c r="BD58" s="328">
        <f t="shared" si="9"/>
        <v>0</v>
      </c>
      <c r="BE58" s="535">
        <f t="shared" si="30"/>
        <v>0</v>
      </c>
      <c r="BF58" s="540">
        <f t="shared" si="11"/>
        <v>0</v>
      </c>
      <c r="BG58" s="541">
        <f t="shared" si="12"/>
        <v>0</v>
      </c>
      <c r="BH58" s="338" t="str">
        <f t="shared" si="13"/>
        <v/>
      </c>
      <c r="BI58" s="100" t="str">
        <f t="shared" si="14"/>
        <v/>
      </c>
      <c r="BJ58" s="100" t="str">
        <f t="shared" si="15"/>
        <v/>
      </c>
      <c r="BK58" s="100" t="str">
        <f t="shared" si="16"/>
        <v/>
      </c>
      <c r="BL58" s="100" t="str">
        <f t="shared" si="17"/>
        <v/>
      </c>
      <c r="BM58" s="100" t="str">
        <f t="shared" si="18"/>
        <v/>
      </c>
      <c r="BN58" s="100" t="str">
        <f t="shared" si="19"/>
        <v/>
      </c>
      <c r="BO58" s="250" t="str">
        <f t="shared" si="20"/>
        <v>0</v>
      </c>
      <c r="BP58" s="250" t="str">
        <f t="shared" si="21"/>
        <v>0</v>
      </c>
      <c r="BQ58" s="677" t="str">
        <f t="shared" si="22"/>
        <v>00</v>
      </c>
      <c r="BR58" s="335"/>
    </row>
    <row r="59" spans="1:70" ht="15" customHeight="1">
      <c r="X59" t="s">
        <v>532</v>
      </c>
    </row>
    <row r="60" spans="1:70" ht="15" customHeight="1">
      <c r="X60" t="s">
        <v>533</v>
      </c>
    </row>
    <row r="61" spans="1:70" ht="15" customHeight="1">
      <c r="X61" t="s">
        <v>534</v>
      </c>
    </row>
    <row r="62" spans="1:70" ht="15" customHeight="1">
      <c r="X62" t="s">
        <v>535</v>
      </c>
    </row>
    <row r="63" spans="1:70" ht="15" customHeight="1">
      <c r="X63" t="s">
        <v>537</v>
      </c>
    </row>
    <row r="64" spans="1:70" ht="15" customHeight="1">
      <c r="X64" t="s">
        <v>525</v>
      </c>
    </row>
    <row r="65" spans="24:24" ht="15" customHeight="1">
      <c r="X65" t="s">
        <v>526</v>
      </c>
    </row>
    <row r="66" spans="24:24" ht="15" customHeight="1">
      <c r="X66" t="s">
        <v>529</v>
      </c>
    </row>
    <row r="67" spans="24:24" ht="15" customHeight="1">
      <c r="X67" t="s">
        <v>555</v>
      </c>
    </row>
    <row r="68" spans="24:24" ht="15" customHeight="1">
      <c r="X68" t="s">
        <v>536</v>
      </c>
    </row>
    <row r="69" spans="24:24" ht="15" customHeight="1">
      <c r="X69" t="s">
        <v>582</v>
      </c>
    </row>
    <row r="70" spans="24:24" ht="15" customHeight="1">
      <c r="X70" t="s">
        <v>583</v>
      </c>
    </row>
    <row r="71" spans="24:24" ht="15" customHeight="1">
      <c r="X71" t="s">
        <v>584</v>
      </c>
    </row>
    <row r="72" spans="24:24" ht="15" customHeight="1">
      <c r="X72" t="s">
        <v>544</v>
      </c>
    </row>
    <row r="73" spans="24:24" ht="15" customHeight="1">
      <c r="X73" t="s">
        <v>545</v>
      </c>
    </row>
    <row r="74" spans="24:24" ht="15" customHeight="1">
      <c r="X74" t="s">
        <v>546</v>
      </c>
    </row>
    <row r="75" spans="24:24" ht="15" customHeight="1">
      <c r="X75" t="s">
        <v>550</v>
      </c>
    </row>
    <row r="76" spans="24:24" ht="15" customHeight="1">
      <c r="X76" t="s">
        <v>551</v>
      </c>
    </row>
    <row r="77" spans="24:24" ht="15" customHeight="1">
      <c r="X77" t="s">
        <v>538</v>
      </c>
    </row>
    <row r="78" spans="24:24" ht="15" customHeight="1">
      <c r="X78" t="s">
        <v>539</v>
      </c>
    </row>
    <row r="79" spans="24:24" ht="15" customHeight="1">
      <c r="X79" t="s">
        <v>585</v>
      </c>
    </row>
    <row r="80" spans="24:24" ht="15" customHeight="1">
      <c r="X80" t="s">
        <v>540</v>
      </c>
    </row>
    <row r="81" spans="24:24" ht="15" customHeight="1">
      <c r="X81" t="s">
        <v>541</v>
      </c>
    </row>
    <row r="82" spans="24:24" ht="15" customHeight="1">
      <c r="X82" t="s">
        <v>542</v>
      </c>
    </row>
    <row r="83" spans="24:24" ht="15" customHeight="1">
      <c r="X83" t="s">
        <v>543</v>
      </c>
    </row>
    <row r="84" spans="24:24" ht="15" customHeight="1">
      <c r="X84" t="s">
        <v>547</v>
      </c>
    </row>
    <row r="85" spans="24:24" ht="15" customHeight="1">
      <c r="X85" t="s">
        <v>548</v>
      </c>
    </row>
    <row r="86" spans="24:24" ht="15" customHeight="1">
      <c r="X86" t="s">
        <v>586</v>
      </c>
    </row>
    <row r="87" spans="24:24" ht="15" customHeight="1">
      <c r="X87" t="s">
        <v>587</v>
      </c>
    </row>
    <row r="88" spans="24:24" ht="15" customHeight="1">
      <c r="X88" t="s">
        <v>549</v>
      </c>
    </row>
    <row r="89" spans="24:24" ht="15" customHeight="1">
      <c r="X89" t="s">
        <v>588</v>
      </c>
    </row>
    <row r="90" spans="24:24" ht="15" customHeight="1">
      <c r="X90" t="s">
        <v>552</v>
      </c>
    </row>
    <row r="91" spans="24:24" ht="15" customHeight="1">
      <c r="X91" t="s">
        <v>554</v>
      </c>
    </row>
    <row r="92" spans="24:24" ht="15" customHeight="1">
      <c r="X92" t="s">
        <v>553</v>
      </c>
    </row>
  </sheetData>
  <sheetProtection sheet="1" objects="1" scenarios="1"/>
  <mergeCells count="18">
    <mergeCell ref="M2:O2"/>
    <mergeCell ref="A7:A8"/>
    <mergeCell ref="Y9:Y58"/>
    <mergeCell ref="E5:G5"/>
    <mergeCell ref="I5:M5"/>
    <mergeCell ref="F7:F8"/>
    <mergeCell ref="E7:E8"/>
    <mergeCell ref="P7:P8"/>
    <mergeCell ref="Q7:Q8"/>
    <mergeCell ref="G7:G8"/>
    <mergeCell ref="H7:H8"/>
    <mergeCell ref="D7:D8"/>
    <mergeCell ref="C7:C8"/>
    <mergeCell ref="BF7:BG7"/>
    <mergeCell ref="R7:R8"/>
    <mergeCell ref="I7:I8"/>
    <mergeCell ref="J7:J8"/>
    <mergeCell ref="K7:M7"/>
  </mergeCells>
  <phoneticPr fontId="4"/>
  <conditionalFormatting sqref="E9:F58">
    <cfRule type="expression" dxfId="190" priority="3" stopIfTrue="1">
      <formula>O9=2</formula>
    </cfRule>
  </conditionalFormatting>
  <conditionalFormatting sqref="H9:H58">
    <cfRule type="expression" dxfId="189" priority="4" stopIfTrue="1">
      <formula>O9=2</formula>
    </cfRule>
  </conditionalFormatting>
  <conditionalFormatting sqref="M9:N58">
    <cfRule type="expression" dxfId="188" priority="5" stopIfTrue="1">
      <formula>R9=2</formula>
    </cfRule>
  </conditionalFormatting>
  <conditionalFormatting sqref="G9:G58">
    <cfRule type="expression" dxfId="187" priority="6" stopIfTrue="1">
      <formula>O9=2</formula>
    </cfRule>
  </conditionalFormatting>
  <conditionalFormatting sqref="I9:L58">
    <cfRule type="expression" dxfId="186" priority="8" stopIfTrue="1">
      <formula>O9=2</formula>
    </cfRule>
  </conditionalFormatting>
  <conditionalFormatting sqref="O9:O58">
    <cfRule type="cellIs" dxfId="185" priority="7" stopIfTrue="1" operator="equal">
      <formula>2</formula>
    </cfRule>
  </conditionalFormatting>
  <conditionalFormatting sqref="X54:X92">
    <cfRule type="duplicateValues" dxfId="184" priority="1" stopIfTrue="1"/>
  </conditionalFormatting>
  <dataValidations xWindow="257" yWindow="142" count="19">
    <dataValidation imeMode="disabled" allowBlank="1" sqref="Q9:Q58 J7 E59:F65536 F6"/>
    <dataValidation imeMode="disabled" allowBlank="1" promptTitle="登録月日の入力" prompt="月/日（例：9/30）で入力" sqref="F1 B5:B65536"/>
    <dataValidation imeMode="disabled" allowBlank="1" showInputMessage="1" showErrorMessage="1" sqref="AM9:BH58 AB9:AC58 I5:K5 AE9:AK58 BO9:BP58 BR9:CJ58 D9:E58"/>
    <dataValidation imeMode="disabled" allowBlank="1" showInputMessage="1" showErrorMessage="1" prompt="1分**秒で入力して下さい_x000a_54秒00⇒0.54.00" sqref="AL9:AL58"/>
    <dataValidation imeMode="hiragana" allowBlank="1" sqref="E5:F5"/>
    <dataValidation errorStyle="information" allowBlank="1" showErrorMessage="1" prompt="学校を選択して下さい" sqref="P10:P58"/>
    <dataValidation type="list" errorStyle="information" allowBlank="1" showInputMessage="1" prompt="所属を選択して下さい_x000a_あとは選手を入力すると記入されます_x000a__x000a_所属名が表示されない時はは直接入力して下さい" sqref="P9">
      <formula1>$X$9:$X$92</formula1>
    </dataValidation>
    <dataValidation allowBlank="1" sqref="F7 O9:O58 I7:I8 E6:E8"/>
    <dataValidation imeMode="fullKatakana" allowBlank="1" showInputMessage="1" promptTitle="フリガナ" prompt="全角カタカナで入力して姓と名の間は全角1文字スペースを入力してください_x000a_例：タカハシ　ナオコ" sqref="H9:H58"/>
    <dataValidation imeMode="disabled" allowBlank="1" showInputMessage="1" showErrorMessage="1" prompt="1分＊秒で入力して下さい_x000a_51秒00⇒0.51.00" sqref="AD9:AD58"/>
    <dataValidation errorStyle="information" imeMode="disabled" allowBlank="1" sqref="N9:N58"/>
    <dataValidation type="list" imeMode="hiragana" allowBlank="1" showInputMessage="1" showErrorMessage="1" errorTitle="不正な値" error="不正な値が入力されました" promptTitle="登録の種類" prompt="登録の種類には　継続　新規　追加　のいずれかを入力してください" sqref="F28:F58">
      <formula1>"継続,新規"</formula1>
    </dataValidation>
    <dataValidation imeMode="hiragana" allowBlank="1" showInputMessage="1" promptTitle="氏名の入力" prompt="姓と名の間は全角スペースを入力してください_x000a_例：　高橋　尚子" sqref="G28:G58"/>
    <dataValidation type="list" imeMode="on" allowBlank="1" showInputMessage="1" showErrorMessage="1" errorTitle="不正な値" error="不正な値が入力されました" promptTitle="登録の種類" prompt="登録の種類には　継続　新規　追加　のいずれかを入力してください" sqref="F9:F27">
      <formula1>"継続,新規,追加"</formula1>
    </dataValidation>
    <dataValidation allowBlank="1" showInputMessage="1" showErrorMessage="1" promptTitle="氏名の入力" prompt="姓と名の間は全角スペースを入力してください_x000a_例：　高橋　尚子" sqref="G9:G27"/>
    <dataValidation type="whole" imeMode="off" allowBlank="1" showInputMessage="1" prompt="西暦で入力して下さい" sqref="K9:K58">
      <formula1>1900</formula1>
      <formula2>1999</formula2>
    </dataValidation>
    <dataValidation type="list" allowBlank="1" showInputMessage="1" showErrorMessage="1" sqref="J9:J58">
      <formula1>"男,女,"</formula1>
    </dataValidation>
    <dataValidation allowBlank="1" showInputMessage="1" sqref="L1:M1048576"/>
    <dataValidation imeMode="hiragana" allowBlank="1" showInputMessage="1" showErrorMessage="1" promptTitle="略称" prompt="全角7文字、半角14文字以内" sqref="X9:X53"/>
  </dataValidations>
  <printOptions horizontalCentered="1"/>
  <pageMargins left="0.59055118110236227" right="0.59055118110236227" top="0.6692913385826772" bottom="0.59055118110236227" header="0" footer="0.51181102362204722"/>
  <pageSetup paperSize="9" fitToHeight="2" orientation="portrait" horizontalDpi="4294967292" verticalDpi="300" r:id="rId1"/>
  <headerFooter alignWithMargins="0">
    <oddHeader>&amp;L&amp;14平成24年度登録名簿&amp;R&amp;D</oddHeader>
    <oddFooter>&amp;C&amp;P</oddFooter>
  </headerFooter>
  <drawing r:id="rId2"/>
</worksheet>
</file>

<file path=xl/worksheets/sheet5.xml><?xml version="1.0" encoding="utf-8"?>
<worksheet xmlns="http://schemas.openxmlformats.org/spreadsheetml/2006/main" xmlns:r="http://schemas.openxmlformats.org/officeDocument/2006/relationships">
  <sheetPr codeName="Sheet24" enableFormatConditionsCalculation="0">
    <tabColor indexed="48"/>
  </sheetPr>
  <dimension ref="A1:O43"/>
  <sheetViews>
    <sheetView showGridLines="0" showRowColHeaders="0" showZeros="0" workbookViewId="0">
      <selection activeCell="B5" sqref="B5"/>
    </sheetView>
  </sheetViews>
  <sheetFormatPr defaultRowHeight="13.5"/>
  <cols>
    <col min="1" max="1" width="6.25" customWidth="1"/>
  </cols>
  <sheetData>
    <row r="1" spans="1:15">
      <c r="A1" s="120"/>
      <c r="B1" s="120"/>
      <c r="C1" s="120"/>
      <c r="D1" s="120"/>
      <c r="E1" s="120"/>
      <c r="F1" s="120"/>
      <c r="G1" s="120"/>
      <c r="H1" s="120"/>
      <c r="I1" s="120"/>
      <c r="J1" s="112"/>
      <c r="K1" s="112"/>
      <c r="L1" s="112"/>
      <c r="M1" s="112"/>
      <c r="N1" s="112"/>
      <c r="O1" s="112"/>
    </row>
    <row r="2" spans="1:15">
      <c r="A2" s="120"/>
      <c r="B2" s="120"/>
      <c r="C2" s="120"/>
      <c r="D2" s="120"/>
      <c r="E2" s="120"/>
      <c r="F2" s="120"/>
      <c r="G2" s="120"/>
      <c r="H2" s="120"/>
      <c r="I2" s="120"/>
      <c r="J2" s="112"/>
      <c r="K2" s="112"/>
      <c r="L2" s="112"/>
      <c r="M2" s="112"/>
      <c r="N2" s="112"/>
      <c r="O2" s="112"/>
    </row>
    <row r="3" spans="1:15">
      <c r="A3" s="120"/>
      <c r="B3" s="120"/>
      <c r="C3" s="120"/>
      <c r="D3" s="120"/>
      <c r="E3" s="120"/>
      <c r="F3" s="120"/>
      <c r="G3" s="120"/>
      <c r="H3" s="120"/>
      <c r="I3" s="120"/>
      <c r="J3" s="112"/>
      <c r="K3" s="112"/>
      <c r="L3" s="112"/>
      <c r="M3" s="112"/>
      <c r="N3" s="112"/>
      <c r="O3" s="112"/>
    </row>
    <row r="4" spans="1:15">
      <c r="A4" s="120"/>
      <c r="B4" s="121"/>
      <c r="C4" s="847"/>
      <c r="D4" s="847"/>
      <c r="E4" s="847"/>
      <c r="F4" s="847"/>
      <c r="G4" s="847"/>
      <c r="H4" s="120"/>
      <c r="I4" s="120"/>
      <c r="J4" s="112"/>
      <c r="K4" s="112"/>
      <c r="L4" s="112"/>
      <c r="M4" s="112"/>
      <c r="N4" s="112"/>
      <c r="O4" s="112"/>
    </row>
    <row r="5" spans="1:15">
      <c r="A5" s="120"/>
      <c r="B5" s="120"/>
      <c r="C5" s="120"/>
      <c r="D5" s="120"/>
      <c r="E5" s="120"/>
      <c r="F5" s="120"/>
      <c r="G5" s="120"/>
      <c r="H5" s="120"/>
      <c r="I5" s="120"/>
      <c r="J5" s="112"/>
      <c r="K5" s="112"/>
      <c r="L5" s="112"/>
      <c r="M5" s="112"/>
      <c r="N5" s="112"/>
      <c r="O5" s="112"/>
    </row>
    <row r="6" spans="1:15">
      <c r="A6" s="120"/>
      <c r="B6" s="120"/>
      <c r="C6" s="120"/>
      <c r="D6" s="120"/>
      <c r="E6" s="120"/>
      <c r="F6" s="120"/>
      <c r="G6" s="120"/>
      <c r="H6" s="120"/>
      <c r="I6" s="120"/>
      <c r="J6" s="112"/>
      <c r="K6" s="112"/>
      <c r="L6" s="112"/>
      <c r="M6" s="112"/>
      <c r="N6" s="112"/>
      <c r="O6" s="112"/>
    </row>
    <row r="7" spans="1:15">
      <c r="A7" s="120"/>
      <c r="B7" s="120"/>
      <c r="C7" s="120"/>
      <c r="D7" s="120"/>
      <c r="E7" s="120"/>
      <c r="F7" s="120"/>
      <c r="G7" s="120"/>
      <c r="H7" s="120"/>
      <c r="I7" s="120"/>
      <c r="J7" s="112"/>
      <c r="K7" s="112"/>
      <c r="L7" s="112"/>
      <c r="M7" s="112"/>
      <c r="N7" s="112"/>
      <c r="O7" s="112"/>
    </row>
    <row r="8" spans="1:15">
      <c r="A8" s="120"/>
      <c r="B8" s="120"/>
      <c r="C8" s="120"/>
      <c r="D8" s="120"/>
      <c r="E8" s="120"/>
      <c r="F8" s="120"/>
      <c r="G8" s="120"/>
      <c r="H8" s="120"/>
      <c r="I8" s="120"/>
      <c r="J8" s="112"/>
      <c r="K8" s="112"/>
      <c r="L8" s="112"/>
      <c r="M8" s="112"/>
      <c r="N8" s="112"/>
      <c r="O8" s="112"/>
    </row>
    <row r="9" spans="1:15">
      <c r="A9" s="120"/>
      <c r="B9" s="120"/>
      <c r="C9" s="120"/>
      <c r="D9" s="120"/>
      <c r="E9" s="120"/>
      <c r="F9" s="120"/>
      <c r="G9" s="848"/>
      <c r="H9" s="848"/>
      <c r="I9" s="120"/>
      <c r="J9" s="112"/>
      <c r="K9" s="112"/>
      <c r="L9" s="112"/>
      <c r="M9" s="112"/>
      <c r="N9" s="112"/>
      <c r="O9" s="112"/>
    </row>
    <row r="10" spans="1:15">
      <c r="A10" s="120"/>
      <c r="B10" s="120"/>
      <c r="C10" s="120"/>
      <c r="D10" s="120"/>
      <c r="E10" s="120"/>
      <c r="F10" s="120"/>
      <c r="G10" s="120"/>
      <c r="H10" s="120"/>
      <c r="I10" s="120"/>
      <c r="J10" s="112"/>
      <c r="K10" s="112"/>
      <c r="L10" s="112"/>
      <c r="M10" s="112"/>
      <c r="N10" s="112"/>
      <c r="O10" s="112"/>
    </row>
    <row r="11" spans="1:15">
      <c r="A11" s="120"/>
      <c r="B11" s="120"/>
      <c r="C11" s="120"/>
      <c r="D11" s="120"/>
      <c r="E11" s="120"/>
      <c r="F11" s="120"/>
      <c r="G11" s="120"/>
      <c r="H11" s="120"/>
      <c r="I11" s="120"/>
      <c r="J11" s="112"/>
      <c r="K11" s="112"/>
      <c r="L11" s="112"/>
      <c r="M11" s="112"/>
      <c r="N11" s="112"/>
      <c r="O11" s="112"/>
    </row>
    <row r="12" spans="1:15">
      <c r="A12" s="120"/>
      <c r="B12" s="120"/>
      <c r="C12" s="120"/>
      <c r="D12" s="120"/>
      <c r="E12" s="120"/>
      <c r="F12" s="120"/>
      <c r="G12" s="120"/>
      <c r="H12" s="120"/>
      <c r="I12" s="120"/>
      <c r="J12" s="112"/>
      <c r="K12" s="112"/>
      <c r="L12" s="112"/>
      <c r="M12" s="112"/>
      <c r="N12" s="112"/>
      <c r="O12" s="112"/>
    </row>
    <row r="13" spans="1:15">
      <c r="A13" s="120"/>
      <c r="B13" s="120"/>
      <c r="C13" s="120"/>
      <c r="D13" s="120"/>
      <c r="E13" s="120"/>
      <c r="F13" s="120"/>
      <c r="G13" s="120"/>
      <c r="H13" s="120"/>
      <c r="I13" s="120"/>
      <c r="J13" s="112"/>
      <c r="K13" s="112"/>
      <c r="L13" s="112"/>
      <c r="M13" s="112"/>
      <c r="N13" s="112"/>
      <c r="O13" s="112"/>
    </row>
    <row r="14" spans="1:15">
      <c r="A14" s="120"/>
      <c r="B14" s="120"/>
      <c r="C14" s="120"/>
      <c r="D14" s="120"/>
      <c r="E14" s="120"/>
      <c r="F14" s="120"/>
      <c r="G14" s="120"/>
      <c r="H14" s="120"/>
      <c r="I14" s="120"/>
      <c r="J14" s="112"/>
      <c r="K14" s="112"/>
      <c r="L14" s="112"/>
      <c r="M14" s="112"/>
      <c r="N14" s="112"/>
      <c r="O14" s="112"/>
    </row>
    <row r="15" spans="1:15">
      <c r="A15" s="120"/>
      <c r="B15" s="120"/>
      <c r="C15" s="120"/>
      <c r="D15" s="120"/>
      <c r="E15" s="120"/>
      <c r="F15" s="120"/>
      <c r="G15" s="641" t="s">
        <v>401</v>
      </c>
      <c r="H15" s="120"/>
      <c r="I15" s="120"/>
      <c r="J15" s="112"/>
      <c r="K15" s="112"/>
      <c r="L15" s="112"/>
      <c r="M15" s="112"/>
      <c r="N15" s="112"/>
      <c r="O15" s="112"/>
    </row>
    <row r="16" spans="1:15">
      <c r="A16" s="120"/>
      <c r="B16" s="120"/>
      <c r="C16" s="120"/>
      <c r="D16" s="120"/>
      <c r="E16" s="120"/>
      <c r="F16" s="120"/>
      <c r="G16" s="120"/>
      <c r="H16" s="120"/>
      <c r="I16" s="120"/>
      <c r="J16" s="112"/>
      <c r="K16" s="112"/>
      <c r="L16" s="112"/>
      <c r="M16" s="112"/>
      <c r="N16" s="112"/>
      <c r="O16" s="112"/>
    </row>
    <row r="17" spans="1:15">
      <c r="A17" s="120"/>
      <c r="B17" s="120"/>
      <c r="C17" s="120"/>
      <c r="D17" s="120"/>
      <c r="E17" s="120"/>
      <c r="F17" s="120"/>
      <c r="G17" s="120"/>
      <c r="H17" s="120"/>
      <c r="I17" s="120"/>
      <c r="J17" s="112"/>
      <c r="K17" s="112"/>
      <c r="L17" s="112"/>
      <c r="M17" s="112"/>
      <c r="N17" s="112"/>
      <c r="O17" s="112"/>
    </row>
    <row r="18" spans="1:15">
      <c r="A18" s="120"/>
      <c r="B18" s="120"/>
      <c r="C18" s="120"/>
      <c r="D18" s="120"/>
      <c r="E18" s="120"/>
      <c r="F18" s="120"/>
      <c r="G18" s="120"/>
      <c r="H18" s="120"/>
      <c r="I18" s="120"/>
      <c r="J18" s="112"/>
      <c r="K18" s="112"/>
      <c r="L18" s="112"/>
      <c r="M18" s="112"/>
      <c r="N18" s="112"/>
      <c r="O18" s="112"/>
    </row>
    <row r="19" spans="1:15">
      <c r="A19" s="120"/>
      <c r="B19" s="120"/>
      <c r="C19" s="120"/>
      <c r="D19" s="120"/>
      <c r="E19" s="120"/>
      <c r="F19" s="120"/>
      <c r="G19" s="120"/>
      <c r="H19" s="120"/>
      <c r="I19" s="120"/>
      <c r="J19" s="112"/>
      <c r="K19" s="112"/>
      <c r="L19" s="112"/>
      <c r="M19" s="112"/>
      <c r="N19" s="112"/>
      <c r="O19" s="112"/>
    </row>
    <row r="20" spans="1:15">
      <c r="A20" s="120"/>
      <c r="B20" s="120"/>
      <c r="C20" s="120"/>
      <c r="D20" s="120"/>
      <c r="E20" s="120"/>
      <c r="F20" s="120"/>
      <c r="G20" s="120"/>
      <c r="H20" s="120"/>
      <c r="I20" s="120"/>
      <c r="J20" s="112"/>
      <c r="K20" s="112"/>
      <c r="L20" s="112"/>
      <c r="M20" s="112"/>
      <c r="N20" s="112"/>
      <c r="O20" s="112"/>
    </row>
    <row r="21" spans="1:15">
      <c r="A21" s="120"/>
      <c r="B21" s="120"/>
      <c r="C21" s="120"/>
      <c r="D21" s="120"/>
      <c r="E21" s="120"/>
      <c r="F21" s="120"/>
      <c r="G21" s="120"/>
      <c r="H21" s="120"/>
      <c r="I21" s="120"/>
      <c r="J21" s="112"/>
      <c r="K21" s="112"/>
      <c r="L21" s="112"/>
      <c r="M21" s="112"/>
      <c r="N21" s="112"/>
      <c r="O21" s="112"/>
    </row>
    <row r="22" spans="1:15">
      <c r="A22" s="120"/>
      <c r="B22" s="120"/>
      <c r="C22" s="120"/>
      <c r="D22" s="120"/>
      <c r="E22" s="120"/>
      <c r="F22" s="120"/>
      <c r="G22" s="120"/>
      <c r="H22" s="120"/>
      <c r="I22" s="120"/>
      <c r="J22" s="112"/>
      <c r="K22" s="112"/>
      <c r="L22" s="112"/>
      <c r="M22" s="112"/>
      <c r="N22" s="112"/>
      <c r="O22" s="112"/>
    </row>
    <row r="23" spans="1:15">
      <c r="A23" s="112"/>
      <c r="B23" s="112"/>
      <c r="C23" s="112"/>
      <c r="D23" s="112"/>
      <c r="E23" s="112"/>
      <c r="F23" s="112"/>
      <c r="G23" s="112"/>
      <c r="H23" s="112"/>
      <c r="I23" s="112"/>
      <c r="J23" s="112"/>
      <c r="K23" s="112"/>
      <c r="L23" s="112"/>
      <c r="M23" s="112"/>
      <c r="N23" s="112"/>
      <c r="O23" s="112"/>
    </row>
    <row r="24" spans="1:15">
      <c r="A24" s="112"/>
      <c r="B24" s="112"/>
      <c r="C24" s="112"/>
      <c r="D24" s="112"/>
      <c r="E24" s="112"/>
      <c r="F24" s="112"/>
      <c r="G24" s="112"/>
      <c r="H24" s="112"/>
      <c r="I24" s="112"/>
      <c r="J24" s="112"/>
      <c r="K24" s="112"/>
      <c r="L24" s="112"/>
      <c r="M24" s="112"/>
      <c r="N24" s="112"/>
      <c r="O24" s="112"/>
    </row>
    <row r="25" spans="1:15">
      <c r="A25" s="112"/>
      <c r="B25" s="112"/>
      <c r="C25" s="112"/>
      <c r="D25" s="112"/>
      <c r="E25" s="112"/>
      <c r="F25" s="112"/>
      <c r="G25" s="112"/>
      <c r="H25" s="112"/>
      <c r="I25" s="112"/>
      <c r="J25" s="112"/>
      <c r="K25" s="112"/>
      <c r="L25" s="112"/>
      <c r="M25" s="112"/>
      <c r="N25" s="112"/>
      <c r="O25" s="112"/>
    </row>
    <row r="26" spans="1:15">
      <c r="A26" s="112"/>
      <c r="B26" s="112"/>
      <c r="C26" s="112"/>
      <c r="D26" s="112"/>
      <c r="E26" s="112"/>
      <c r="F26" s="112"/>
      <c r="G26" s="112"/>
      <c r="H26" s="112"/>
      <c r="I26" s="112"/>
      <c r="J26" s="112"/>
      <c r="K26" s="112"/>
      <c r="L26" s="112"/>
      <c r="M26" s="112"/>
      <c r="N26" s="112"/>
      <c r="O26" s="112"/>
    </row>
    <row r="27" spans="1:15">
      <c r="A27" s="112"/>
      <c r="B27" s="112"/>
      <c r="C27" s="112"/>
      <c r="D27" s="112"/>
      <c r="E27" s="112"/>
      <c r="F27" s="112"/>
      <c r="G27" s="112"/>
      <c r="H27" s="112"/>
      <c r="I27" s="112"/>
      <c r="J27" s="112"/>
      <c r="K27" s="112"/>
      <c r="L27" s="112"/>
      <c r="M27" s="112"/>
      <c r="N27" s="112"/>
      <c r="O27" s="112"/>
    </row>
    <row r="28" spans="1:15">
      <c r="A28" s="112"/>
      <c r="B28" s="112"/>
      <c r="C28" s="112"/>
      <c r="D28" s="112"/>
      <c r="E28" s="112"/>
      <c r="F28" s="112"/>
      <c r="G28" s="112"/>
      <c r="H28" s="112"/>
      <c r="I28" s="112"/>
      <c r="J28" s="112"/>
      <c r="K28" s="112"/>
      <c r="L28" s="112"/>
      <c r="M28" s="112"/>
      <c r="N28" s="112"/>
      <c r="O28" s="112"/>
    </row>
    <row r="29" spans="1:15">
      <c r="A29" s="112"/>
      <c r="B29" s="112"/>
      <c r="C29" s="112"/>
      <c r="D29" s="112"/>
      <c r="E29" s="112"/>
      <c r="F29" s="112"/>
      <c r="G29" s="112"/>
      <c r="H29" s="112"/>
      <c r="I29" s="112"/>
      <c r="J29" s="112"/>
      <c r="K29" s="112"/>
      <c r="L29" s="112"/>
      <c r="M29" s="112"/>
      <c r="N29" s="112"/>
      <c r="O29" s="112"/>
    </row>
    <row r="30" spans="1:15">
      <c r="A30" s="112"/>
      <c r="B30" s="112"/>
      <c r="C30" s="112"/>
      <c r="D30" s="112"/>
      <c r="E30" s="112"/>
      <c r="F30" s="112"/>
      <c r="G30" s="112"/>
      <c r="H30" s="112"/>
      <c r="I30" s="112"/>
      <c r="J30" s="112"/>
      <c r="K30" s="112"/>
      <c r="L30" s="112"/>
      <c r="M30" s="112"/>
      <c r="N30" s="112"/>
      <c r="O30" s="112"/>
    </row>
    <row r="31" spans="1:15">
      <c r="A31" s="112"/>
      <c r="B31" s="112"/>
      <c r="C31" s="112"/>
      <c r="D31" s="112"/>
      <c r="E31" s="112"/>
      <c r="F31" s="112"/>
      <c r="G31" s="112"/>
      <c r="H31" s="112"/>
      <c r="I31" s="112"/>
      <c r="J31" s="112"/>
      <c r="K31" s="112"/>
      <c r="L31" s="112"/>
      <c r="M31" s="112"/>
      <c r="N31" s="112"/>
      <c r="O31" s="112"/>
    </row>
    <row r="32" spans="1:15">
      <c r="A32" s="112"/>
      <c r="B32" s="112"/>
      <c r="C32" s="112"/>
      <c r="D32" s="112"/>
      <c r="E32" s="112"/>
      <c r="F32" s="112"/>
      <c r="G32" s="112"/>
      <c r="H32" s="112"/>
      <c r="I32" s="112"/>
      <c r="J32" s="112"/>
      <c r="K32" s="112"/>
      <c r="L32" s="112"/>
      <c r="M32" s="112"/>
      <c r="N32" s="112"/>
      <c r="O32" s="112"/>
    </row>
    <row r="33" spans="1:15">
      <c r="A33" s="112"/>
      <c r="B33" s="112"/>
      <c r="C33" s="112"/>
      <c r="D33" s="112"/>
      <c r="E33" s="112"/>
      <c r="F33" s="112"/>
      <c r="G33" s="112"/>
      <c r="H33" s="112"/>
      <c r="I33" s="112"/>
      <c r="J33" s="112"/>
      <c r="K33" s="112"/>
      <c r="L33" s="112"/>
      <c r="M33" s="112"/>
      <c r="N33" s="112"/>
      <c r="O33" s="112"/>
    </row>
    <row r="34" spans="1:15">
      <c r="A34" s="112"/>
      <c r="B34" s="112"/>
      <c r="C34" s="112"/>
      <c r="D34" s="112"/>
      <c r="E34" s="112"/>
      <c r="F34" s="112"/>
      <c r="G34" s="112"/>
      <c r="H34" s="112"/>
      <c r="I34" s="112"/>
      <c r="J34" s="112"/>
      <c r="K34" s="112"/>
      <c r="L34" s="112"/>
      <c r="M34" s="112"/>
      <c r="N34" s="112"/>
      <c r="O34" s="112"/>
    </row>
    <row r="35" spans="1:15">
      <c r="A35" s="112"/>
      <c r="B35" s="112"/>
      <c r="C35" s="112"/>
      <c r="D35" s="112"/>
      <c r="E35" s="112"/>
      <c r="F35" s="112"/>
      <c r="G35" s="112"/>
      <c r="H35" s="112"/>
      <c r="I35" s="112"/>
      <c r="J35" s="112"/>
      <c r="K35" s="112"/>
      <c r="L35" s="112"/>
      <c r="M35" s="112"/>
      <c r="N35" s="112"/>
      <c r="O35" s="112"/>
    </row>
    <row r="36" spans="1:15">
      <c r="A36" s="112"/>
      <c r="B36" s="112"/>
      <c r="C36" s="112"/>
      <c r="D36" s="112"/>
      <c r="E36" s="112"/>
      <c r="F36" s="112"/>
      <c r="G36" s="112"/>
      <c r="H36" s="112"/>
      <c r="I36" s="112"/>
      <c r="J36" s="112"/>
      <c r="K36" s="112"/>
      <c r="L36" s="112"/>
      <c r="M36" s="112"/>
      <c r="N36" s="112"/>
      <c r="O36" s="112"/>
    </row>
    <row r="37" spans="1:15">
      <c r="A37" s="112"/>
      <c r="B37" s="112"/>
      <c r="C37" s="112"/>
      <c r="D37" s="112"/>
      <c r="E37" s="112"/>
      <c r="F37" s="112"/>
      <c r="G37" s="112"/>
      <c r="H37" s="112"/>
      <c r="I37" s="112"/>
      <c r="J37" s="112"/>
      <c r="K37" s="112"/>
      <c r="L37" s="112"/>
      <c r="M37" s="112"/>
      <c r="N37" s="112"/>
      <c r="O37" s="112"/>
    </row>
    <row r="38" spans="1:15">
      <c r="A38" s="112"/>
      <c r="B38" s="112"/>
      <c r="C38" s="112"/>
      <c r="D38" s="112"/>
      <c r="E38" s="112"/>
      <c r="F38" s="112"/>
      <c r="G38" s="112"/>
      <c r="H38" s="112"/>
      <c r="I38" s="112"/>
      <c r="J38" s="112"/>
      <c r="K38" s="112"/>
      <c r="L38" s="112"/>
      <c r="M38" s="112"/>
      <c r="N38" s="112"/>
      <c r="O38" s="112"/>
    </row>
    <row r="39" spans="1:15">
      <c r="A39" s="112"/>
      <c r="B39" s="112"/>
      <c r="C39" s="112"/>
      <c r="D39" s="112"/>
      <c r="E39" s="112"/>
      <c r="F39" s="112"/>
      <c r="G39" s="112"/>
      <c r="H39" s="112"/>
      <c r="I39" s="112"/>
      <c r="J39" s="112"/>
      <c r="K39" s="112"/>
      <c r="L39" s="112"/>
      <c r="M39" s="112"/>
      <c r="N39" s="112"/>
      <c r="O39" s="112"/>
    </row>
    <row r="40" spans="1:15">
      <c r="A40" s="112"/>
      <c r="B40" s="112"/>
      <c r="C40" s="112"/>
      <c r="D40" s="112"/>
      <c r="E40" s="112"/>
      <c r="F40" s="112"/>
      <c r="G40" s="112"/>
      <c r="H40" s="112"/>
      <c r="I40" s="112"/>
      <c r="J40" s="112"/>
      <c r="K40" s="112"/>
      <c r="L40" s="112"/>
      <c r="M40" s="112"/>
      <c r="N40" s="112"/>
      <c r="O40" s="112"/>
    </row>
    <row r="41" spans="1:15">
      <c r="A41" s="112"/>
      <c r="B41" s="112"/>
      <c r="C41" s="112"/>
      <c r="D41" s="112"/>
      <c r="E41" s="112"/>
      <c r="F41" s="112"/>
      <c r="G41" s="112"/>
      <c r="H41" s="112"/>
      <c r="I41" s="112"/>
      <c r="J41" s="112"/>
      <c r="K41" s="112"/>
      <c r="L41" s="112"/>
      <c r="M41" s="112"/>
      <c r="N41" s="112"/>
      <c r="O41" s="112"/>
    </row>
    <row r="42" spans="1:15">
      <c r="A42" s="112"/>
      <c r="B42" s="112"/>
      <c r="C42" s="112"/>
      <c r="D42" s="112"/>
      <c r="E42" s="112"/>
      <c r="F42" s="112"/>
      <c r="G42" s="112"/>
      <c r="H42" s="112"/>
      <c r="I42" s="112"/>
      <c r="J42" s="112"/>
      <c r="K42" s="112"/>
      <c r="L42" s="112"/>
      <c r="M42" s="112"/>
      <c r="N42" s="112"/>
      <c r="O42" s="112"/>
    </row>
    <row r="43" spans="1:15">
      <c r="A43" s="112"/>
      <c r="B43" s="112"/>
      <c r="C43" s="112"/>
      <c r="D43" s="112"/>
      <c r="E43" s="112"/>
      <c r="F43" s="112"/>
      <c r="G43" s="112"/>
      <c r="H43" s="112"/>
      <c r="I43" s="112"/>
      <c r="J43" s="112"/>
      <c r="K43" s="112"/>
      <c r="L43" s="112"/>
      <c r="M43" s="112"/>
      <c r="N43" s="112"/>
      <c r="O43" s="112"/>
    </row>
  </sheetData>
  <sheetProtection sheet="1" objects="1" scenarios="1"/>
  <mergeCells count="2">
    <mergeCell ref="C4:G4"/>
    <mergeCell ref="G9:H9"/>
  </mergeCells>
  <phoneticPr fontId="5"/>
  <pageMargins left="0.78700000000000003" right="0.78700000000000003" top="0.98399999999999999" bottom="0.98399999999999999" header="0.51200000000000001" footer="0.51200000000000001"/>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2" enableFormatConditionsCalculation="0">
    <tabColor indexed="29"/>
    <pageSetUpPr fitToPage="1"/>
  </sheetPr>
  <dimension ref="A1:BM81"/>
  <sheetViews>
    <sheetView showGridLines="0" showZeros="0" topLeftCell="D1" zoomScaleNormal="100" workbookViewId="0">
      <selection activeCell="O7" sqref="O7"/>
    </sheetView>
  </sheetViews>
  <sheetFormatPr defaultColWidth="8.625" defaultRowHeight="13.5"/>
  <cols>
    <col min="1" max="1" width="12.25" style="4" hidden="1" customWidth="1"/>
    <col min="2" max="2" width="10.25" style="4" hidden="1" customWidth="1"/>
    <col min="3" max="3" width="11.25" style="4" hidden="1" customWidth="1"/>
    <col min="4" max="4" width="8.75" style="4" customWidth="1"/>
    <col min="5" max="5" width="10.25" style="4" bestFit="1" customWidth="1"/>
    <col min="6" max="6" width="15.125" style="4" customWidth="1"/>
    <col min="7" max="7" width="15.125" style="5" customWidth="1"/>
    <col min="8" max="8" width="18.75" style="26" hidden="1" customWidth="1"/>
    <col min="9" max="9" width="4.75" style="26" customWidth="1"/>
    <col min="10" max="10" width="5.125" style="6" customWidth="1"/>
    <col min="11" max="11" width="5.5" style="6" hidden="1" customWidth="1"/>
    <col min="12" max="12" width="5.5" style="4" hidden="1" customWidth="1"/>
    <col min="13" max="13" width="6.75" style="9" hidden="1" customWidth="1"/>
    <col min="14" max="14" width="9.875" style="115" customWidth="1"/>
    <col min="15" max="15" width="16" style="14" customWidth="1"/>
    <col min="16" max="16" width="5.25" style="9" hidden="1" customWidth="1"/>
    <col min="17" max="17" width="11.625" style="115" customWidth="1"/>
    <col min="18" max="18" width="6.375" style="14" hidden="1" customWidth="1"/>
    <col min="19" max="19" width="7.125" style="9" hidden="1" customWidth="1"/>
    <col min="20" max="20" width="15.875" style="10" customWidth="1"/>
    <col min="21" max="21" width="4.875" style="14" hidden="1" customWidth="1"/>
    <col min="22" max="22" width="11.625" style="98" customWidth="1"/>
    <col min="23" max="23" width="7.25" style="10" hidden="1" customWidth="1"/>
    <col min="24" max="24" width="10.25" style="14" hidden="1" customWidth="1"/>
    <col min="25" max="25" width="0.375" style="9" hidden="1" customWidth="1"/>
    <col min="26" max="26" width="7.625" style="10" hidden="1" customWidth="1"/>
    <col min="27" max="27" width="10.875" style="14" hidden="1" customWidth="1"/>
    <col min="28" max="28" width="12.375" style="6" hidden="1" customWidth="1"/>
    <col min="29" max="29" width="13" style="6" hidden="1" customWidth="1"/>
    <col min="30" max="30" width="9.375" style="4" hidden="1" customWidth="1"/>
    <col min="31" max="31" width="4.375" style="73" hidden="1" customWidth="1"/>
    <col min="32" max="32" width="11.875" style="87" hidden="1" customWidth="1"/>
    <col min="33" max="33" width="8.75" style="87" hidden="1" customWidth="1"/>
    <col min="34" max="34" width="10.875" style="87" hidden="1" customWidth="1"/>
    <col min="35" max="35" width="9.25" style="4" hidden="1" customWidth="1"/>
    <col min="36" max="36" width="5.25" style="4" hidden="1" customWidth="1"/>
    <col min="37" max="37" width="4.875" style="4" hidden="1" customWidth="1"/>
    <col min="38" max="38" width="9.875" style="4" hidden="1" customWidth="1"/>
    <col min="39" max="39" width="8.375" style="4" hidden="1" customWidth="1"/>
    <col min="40" max="40" width="7.75" style="4" hidden="1" customWidth="1"/>
    <col min="41" max="41" width="10.625" style="4" hidden="1" customWidth="1"/>
    <col min="42" max="42" width="8.75" style="99" hidden="1" customWidth="1"/>
    <col min="43" max="43" width="8.125" style="99" hidden="1" customWidth="1"/>
    <col min="44" max="44" width="12.25" style="4" hidden="1" customWidth="1"/>
    <col min="45" max="45" width="5.625" style="4" hidden="1" customWidth="1"/>
    <col min="46" max="46" width="7.875" style="4" hidden="1" customWidth="1"/>
    <col min="47" max="47" width="7.5" style="4" hidden="1" customWidth="1"/>
    <col min="48" max="48" width="13" style="4" customWidth="1"/>
    <col min="49" max="49" width="6.125" style="4" customWidth="1"/>
    <col min="50" max="50" width="9.875" style="4" customWidth="1"/>
    <col min="51" max="51" width="5.125" style="4" customWidth="1"/>
    <col min="52" max="52" width="9.875" style="4" hidden="1" customWidth="1"/>
    <col min="53" max="53" width="10.375" style="4" hidden="1" customWidth="1"/>
    <col min="54" max="54" width="16.125" style="4" hidden="1" customWidth="1"/>
    <col min="55" max="55" width="9" style="4" hidden="1" customWidth="1"/>
    <col min="56" max="56" width="8.125" style="4" hidden="1" customWidth="1"/>
    <col min="57" max="57" width="9.375" style="4" hidden="1" customWidth="1"/>
    <col min="58" max="58" width="10.875" style="4" hidden="1" customWidth="1"/>
    <col min="59" max="59" width="9.5" style="4" hidden="1" customWidth="1"/>
    <col min="60" max="60" width="10.125" style="4" hidden="1" customWidth="1"/>
    <col min="61" max="61" width="9.375" style="4" hidden="1" customWidth="1"/>
    <col min="62" max="62" width="9" style="4" customWidth="1"/>
    <col min="63" max="16384" width="8.625" style="4"/>
  </cols>
  <sheetData>
    <row r="1" spans="1:65" ht="29.25" customHeight="1">
      <c r="B1" s="144"/>
      <c r="C1" s="145"/>
      <c r="D1" s="146"/>
      <c r="E1" s="144" t="s">
        <v>259</v>
      </c>
      <c r="F1" s="145" t="str">
        <f>IF(名簿!$P$9="","",名簿!$P$9)</f>
        <v/>
      </c>
      <c r="G1" s="408"/>
      <c r="H1" s="408"/>
      <c r="I1" s="408" t="s">
        <v>440</v>
      </c>
      <c r="J1" s="802"/>
      <c r="K1" s="802"/>
      <c r="L1" s="802"/>
      <c r="M1" s="802"/>
      <c r="N1" s="701"/>
      <c r="O1" s="803"/>
      <c r="P1" s="151"/>
      <c r="Q1" s="149"/>
      <c r="R1" s="150"/>
      <c r="S1" s="151"/>
      <c r="T1" s="152"/>
      <c r="U1" s="150"/>
      <c r="V1" s="153"/>
      <c r="W1" s="152"/>
      <c r="X1" s="150"/>
      <c r="Y1" s="151"/>
      <c r="Z1" s="152"/>
      <c r="AA1" s="150"/>
      <c r="AB1" s="154"/>
      <c r="AC1" s="154"/>
      <c r="AD1" s="146"/>
      <c r="AE1" s="155"/>
      <c r="AF1" s="156"/>
      <c r="AG1" s="156"/>
      <c r="AH1" s="156"/>
      <c r="AI1" s="146"/>
      <c r="AJ1" s="146"/>
      <c r="AK1" s="146"/>
      <c r="AL1" s="146"/>
      <c r="AM1" s="146"/>
      <c r="AN1" s="103"/>
      <c r="AO1" s="103"/>
      <c r="AP1" s="351"/>
      <c r="AQ1" s="351"/>
      <c r="AR1" s="103"/>
      <c r="AS1" s="103"/>
      <c r="AT1" s="103"/>
      <c r="AV1" s="146"/>
      <c r="AW1" s="146"/>
      <c r="AX1" s="146"/>
      <c r="AY1" s="146"/>
      <c r="BJ1" s="694"/>
      <c r="BK1" s="694"/>
      <c r="BL1" s="694"/>
      <c r="BM1" s="694"/>
    </row>
    <row r="2" spans="1:65" ht="26.25" customHeight="1">
      <c r="B2" s="144"/>
      <c r="C2" s="155"/>
      <c r="D2" s="146"/>
      <c r="E2" s="144" t="s">
        <v>260</v>
      </c>
      <c r="F2" s="155" t="str">
        <f>名簿!$Q$9</f>
        <v/>
      </c>
      <c r="G2" s="215" t="s">
        <v>380</v>
      </c>
      <c r="H2" s="228"/>
      <c r="I2" s="849">
        <f>COUNTIF($I$7:$I$56,1)-COUNTIF($BH$7:$BH$56,0)</f>
        <v>0</v>
      </c>
      <c r="J2" s="849"/>
      <c r="K2" s="319"/>
      <c r="L2" s="319"/>
      <c r="M2" s="319"/>
      <c r="N2" s="164"/>
      <c r="O2" s="165"/>
      <c r="P2" s="165"/>
      <c r="Q2" s="850"/>
      <c r="R2" s="850"/>
      <c r="S2" s="166"/>
      <c r="T2" s="804"/>
      <c r="U2" s="165"/>
      <c r="V2" s="851"/>
      <c r="W2" s="851"/>
      <c r="X2" s="150"/>
      <c r="Y2" s="151"/>
      <c r="Z2" s="152"/>
      <c r="AA2" s="150"/>
      <c r="AB2" s="154"/>
      <c r="AC2" s="154"/>
      <c r="AD2" s="146"/>
      <c r="AE2" s="155"/>
      <c r="AF2" s="169"/>
      <c r="AG2" s="169"/>
      <c r="AH2" s="169"/>
      <c r="AI2" s="146"/>
      <c r="AJ2" s="852"/>
      <c r="AK2" s="852"/>
      <c r="AL2" s="852"/>
      <c r="AM2" s="852"/>
      <c r="AN2" s="103"/>
      <c r="AO2" s="103"/>
      <c r="AP2" s="351"/>
      <c r="AQ2" s="351"/>
      <c r="AR2" s="103"/>
      <c r="AS2" s="103"/>
      <c r="AT2" s="103"/>
      <c r="AV2" s="146"/>
      <c r="AW2" s="146"/>
      <c r="AX2" s="146"/>
      <c r="AY2" s="146"/>
      <c r="BJ2" s="694"/>
      <c r="BK2" s="694"/>
      <c r="BL2" s="694"/>
      <c r="BM2" s="694"/>
    </row>
    <row r="3" spans="1:65" s="56" customFormat="1" ht="26.25" customHeight="1">
      <c r="B3" s="171"/>
      <c r="C3" s="157"/>
      <c r="D3" s="157"/>
      <c r="E3" s="171" t="s">
        <v>386</v>
      </c>
      <c r="F3" s="157" t="str">
        <f>IF(名簿!$E$5="","",名簿!$E$5)</f>
        <v/>
      </c>
      <c r="G3" s="215" t="s">
        <v>381</v>
      </c>
      <c r="H3" s="172"/>
      <c r="I3" s="849">
        <f>COUNTIF($I$7:$I$56,2)-COUNTIF($BI$7:$BI$56,0)</f>
        <v>0</v>
      </c>
      <c r="J3" s="849"/>
      <c r="K3" s="319"/>
      <c r="L3" s="318"/>
      <c r="M3" s="319"/>
      <c r="N3" s="164"/>
      <c r="O3" s="318"/>
      <c r="P3" s="158"/>
      <c r="Q3" s="163"/>
      <c r="R3" s="163"/>
      <c r="S3" s="175"/>
      <c r="T3" s="176"/>
      <c r="U3" s="158"/>
      <c r="V3" s="168"/>
      <c r="W3" s="168"/>
      <c r="X3" s="177"/>
      <c r="Y3" s="178"/>
      <c r="Z3" s="179"/>
      <c r="AA3" s="177"/>
      <c r="AB3" s="180"/>
      <c r="AC3" s="180"/>
      <c r="AD3" s="181"/>
      <c r="AE3" s="157"/>
      <c r="AF3" s="182"/>
      <c r="AG3" s="182"/>
      <c r="AH3" s="182"/>
      <c r="AI3" s="181"/>
      <c r="AJ3" s="170"/>
      <c r="AK3" s="170"/>
      <c r="AL3" s="170"/>
      <c r="AM3" s="170"/>
      <c r="AN3" s="340"/>
      <c r="AO3" s="340"/>
      <c r="AP3" s="351"/>
      <c r="AQ3" s="351"/>
      <c r="AR3" s="340"/>
      <c r="AS3" s="340"/>
      <c r="AT3" s="340"/>
      <c r="AV3" s="181"/>
      <c r="AW3" s="181"/>
      <c r="AX3" s="181"/>
      <c r="AY3" s="181"/>
      <c r="BJ3" s="695"/>
      <c r="BK3" s="695"/>
      <c r="BL3" s="695"/>
      <c r="BM3" s="695"/>
    </row>
    <row r="4" spans="1:65" s="56" customFormat="1" ht="26.25" customHeight="1" thickBot="1">
      <c r="B4" s="171"/>
      <c r="C4" s="183"/>
      <c r="D4" s="183"/>
      <c r="E4" s="171" t="s">
        <v>387</v>
      </c>
      <c r="F4" s="183" t="str">
        <f>IF(名簿!$I$5="","",名簿!$I$5)</f>
        <v/>
      </c>
      <c r="G4" s="215" t="s">
        <v>352</v>
      </c>
      <c r="H4" s="186"/>
      <c r="I4" s="855">
        <f>$AF$58*1000+T5*800</f>
        <v>0</v>
      </c>
      <c r="J4" s="855"/>
      <c r="K4" s="381"/>
      <c r="L4" s="323"/>
      <c r="M4" s="381"/>
      <c r="N4" s="164"/>
      <c r="O4" s="323">
        <f>$AF$58</f>
        <v>0</v>
      </c>
      <c r="P4" s="158"/>
      <c r="Q4" s="163"/>
      <c r="R4" s="163"/>
      <c r="S4" s="175"/>
      <c r="T4" s="176"/>
      <c r="U4" s="158"/>
      <c r="V4" s="168"/>
      <c r="W4" s="168"/>
      <c r="X4" s="177"/>
      <c r="Y4" s="178"/>
      <c r="Z4" s="179"/>
      <c r="AA4" s="177"/>
      <c r="AB4" s="180"/>
      <c r="AC4" s="180"/>
      <c r="AD4" s="181"/>
      <c r="AE4" s="157"/>
      <c r="AF4" s="182"/>
      <c r="AG4" s="182"/>
      <c r="AH4" s="182"/>
      <c r="AI4" s="181"/>
      <c r="AJ4" s="170"/>
      <c r="AK4" s="170"/>
      <c r="AL4" s="170"/>
      <c r="AM4" s="170"/>
      <c r="AN4" s="340"/>
      <c r="AO4" s="340"/>
      <c r="AP4" s="351"/>
      <c r="AQ4" s="351"/>
      <c r="AR4" s="340"/>
      <c r="AS4" s="340"/>
      <c r="AT4" s="340"/>
      <c r="AV4" s="181"/>
      <c r="AW4" s="181"/>
      <c r="AX4" s="181"/>
      <c r="AY4" s="181"/>
      <c r="BJ4" s="695"/>
      <c r="BK4" s="695"/>
      <c r="BL4" s="695"/>
      <c r="BM4" s="695"/>
    </row>
    <row r="5" spans="1:65" s="56" customFormat="1" ht="26.25" customHeight="1" thickTop="1" thickBot="1">
      <c r="B5" s="170"/>
      <c r="C5" s="181"/>
      <c r="D5" s="181"/>
      <c r="E5" s="682" t="s">
        <v>454</v>
      </c>
      <c r="F5" s="683"/>
      <c r="G5" s="542" t="s">
        <v>236</v>
      </c>
      <c r="H5" s="172"/>
      <c r="I5" s="856">
        <f>AW56</f>
        <v>0</v>
      </c>
      <c r="J5" s="856"/>
      <c r="K5" s="173"/>
      <c r="L5" s="174"/>
      <c r="M5" s="163"/>
      <c r="N5" s="164"/>
      <c r="O5" s="158"/>
      <c r="P5" s="158"/>
      <c r="Q5" s="748" t="s">
        <v>487</v>
      </c>
      <c r="R5" s="163"/>
      <c r="S5" s="175"/>
      <c r="T5" s="786"/>
      <c r="U5" s="158"/>
      <c r="V5" s="708" t="s">
        <v>488</v>
      </c>
      <c r="W5" s="168"/>
      <c r="X5" s="177"/>
      <c r="Y5" s="178"/>
      <c r="Z5" s="179"/>
      <c r="AA5" s="177"/>
      <c r="AB5" s="180"/>
      <c r="AC5" s="180"/>
      <c r="AD5" s="181"/>
      <c r="AE5" s="157"/>
      <c r="AF5" s="182"/>
      <c r="AG5" s="182"/>
      <c r="AH5" s="182"/>
      <c r="AI5" s="181"/>
      <c r="AJ5" s="170"/>
      <c r="AK5" s="170"/>
      <c r="AL5" s="170"/>
      <c r="AM5" s="170"/>
      <c r="AN5" s="340"/>
      <c r="AO5" s="340"/>
      <c r="AP5" s="351"/>
      <c r="AQ5" s="351"/>
      <c r="AR5" s="340"/>
      <c r="AS5" s="340"/>
      <c r="AT5" s="340"/>
      <c r="AV5" s="181"/>
      <c r="AW5" s="181"/>
      <c r="AX5" s="181"/>
      <c r="AY5" s="181"/>
      <c r="BJ5" s="695"/>
      <c r="BK5" s="695"/>
      <c r="BL5" s="695"/>
      <c r="BM5" s="695"/>
    </row>
    <row r="6" spans="1:65" s="90" customFormat="1" ht="24" customHeight="1" thickBot="1">
      <c r="A6" s="90" t="s">
        <v>14</v>
      </c>
      <c r="B6" s="141" t="s">
        <v>7</v>
      </c>
      <c r="C6" s="631" t="s">
        <v>343</v>
      </c>
      <c r="D6" s="798" t="s">
        <v>561</v>
      </c>
      <c r="E6" s="772" t="s">
        <v>560</v>
      </c>
      <c r="F6" s="264" t="s">
        <v>170</v>
      </c>
      <c r="G6" s="142" t="s">
        <v>11</v>
      </c>
      <c r="H6" s="142" t="s">
        <v>15</v>
      </c>
      <c r="I6" s="142" t="s">
        <v>12</v>
      </c>
      <c r="J6" s="615" t="s">
        <v>399</v>
      </c>
      <c r="K6" s="857" t="s">
        <v>277</v>
      </c>
      <c r="L6" s="858"/>
      <c r="M6" s="382" t="s">
        <v>171</v>
      </c>
      <c r="N6" s="387" t="s">
        <v>674</v>
      </c>
      <c r="O6" s="395" t="s">
        <v>237</v>
      </c>
      <c r="P6" s="125" t="s">
        <v>146</v>
      </c>
      <c r="Q6" s="128" t="s">
        <v>276</v>
      </c>
      <c r="R6" s="391" t="s">
        <v>344</v>
      </c>
      <c r="S6" s="399" t="s">
        <v>345</v>
      </c>
      <c r="T6" s="395" t="s">
        <v>238</v>
      </c>
      <c r="U6" s="125" t="s">
        <v>146</v>
      </c>
      <c r="V6" s="128" t="s">
        <v>276</v>
      </c>
      <c r="W6" s="391" t="s">
        <v>344</v>
      </c>
      <c r="X6" s="399" t="s">
        <v>345</v>
      </c>
      <c r="Y6" s="395" t="s">
        <v>145</v>
      </c>
      <c r="Z6" s="125" t="s">
        <v>146</v>
      </c>
      <c r="AA6" s="128" t="s">
        <v>147</v>
      </c>
      <c r="AB6" s="391" t="s">
        <v>344</v>
      </c>
      <c r="AC6" s="378" t="s">
        <v>345</v>
      </c>
      <c r="AD6" s="379" t="s">
        <v>278</v>
      </c>
      <c r="AE6" s="380" t="s">
        <v>146</v>
      </c>
      <c r="AF6" s="379" t="s">
        <v>276</v>
      </c>
      <c r="AG6" s="378" t="s">
        <v>344</v>
      </c>
      <c r="AH6" s="378" t="s">
        <v>345</v>
      </c>
      <c r="AI6" s="379" t="s">
        <v>152</v>
      </c>
      <c r="AJ6" s="320" t="s">
        <v>146</v>
      </c>
      <c r="AK6" s="29" t="s">
        <v>148</v>
      </c>
      <c r="AL6" s="343" t="s">
        <v>344</v>
      </c>
      <c r="AM6" s="343" t="s">
        <v>345</v>
      </c>
      <c r="AN6" s="55"/>
      <c r="AO6" s="55"/>
      <c r="AP6" s="91"/>
      <c r="AQ6" s="265">
        <v>100</v>
      </c>
      <c r="AR6" s="140"/>
      <c r="AS6" s="266"/>
      <c r="AT6" s="266"/>
      <c r="AU6" s="91"/>
      <c r="AV6" s="853" t="s">
        <v>216</v>
      </c>
      <c r="AW6" s="854"/>
      <c r="AX6" s="146"/>
      <c r="AY6" s="146"/>
      <c r="BB6" s="237">
        <v>100</v>
      </c>
      <c r="BC6" s="237">
        <v>100</v>
      </c>
      <c r="BD6" s="237">
        <v>100</v>
      </c>
      <c r="BE6" s="237">
        <v>100</v>
      </c>
      <c r="BF6" s="184"/>
      <c r="BG6" s="90" t="s">
        <v>335</v>
      </c>
      <c r="BH6" s="90" t="s">
        <v>208</v>
      </c>
      <c r="BI6" s="90" t="s">
        <v>209</v>
      </c>
      <c r="BJ6" s="696"/>
      <c r="BK6" s="696"/>
      <c r="BL6" s="696"/>
      <c r="BM6" s="696"/>
    </row>
    <row r="7" spans="1:65" ht="14.25" thickBot="1">
      <c r="B7" s="17" t="str">
        <f>名簿!Q9</f>
        <v/>
      </c>
      <c r="C7" s="388"/>
      <c r="D7" s="799">
        <f>名簿!D9</f>
        <v>0</v>
      </c>
      <c r="E7" s="773">
        <f>名簿!E9</f>
        <v>0</v>
      </c>
      <c r="F7" s="25" t="str">
        <f>名簿!BN9</f>
        <v/>
      </c>
      <c r="G7" s="371" t="str">
        <f>名簿!Z9</f>
        <v/>
      </c>
      <c r="H7" s="199" t="str">
        <f t="shared" ref="H7:H56" si="0">F7</f>
        <v/>
      </c>
      <c r="I7" s="27" t="str">
        <f>名簿!O9</f>
        <v/>
      </c>
      <c r="J7" s="27">
        <f>名簿!I9</f>
        <v>0</v>
      </c>
      <c r="K7" s="680">
        <f>名簿!K9</f>
        <v>0</v>
      </c>
      <c r="L7" s="681" t="str">
        <f>名簿!BQ9</f>
        <v>00</v>
      </c>
      <c r="M7" s="53" t="str">
        <f>名簿!R9</f>
        <v/>
      </c>
      <c r="N7" s="388">
        <f>名簿!C9</f>
        <v>0</v>
      </c>
      <c r="O7" s="477"/>
      <c r="P7" s="201" t="str">
        <f>IF(O7="","",IF(I7=1,VLOOKUP(O7,男子種目コード!$A$1:$B$33,2,FALSE),IF(I7=2,VLOOKUP(O7,女子種目コード!$A$1:$B$28,2,FALSE))))</f>
        <v/>
      </c>
      <c r="Q7" s="396" t="str">
        <f>IF(O7="","",HLOOKUP(O7,名簿!$AB$8:$BG$58,2,FALSE))</f>
        <v/>
      </c>
      <c r="R7" s="392">
        <v>0</v>
      </c>
      <c r="S7" s="400">
        <v>2</v>
      </c>
      <c r="T7" s="202"/>
      <c r="U7" s="201" t="str">
        <f>IF(T7="","",IF(I7=1,VLOOKUP(T7,男子種目コード!$A$1:$B$33,2,FALSE),IF(I7=2,VLOOKUP(T7,女子種目コード!$A$1:$B$28,2,FALSE))))</f>
        <v/>
      </c>
      <c r="V7" s="396" t="str">
        <f>IF(T7="","",HLOOKUP(T7,名簿!$AB$8:$BG$58,2,FALSE))</f>
        <v/>
      </c>
      <c r="W7" s="392">
        <v>0</v>
      </c>
      <c r="X7" s="400">
        <v>2</v>
      </c>
      <c r="Y7" s="403"/>
      <c r="Z7" s="12" t="str">
        <f>IF(Y7="","",IF(I7=1,VLOOKUP(Y7,男子種目コード!$A$1:$B$29,2,FALSE),IF(I7=2,VLOOKUP(Y7,女子種目コード!$A$1:$B$30,2,FALSE))))</f>
        <v/>
      </c>
      <c r="AA7" s="139"/>
      <c r="AB7" s="392">
        <v>0</v>
      </c>
      <c r="AC7" s="372">
        <v>2</v>
      </c>
      <c r="AD7" s="375"/>
      <c r="AE7" s="12" t="str">
        <f>IF(AD7="","",IF(I7=1,VLOOKUP(AD7,男子種目コード!$A$78:$B$80,2,FALSE),IF(I7=2,VLOOKUP(AD7,女子種目コード!$A$78:$B$80,2,FALSE))))</f>
        <v/>
      </c>
      <c r="AF7" s="374"/>
      <c r="AG7" s="372">
        <v>0</v>
      </c>
      <c r="AH7" s="372">
        <v>2</v>
      </c>
      <c r="AI7" s="373"/>
      <c r="AJ7" s="376" t="str">
        <f>IF(AI7="","",IF(I7=1,VLOOKUP(AI7,男子種目コード!$A$1:$B$29,2,FALSE),IF(I7=2,VLOOKUP(AI7,女子種目コード!$A$1:$B$30,2,FALSE))))</f>
        <v/>
      </c>
      <c r="AK7" s="57"/>
      <c r="AL7" s="344">
        <v>0</v>
      </c>
      <c r="AM7" s="344">
        <v>2</v>
      </c>
      <c r="AN7" s="6"/>
      <c r="AO7" s="6"/>
      <c r="AP7" s="4"/>
      <c r="AQ7" s="237">
        <v>200</v>
      </c>
      <c r="AR7" s="87" t="str">
        <f t="shared" ref="AR7:AR56" si="1">IF(O7="","",1)</f>
        <v/>
      </c>
      <c r="AS7" s="240">
        <f t="shared" ref="AS7:AS38" si="2">IF(OR(AR7=1,T7=""),0,1)</f>
        <v>0</v>
      </c>
      <c r="AT7" s="240">
        <f t="shared" ref="AT7:AT38" si="3">IF(OR(AR7=1,AS7=1,AD7=""),0,1)</f>
        <v>0</v>
      </c>
      <c r="AU7" s="87" t="str">
        <f t="shared" ref="AU7:AU56" si="4">IF(T7="","",1)</f>
        <v/>
      </c>
      <c r="AV7" s="305" t="s">
        <v>208</v>
      </c>
      <c r="AW7" s="306"/>
      <c r="AX7" s="146"/>
      <c r="AY7" s="146"/>
      <c r="AZ7" s="240"/>
      <c r="BB7" s="237">
        <v>200</v>
      </c>
      <c r="BC7" s="237">
        <v>200</v>
      </c>
      <c r="BD7" s="237">
        <v>200</v>
      </c>
      <c r="BE7" s="237">
        <v>200</v>
      </c>
      <c r="BF7" s="146"/>
      <c r="BG7" s="4">
        <f>COUNT(AR7,AU7)</f>
        <v>0</v>
      </c>
      <c r="BH7" s="4" t="str">
        <f t="shared" ref="BH7:BH38" si="5">IF(I7=1,BG7,"")</f>
        <v/>
      </c>
      <c r="BI7" s="4" t="str">
        <f t="shared" ref="BI7:BI38" si="6">IF(I7=2,BG7,"")</f>
        <v/>
      </c>
      <c r="BJ7" s="694"/>
      <c r="BK7" s="694"/>
      <c r="BL7" s="694"/>
      <c r="BM7" s="694"/>
    </row>
    <row r="8" spans="1:65">
      <c r="B8" s="360" t="str">
        <f>名簿!Q10</f>
        <v/>
      </c>
      <c r="C8" s="389"/>
      <c r="D8" s="799">
        <f>名簿!D10</f>
        <v>0</v>
      </c>
      <c r="E8" s="19">
        <f>名簿!E10</f>
        <v>0</v>
      </c>
      <c r="F8" s="205" t="str">
        <f>名簿!BN10</f>
        <v/>
      </c>
      <c r="G8" s="105" t="str">
        <f>名簿!Z10</f>
        <v/>
      </c>
      <c r="H8" s="122" t="str">
        <f t="shared" si="0"/>
        <v/>
      </c>
      <c r="I8" s="361" t="str">
        <f>名簿!O10</f>
        <v/>
      </c>
      <c r="J8" s="361">
        <f>名簿!I10</f>
        <v>0</v>
      </c>
      <c r="K8" s="361">
        <f>名簿!K10</f>
        <v>0</v>
      </c>
      <c r="L8" s="385" t="str">
        <f>名簿!BQ10</f>
        <v>00</v>
      </c>
      <c r="M8" s="383" t="str">
        <f>名簿!R10</f>
        <v/>
      </c>
      <c r="N8" s="388">
        <f>名簿!C10</f>
        <v>0</v>
      </c>
      <c r="O8" s="202"/>
      <c r="P8" s="187" t="str">
        <f>IF(O8="","",IF(I8=1,VLOOKUP(O8,男子種目コード!$A$1:$B$33,2,FALSE),IF(I8=2,VLOOKUP(O8,女子種目コード!$A$1:$B$28,2,FALSE))))</f>
        <v/>
      </c>
      <c r="Q8" s="397" t="str">
        <f>IF(O8="","",HLOOKUP(O8,名簿!$AB$8:$BG$58,3,FALSE))</f>
        <v/>
      </c>
      <c r="R8" s="393">
        <v>0</v>
      </c>
      <c r="S8" s="401">
        <v>2</v>
      </c>
      <c r="T8" s="195"/>
      <c r="U8" s="187" t="str">
        <f>IF(T8="","",IF(I8=1,VLOOKUP(T8,男子種目コード!$A$1:$B$33,2,FALSE),IF(I8=2,VLOOKUP(T8,女子種目コード!$A$1:$B$28,2,FALSE))))</f>
        <v/>
      </c>
      <c r="V8" s="397" t="str">
        <f>IF(T8="","",HLOOKUP(T8,名簿!$AB$8:$BG$58,3,FALSE))</f>
        <v/>
      </c>
      <c r="W8" s="393">
        <v>0</v>
      </c>
      <c r="X8" s="401">
        <v>2</v>
      </c>
      <c r="Y8" s="404"/>
      <c r="Z8" s="7" t="str">
        <f>IF(Y8="","",IF(I8=1,VLOOKUP(Y8,男子種目コード!$A$1:$B$29,2,FALSE),IF(I8=2,VLOOKUP(Y8,女子種目コード!$A$1:$B$30,2,FALSE))))</f>
        <v/>
      </c>
      <c r="AA8" s="15"/>
      <c r="AB8" s="393">
        <v>0</v>
      </c>
      <c r="AC8" s="362">
        <v>2</v>
      </c>
      <c r="AD8" s="365"/>
      <c r="AE8" s="7" t="str">
        <f>IF(AD8="","",IF(I8=1,VLOOKUP(AD8,男子種目コード!$A$78:$B$80,2,FALSE),IF(I8=2,VLOOKUP(AD8,女子種目コード!$A$78:$B$80,2,FALSE))))</f>
        <v/>
      </c>
      <c r="AF8" s="364"/>
      <c r="AG8" s="362">
        <v>0</v>
      </c>
      <c r="AH8" s="362">
        <v>2</v>
      </c>
      <c r="AI8" s="363"/>
      <c r="AJ8" s="321" t="str">
        <f>IF(AI8="","",IF(I8=1,VLOOKUP(AI8,男子種目コード!$A$1:$B$29,2,FALSE),IF(I8=2,VLOOKUP(AI8,女子種目コード!$A$1:$B$30,2,FALSE))))</f>
        <v/>
      </c>
      <c r="AK8" s="58"/>
      <c r="AL8" s="345">
        <v>0</v>
      </c>
      <c r="AM8" s="345">
        <v>2</v>
      </c>
      <c r="AN8" s="6"/>
      <c r="AO8" s="6"/>
      <c r="AP8" s="4"/>
      <c r="AQ8" s="237">
        <v>400</v>
      </c>
      <c r="AR8" s="87" t="str">
        <f t="shared" si="1"/>
        <v/>
      </c>
      <c r="AS8" s="240">
        <f t="shared" si="2"/>
        <v>0</v>
      </c>
      <c r="AT8" s="240">
        <f t="shared" si="3"/>
        <v>0</v>
      </c>
      <c r="AU8" s="87" t="str">
        <f t="shared" si="4"/>
        <v/>
      </c>
      <c r="AV8" s="267">
        <v>100</v>
      </c>
      <c r="AW8" s="101">
        <f>COUNTIF($P$7:$P$56,1)+COUNTIF($U$7:$U$56,1)</f>
        <v>0</v>
      </c>
      <c r="AX8" s="146"/>
      <c r="AY8" s="146"/>
      <c r="AZ8" s="240"/>
      <c r="BA8" s="240"/>
      <c r="BB8" s="237">
        <v>400</v>
      </c>
      <c r="BC8" s="237">
        <v>400</v>
      </c>
      <c r="BD8" s="237">
        <v>400</v>
      </c>
      <c r="BE8" s="237">
        <v>400</v>
      </c>
      <c r="BF8" s="146"/>
      <c r="BG8" s="4">
        <f t="shared" ref="BG8:BG56" si="7">COUNT(AR8,AU8)</f>
        <v>0</v>
      </c>
      <c r="BH8" s="4" t="str">
        <f t="shared" si="5"/>
        <v/>
      </c>
      <c r="BI8" s="4" t="str">
        <f t="shared" si="6"/>
        <v/>
      </c>
      <c r="BJ8" s="694"/>
      <c r="BK8" s="694"/>
      <c r="BL8" s="694"/>
      <c r="BM8" s="694"/>
    </row>
    <row r="9" spans="1:65" ht="13.5" customHeight="1">
      <c r="B9" s="360" t="str">
        <f>名簿!Q11</f>
        <v/>
      </c>
      <c r="C9" s="389"/>
      <c r="D9" s="799" t="str">
        <f>名簿!D11</f>
        <v/>
      </c>
      <c r="E9" s="19">
        <f>名簿!E11</f>
        <v>0</v>
      </c>
      <c r="F9" s="205" t="str">
        <f>名簿!BN11</f>
        <v/>
      </c>
      <c r="G9" s="105" t="str">
        <f>名簿!Z11</f>
        <v/>
      </c>
      <c r="H9" s="122" t="str">
        <f t="shared" si="0"/>
        <v/>
      </c>
      <c r="I9" s="361" t="str">
        <f>名簿!O11</f>
        <v/>
      </c>
      <c r="J9" s="361">
        <f>名簿!I11</f>
        <v>0</v>
      </c>
      <c r="K9" s="361">
        <f>名簿!K11</f>
        <v>0</v>
      </c>
      <c r="L9" s="385" t="str">
        <f>名簿!BQ11</f>
        <v>00</v>
      </c>
      <c r="M9" s="383" t="str">
        <f>名簿!R11</f>
        <v/>
      </c>
      <c r="N9" s="388">
        <f>名簿!C11</f>
        <v>0</v>
      </c>
      <c r="O9" s="202"/>
      <c r="P9" s="187" t="str">
        <f>IF(O9="","",IF(I9=1,VLOOKUP(O9,男子種目コード!$A$1:$B$33,2,FALSE),IF(I9=2,VLOOKUP(O9,女子種目コード!$A$1:$B$28,2,FALSE))))</f>
        <v/>
      </c>
      <c r="Q9" s="397" t="str">
        <f>IF(O9="","",HLOOKUP(O9,名簿!$AB$8:$BG$58,4,FALSE))</f>
        <v/>
      </c>
      <c r="R9" s="393">
        <v>0</v>
      </c>
      <c r="S9" s="401">
        <v>2</v>
      </c>
      <c r="T9" s="195"/>
      <c r="U9" s="187" t="str">
        <f>IF(T9="","",IF(I9=1,VLOOKUP(T9,男子種目コード!$A$1:$B$33,2,FALSE),IF(I9=2,VLOOKUP(T9,女子種目コード!$A$1:$B$28,2,FALSE))))</f>
        <v/>
      </c>
      <c r="V9" s="397" t="str">
        <f>IF(T9="","",HLOOKUP(T9,名簿!$AB$8:$BG$58,4,FALSE))</f>
        <v/>
      </c>
      <c r="W9" s="393">
        <v>0</v>
      </c>
      <c r="X9" s="401">
        <v>2</v>
      </c>
      <c r="Y9" s="404"/>
      <c r="Z9" s="7" t="str">
        <f>IF(Y9="","",IF(I9=1,VLOOKUP(Y9,男子種目コード!$A$1:$B$29,2,FALSE),IF(I9=2,VLOOKUP(Y9,女子種目コード!$A$1:$B$30,2,FALSE))))</f>
        <v/>
      </c>
      <c r="AA9" s="15"/>
      <c r="AB9" s="393">
        <v>0</v>
      </c>
      <c r="AC9" s="362">
        <v>2</v>
      </c>
      <c r="AD9" s="365"/>
      <c r="AE9" s="7" t="str">
        <f>IF(AD9="","",IF(I9=1,VLOOKUP(AD9,男子種目コード!$A$78:$B$80,2,FALSE),IF(I9=2,VLOOKUP(AD9,女子種目コード!$A$78:$B$80,2,FALSE))))</f>
        <v/>
      </c>
      <c r="AF9" s="364"/>
      <c r="AG9" s="362">
        <v>0</v>
      </c>
      <c r="AH9" s="362">
        <v>2</v>
      </c>
      <c r="AI9" s="363"/>
      <c r="AJ9" s="321" t="str">
        <f>IF(AI9="","",IF(I9=1,VLOOKUP(AI9,男子種目コード!$A$1:$B$29,2,FALSE),IF(I9=2,VLOOKUP(AI9,女子種目コード!$A$1:$B$30,2,FALSE))))</f>
        <v/>
      </c>
      <c r="AK9" s="58"/>
      <c r="AL9" s="345">
        <v>0</v>
      </c>
      <c r="AM9" s="345">
        <v>2</v>
      </c>
      <c r="AN9" s="6"/>
      <c r="AO9" s="6"/>
      <c r="AP9" s="4"/>
      <c r="AQ9" s="237">
        <v>800</v>
      </c>
      <c r="AR9" s="87" t="str">
        <f t="shared" si="1"/>
        <v/>
      </c>
      <c r="AS9" s="240">
        <f t="shared" si="2"/>
        <v>0</v>
      </c>
      <c r="AT9" s="240">
        <f t="shared" si="3"/>
        <v>0</v>
      </c>
      <c r="AU9" s="87" t="str">
        <f t="shared" si="4"/>
        <v/>
      </c>
      <c r="AV9" s="268">
        <v>200</v>
      </c>
      <c r="AW9" s="102">
        <f>COUNTIF($P$7:$P$56,2)+COUNTIF($U$7:$U$56,2)</f>
        <v>0</v>
      </c>
      <c r="AX9" s="146"/>
      <c r="AY9" s="146"/>
      <c r="AZ9" s="240"/>
      <c r="BB9" s="237">
        <v>800</v>
      </c>
      <c r="BC9" s="237">
        <v>800</v>
      </c>
      <c r="BD9" s="237">
        <v>800</v>
      </c>
      <c r="BE9" s="237">
        <v>800</v>
      </c>
      <c r="BF9" s="146"/>
      <c r="BG9" s="4">
        <f t="shared" si="7"/>
        <v>0</v>
      </c>
      <c r="BH9" s="4" t="str">
        <f t="shared" si="5"/>
        <v/>
      </c>
      <c r="BI9" s="4" t="str">
        <f t="shared" si="6"/>
        <v/>
      </c>
      <c r="BJ9" s="694"/>
      <c r="BK9" s="694"/>
      <c r="BL9" s="694"/>
      <c r="BM9" s="694"/>
    </row>
    <row r="10" spans="1:65">
      <c r="B10" s="360" t="str">
        <f>名簿!Q12</f>
        <v/>
      </c>
      <c r="C10" s="389"/>
      <c r="D10" s="799" t="str">
        <f>名簿!D12</f>
        <v/>
      </c>
      <c r="E10" s="19">
        <f>名簿!E12</f>
        <v>0</v>
      </c>
      <c r="F10" s="205" t="str">
        <f>名簿!BN12</f>
        <v/>
      </c>
      <c r="G10" s="105" t="str">
        <f>名簿!Z12</f>
        <v/>
      </c>
      <c r="H10" s="122" t="str">
        <f t="shared" si="0"/>
        <v/>
      </c>
      <c r="I10" s="361" t="str">
        <f>名簿!O12</f>
        <v/>
      </c>
      <c r="J10" s="361">
        <f>名簿!I12</f>
        <v>0</v>
      </c>
      <c r="K10" s="361">
        <f>名簿!K12</f>
        <v>0</v>
      </c>
      <c r="L10" s="385" t="str">
        <f>名簿!BQ12</f>
        <v>00</v>
      </c>
      <c r="M10" s="383" t="str">
        <f>名簿!R12</f>
        <v/>
      </c>
      <c r="N10" s="388">
        <f>名簿!C12</f>
        <v>0</v>
      </c>
      <c r="O10" s="202"/>
      <c r="P10" s="187" t="str">
        <f>IF(O10="","",IF(I10=1,VLOOKUP(O10,男子種目コード!$A$1:$B$33,2,FALSE),IF(I10=2,VLOOKUP(O10,女子種目コード!$A$1:$B$28,2,FALSE))))</f>
        <v/>
      </c>
      <c r="Q10" s="397" t="str">
        <f>IF(O10="","",HLOOKUP(O10,名簿!$AB$8:$BG$58,5,FALSE))</f>
        <v/>
      </c>
      <c r="R10" s="393">
        <v>0</v>
      </c>
      <c r="S10" s="401">
        <v>2</v>
      </c>
      <c r="T10" s="195"/>
      <c r="U10" s="187" t="str">
        <f>IF(T10="","",IF(I10=1,VLOOKUP(T10,男子種目コード!$A$1:$B$33,2,FALSE),IF(I10=2,VLOOKUP(T10,女子種目コード!$A$1:$B$28,2,FALSE))))</f>
        <v/>
      </c>
      <c r="V10" s="397" t="str">
        <f>IF(T10="","",HLOOKUP(T10,名簿!$AB$8:$BG$58,5,FALSE))</f>
        <v/>
      </c>
      <c r="W10" s="393">
        <v>0</v>
      </c>
      <c r="X10" s="401">
        <v>2</v>
      </c>
      <c r="Y10" s="404"/>
      <c r="Z10" s="7" t="str">
        <f>IF(Y10="","",IF(I10=1,VLOOKUP(Y10,男子種目コード!$A$1:$B$29,2,FALSE),IF(I10=2,VLOOKUP(Y10,女子種目コード!$A$1:$B$30,2,FALSE))))</f>
        <v/>
      </c>
      <c r="AA10" s="15"/>
      <c r="AB10" s="393">
        <v>0</v>
      </c>
      <c r="AC10" s="362">
        <v>2</v>
      </c>
      <c r="AD10" s="365"/>
      <c r="AE10" s="7" t="str">
        <f>IF(AD10="","",IF(I10=1,VLOOKUP(AD10,男子種目コード!$A$78:$B$80,2,FALSE),IF(I10=2,VLOOKUP(AD10,女子種目コード!$A$78:$B$80,2,FALSE))))</f>
        <v/>
      </c>
      <c r="AF10" s="364"/>
      <c r="AG10" s="362">
        <v>0</v>
      </c>
      <c r="AH10" s="362">
        <v>2</v>
      </c>
      <c r="AI10" s="363"/>
      <c r="AJ10" s="321" t="str">
        <f>IF(AI10="","",IF(I10=1,VLOOKUP(AI10,男子種目コード!$A$1:$B$29,2,FALSE),IF(I10=2,VLOOKUP(AI10,女子種目コード!$A$1:$B$30,2,FALSE))))</f>
        <v/>
      </c>
      <c r="AK10" s="58"/>
      <c r="AL10" s="345">
        <v>0</v>
      </c>
      <c r="AM10" s="345">
        <v>2</v>
      </c>
      <c r="AN10" s="6"/>
      <c r="AO10" s="6"/>
      <c r="AP10" s="4"/>
      <c r="AQ10" s="237">
        <v>1500</v>
      </c>
      <c r="AR10" s="87" t="str">
        <f t="shared" si="1"/>
        <v/>
      </c>
      <c r="AS10" s="240">
        <f t="shared" si="2"/>
        <v>0</v>
      </c>
      <c r="AT10" s="240">
        <f t="shared" si="3"/>
        <v>0</v>
      </c>
      <c r="AU10" s="87" t="str">
        <f t="shared" si="4"/>
        <v/>
      </c>
      <c r="AV10" s="268">
        <v>400</v>
      </c>
      <c r="AW10" s="102">
        <f>COUNTIF($P$7:$P$56,3)+COUNTIF($U$7:$U$56,3)</f>
        <v>0</v>
      </c>
      <c r="AX10" s="146"/>
      <c r="AY10" s="146"/>
      <c r="AZ10" s="240"/>
      <c r="BB10" s="237">
        <v>1500</v>
      </c>
      <c r="BC10" s="237">
        <v>1500</v>
      </c>
      <c r="BD10" s="237">
        <v>1500</v>
      </c>
      <c r="BE10" s="237">
        <v>1500</v>
      </c>
      <c r="BF10" s="146"/>
      <c r="BG10" s="4">
        <f t="shared" si="7"/>
        <v>0</v>
      </c>
      <c r="BH10" s="4" t="str">
        <f t="shared" si="5"/>
        <v/>
      </c>
      <c r="BI10" s="4" t="str">
        <f t="shared" si="6"/>
        <v/>
      </c>
      <c r="BJ10" s="694"/>
      <c r="BK10" s="694"/>
      <c r="BL10" s="694"/>
      <c r="BM10" s="694"/>
    </row>
    <row r="11" spans="1:65">
      <c r="B11" s="360" t="str">
        <f>名簿!Q13</f>
        <v/>
      </c>
      <c r="C11" s="389"/>
      <c r="D11" s="799" t="str">
        <f>名簿!D13</f>
        <v/>
      </c>
      <c r="E11" s="19">
        <f>名簿!E13</f>
        <v>0</v>
      </c>
      <c r="F11" s="205" t="str">
        <f>名簿!BN13</f>
        <v/>
      </c>
      <c r="G11" s="105" t="str">
        <f>名簿!Z13</f>
        <v/>
      </c>
      <c r="H11" s="122" t="str">
        <f t="shared" si="0"/>
        <v/>
      </c>
      <c r="I11" s="361" t="str">
        <f>名簿!O13</f>
        <v/>
      </c>
      <c r="J11" s="361">
        <f>名簿!I13</f>
        <v>0</v>
      </c>
      <c r="K11" s="361">
        <f>名簿!K13</f>
        <v>0</v>
      </c>
      <c r="L11" s="385" t="str">
        <f>名簿!BQ13</f>
        <v>00</v>
      </c>
      <c r="M11" s="383" t="str">
        <f>名簿!R13</f>
        <v/>
      </c>
      <c r="N11" s="388">
        <f>名簿!C13</f>
        <v>0</v>
      </c>
      <c r="O11" s="202"/>
      <c r="P11" s="187" t="str">
        <f>IF(O11="","",IF(I11=1,VLOOKUP(O11,男子種目コード!$A$1:$B$33,2,FALSE),IF(I11=2,VLOOKUP(O11,女子種目コード!$A$1:$B$28,2,FALSE))))</f>
        <v/>
      </c>
      <c r="Q11" s="397" t="str">
        <f>IF(O11="","",HLOOKUP(O11,名簿!$AB$8:$BG$58,6,FALSE))</f>
        <v/>
      </c>
      <c r="R11" s="393">
        <v>0</v>
      </c>
      <c r="S11" s="401">
        <v>2</v>
      </c>
      <c r="T11" s="195"/>
      <c r="U11" s="187" t="str">
        <f>IF(T11="","",IF(I11=1,VLOOKUP(T11,男子種目コード!$A$1:$B$33,2,FALSE),IF(I11=2,VLOOKUP(T11,女子種目コード!$A$1:$B$28,2,FALSE))))</f>
        <v/>
      </c>
      <c r="V11" s="397" t="str">
        <f>IF(T11="","",HLOOKUP(T11,名簿!$AB$8:$BG$58,6,FALSE))</f>
        <v/>
      </c>
      <c r="W11" s="393">
        <v>0</v>
      </c>
      <c r="X11" s="401">
        <v>2</v>
      </c>
      <c r="Y11" s="404"/>
      <c r="Z11" s="7" t="str">
        <f>IF(Y11="","",IF(I11=1,VLOOKUP(Y11,男子種目コード!$A$1:$B$29,2,FALSE),IF(I11=2,VLOOKUP(Y11,女子種目コード!$A$1:$B$30,2,FALSE))))</f>
        <v/>
      </c>
      <c r="AA11" s="15"/>
      <c r="AB11" s="393">
        <v>0</v>
      </c>
      <c r="AC11" s="362">
        <v>2</v>
      </c>
      <c r="AD11" s="365"/>
      <c r="AE11" s="7" t="str">
        <f>IF(AD11="","",IF(I11=1,VLOOKUP(AD11,男子種目コード!$A$78:$B$80,2,FALSE),IF(I11=2,VLOOKUP(AD11,女子種目コード!$A$78:$B$80,2,FALSE))))</f>
        <v/>
      </c>
      <c r="AF11" s="364"/>
      <c r="AG11" s="362">
        <v>0</v>
      </c>
      <c r="AH11" s="362">
        <v>2</v>
      </c>
      <c r="AI11" s="363"/>
      <c r="AJ11" s="321" t="str">
        <f>IF(AI11="","",IF(I11=1,VLOOKUP(AI11,男子種目コード!$A$1:$B$29,2,FALSE),IF(I11=2,VLOOKUP(AI11,女子種目コード!$A$1:$B$30,2,FALSE))))</f>
        <v/>
      </c>
      <c r="AK11" s="58"/>
      <c r="AL11" s="345">
        <v>0</v>
      </c>
      <c r="AM11" s="345">
        <v>2</v>
      </c>
      <c r="AN11" s="6"/>
      <c r="AO11" s="6"/>
      <c r="AP11" s="4"/>
      <c r="AQ11" s="237">
        <v>5000</v>
      </c>
      <c r="AR11" s="87" t="str">
        <f t="shared" si="1"/>
        <v/>
      </c>
      <c r="AS11" s="240">
        <f t="shared" si="2"/>
        <v>0</v>
      </c>
      <c r="AT11" s="240">
        <f t="shared" si="3"/>
        <v>0</v>
      </c>
      <c r="AU11" s="87" t="str">
        <f t="shared" si="4"/>
        <v/>
      </c>
      <c r="AV11" s="268">
        <v>800</v>
      </c>
      <c r="AW11" s="102">
        <f>COUNTIF($P$7:$P$56,4)+COUNTIF($U$7:$U$56,4)</f>
        <v>0</v>
      </c>
      <c r="AX11" s="181"/>
      <c r="AY11" s="181"/>
      <c r="BB11" s="238" t="s">
        <v>180</v>
      </c>
      <c r="BC11" s="238" t="s">
        <v>180</v>
      </c>
      <c r="BD11" s="238" t="s">
        <v>180</v>
      </c>
      <c r="BE11" s="238" t="s">
        <v>180</v>
      </c>
      <c r="BF11" s="146"/>
      <c r="BG11" s="4">
        <f t="shared" si="7"/>
        <v>0</v>
      </c>
      <c r="BH11" s="4" t="str">
        <f t="shared" si="5"/>
        <v/>
      </c>
      <c r="BI11" s="4" t="str">
        <f t="shared" si="6"/>
        <v/>
      </c>
      <c r="BJ11" s="694"/>
      <c r="BK11" s="694"/>
      <c r="BL11" s="694"/>
      <c r="BM11" s="694"/>
    </row>
    <row r="12" spans="1:65">
      <c r="B12" s="360" t="str">
        <f>名簿!Q14</f>
        <v/>
      </c>
      <c r="C12" s="389"/>
      <c r="D12" s="799" t="str">
        <f>名簿!D14</f>
        <v/>
      </c>
      <c r="E12" s="19">
        <f>名簿!E14</f>
        <v>0</v>
      </c>
      <c r="F12" s="205" t="str">
        <f>名簿!BN14</f>
        <v/>
      </c>
      <c r="G12" s="105" t="str">
        <f>名簿!Z14</f>
        <v/>
      </c>
      <c r="H12" s="122" t="str">
        <f t="shared" si="0"/>
        <v/>
      </c>
      <c r="I12" s="361" t="str">
        <f>名簿!O14</f>
        <v/>
      </c>
      <c r="J12" s="361">
        <f>名簿!I14</f>
        <v>0</v>
      </c>
      <c r="K12" s="361">
        <f>名簿!K14</f>
        <v>0</v>
      </c>
      <c r="L12" s="385" t="str">
        <f>名簿!BQ14</f>
        <v>00</v>
      </c>
      <c r="M12" s="383" t="str">
        <f>名簿!R14</f>
        <v/>
      </c>
      <c r="N12" s="388">
        <f>名簿!C14</f>
        <v>0</v>
      </c>
      <c r="O12" s="202"/>
      <c r="P12" s="187" t="str">
        <f>IF(O12="","",IF(I12=1,VLOOKUP(O12,男子種目コード!$A$1:$B$33,2,FALSE),IF(I12=2,VLOOKUP(O12,女子種目コード!$A$1:$B$28,2,FALSE))))</f>
        <v/>
      </c>
      <c r="Q12" s="397" t="str">
        <f>IF(O12="","",HLOOKUP(O12,名簿!$AB$8:$BG$58,7,FALSE))</f>
        <v/>
      </c>
      <c r="R12" s="393">
        <v>0</v>
      </c>
      <c r="S12" s="401">
        <v>2</v>
      </c>
      <c r="T12" s="195"/>
      <c r="U12" s="187" t="str">
        <f>IF(T12="","",IF(I12=1,VLOOKUP(T12,男子種目コード!$A$1:$B$33,2,FALSE),IF(I12=2,VLOOKUP(T12,女子種目コード!$A$1:$B$28,2,FALSE))))</f>
        <v/>
      </c>
      <c r="V12" s="397" t="str">
        <f>IF(T12="","",HLOOKUP(T12,名簿!$AB$8:$BG$58,7,FALSE))</f>
        <v/>
      </c>
      <c r="W12" s="393">
        <v>0</v>
      </c>
      <c r="X12" s="401">
        <v>2</v>
      </c>
      <c r="Y12" s="404"/>
      <c r="Z12" s="7" t="str">
        <f>IF(Y12="","",IF(I12=1,VLOOKUP(Y12,男子種目コード!$A$1:$B$29,2,FALSE),IF(I12=2,VLOOKUP(Y12,女子種目コード!$A$1:$B$30,2,FALSE))))</f>
        <v/>
      </c>
      <c r="AA12" s="15"/>
      <c r="AB12" s="393">
        <v>0</v>
      </c>
      <c r="AC12" s="362">
        <v>2</v>
      </c>
      <c r="AD12" s="365"/>
      <c r="AE12" s="7" t="str">
        <f>IF(AD12="","",IF(I12=1,VLOOKUP(AD12,男子種目コード!$A$78:$B$80,2,FALSE),IF(I12=2,VLOOKUP(AD12,女子種目コード!$A$78:$B$80,2,FALSE))))</f>
        <v/>
      </c>
      <c r="AF12" s="364"/>
      <c r="AG12" s="362">
        <v>0</v>
      </c>
      <c r="AH12" s="362">
        <v>2</v>
      </c>
      <c r="AI12" s="363"/>
      <c r="AJ12" s="321" t="str">
        <f>IF(AI12="","",IF(I12=1,VLOOKUP(AI12,男子種目コード!$A$1:$B$29,2,FALSE),IF(I12=2,VLOOKUP(AI12,女子種目コード!$A$1:$B$30,2,FALSE))))</f>
        <v/>
      </c>
      <c r="AK12" s="58"/>
      <c r="AL12" s="345">
        <v>0</v>
      </c>
      <c r="AM12" s="345">
        <v>2</v>
      </c>
      <c r="AN12" s="6"/>
      <c r="AO12" s="6"/>
      <c r="AP12" s="4"/>
      <c r="AQ12" s="237">
        <v>10000</v>
      </c>
      <c r="AR12" s="87" t="str">
        <f t="shared" si="1"/>
        <v/>
      </c>
      <c r="AS12" s="240">
        <f t="shared" si="2"/>
        <v>0</v>
      </c>
      <c r="AT12" s="240">
        <f t="shared" si="3"/>
        <v>0</v>
      </c>
      <c r="AU12" s="87" t="str">
        <f t="shared" si="4"/>
        <v/>
      </c>
      <c r="AV12" s="268">
        <v>1500</v>
      </c>
      <c r="AW12" s="102">
        <f>COUNTIF($P$7:$P$56,5)+COUNTIF($U$7:$U$56,5)</f>
        <v>0</v>
      </c>
      <c r="AX12" s="181"/>
      <c r="AY12" s="181"/>
      <c r="BB12" s="237">
        <v>5000</v>
      </c>
      <c r="BC12" s="237">
        <v>5000</v>
      </c>
      <c r="BD12" s="237">
        <v>5000</v>
      </c>
      <c r="BE12" s="237">
        <v>5000</v>
      </c>
      <c r="BF12" s="146"/>
      <c r="BG12" s="4">
        <f t="shared" si="7"/>
        <v>0</v>
      </c>
      <c r="BH12" s="4" t="str">
        <f t="shared" si="5"/>
        <v/>
      </c>
      <c r="BI12" s="4" t="str">
        <f t="shared" si="6"/>
        <v/>
      </c>
      <c r="BJ12" s="694"/>
      <c r="BK12" s="694"/>
      <c r="BL12" s="694"/>
      <c r="BM12" s="694"/>
    </row>
    <row r="13" spans="1:65">
      <c r="B13" s="360" t="str">
        <f>名簿!Q15</f>
        <v/>
      </c>
      <c r="C13" s="389"/>
      <c r="D13" s="799" t="str">
        <f>名簿!D15</f>
        <v/>
      </c>
      <c r="E13" s="19">
        <f>名簿!E15</f>
        <v>0</v>
      </c>
      <c r="F13" s="205" t="str">
        <f>名簿!BN15</f>
        <v/>
      </c>
      <c r="G13" s="105" t="str">
        <f>名簿!Z15</f>
        <v/>
      </c>
      <c r="H13" s="122" t="str">
        <f t="shared" si="0"/>
        <v/>
      </c>
      <c r="I13" s="361" t="str">
        <f>名簿!O15</f>
        <v/>
      </c>
      <c r="J13" s="361">
        <f>名簿!I15</f>
        <v>0</v>
      </c>
      <c r="K13" s="361">
        <f>名簿!K15</f>
        <v>0</v>
      </c>
      <c r="L13" s="385" t="str">
        <f>名簿!BQ15</f>
        <v>00</v>
      </c>
      <c r="M13" s="383" t="str">
        <f>名簿!R15</f>
        <v/>
      </c>
      <c r="N13" s="388">
        <f>名簿!C15</f>
        <v>0</v>
      </c>
      <c r="O13" s="202"/>
      <c r="P13" s="187" t="str">
        <f>IF(O13="","",IF(I13=1,VLOOKUP(O13,男子種目コード!$A$1:$B$33,2,FALSE),IF(I13=2,VLOOKUP(O13,女子種目コード!$A$1:$B$28,2,FALSE))))</f>
        <v/>
      </c>
      <c r="Q13" s="397" t="str">
        <f>IF(O13="","",HLOOKUP(O13,名簿!$AB$8:$BG$58,8,FALSE))</f>
        <v/>
      </c>
      <c r="R13" s="393">
        <v>0</v>
      </c>
      <c r="S13" s="401">
        <v>2</v>
      </c>
      <c r="T13" s="195"/>
      <c r="U13" s="187" t="str">
        <f>IF(T13="","",IF(I13=1,VLOOKUP(T13,男子種目コード!$A$1:$B$33,2,FALSE),IF(I13=2,VLOOKUP(T13,女子種目コード!$A$1:$B$28,2,FALSE))))</f>
        <v/>
      </c>
      <c r="V13" s="397" t="str">
        <f>IF(T13="","",HLOOKUP(T13,名簿!$AB$8:$BG$58,8,FALSE))</f>
        <v/>
      </c>
      <c r="W13" s="393">
        <v>0</v>
      </c>
      <c r="X13" s="401">
        <v>2</v>
      </c>
      <c r="Y13" s="404"/>
      <c r="Z13" s="7" t="str">
        <f>IF(Y13="","",IF(I13=1,VLOOKUP(Y13,男子種目コード!$A$1:$B$29,2,FALSE),IF(I13=2,VLOOKUP(Y13,女子種目コード!$A$1:$B$30,2,FALSE))))</f>
        <v/>
      </c>
      <c r="AA13" s="15"/>
      <c r="AB13" s="393">
        <v>0</v>
      </c>
      <c r="AC13" s="362">
        <v>2</v>
      </c>
      <c r="AD13" s="365"/>
      <c r="AE13" s="7" t="str">
        <f>IF(AD13="","",IF(I13=1,VLOOKUP(AD13,男子種目コード!$A$78:$B$80,2,FALSE),IF(I13=2,VLOOKUP(AD13,女子種目コード!$A$78:$B$80,2,FALSE))))</f>
        <v/>
      </c>
      <c r="AF13" s="364"/>
      <c r="AG13" s="362">
        <v>0</v>
      </c>
      <c r="AH13" s="362">
        <v>2</v>
      </c>
      <c r="AI13" s="363"/>
      <c r="AJ13" s="321" t="str">
        <f>IF(AI13="","",IF(I13=1,VLOOKUP(AI13,男子種目コード!$A$1:$B$29,2,FALSE),IF(I13=2,VLOOKUP(AI13,女子種目コード!$A$1:$B$30,2,FALSE))))</f>
        <v/>
      </c>
      <c r="AK13" s="58"/>
      <c r="AL13" s="345">
        <v>0</v>
      </c>
      <c r="AM13" s="345">
        <v>2</v>
      </c>
      <c r="AN13" s="6"/>
      <c r="AO13" s="6"/>
      <c r="AP13" s="4"/>
      <c r="AQ13" s="237" t="s">
        <v>279</v>
      </c>
      <c r="AR13" s="87" t="str">
        <f t="shared" si="1"/>
        <v/>
      </c>
      <c r="AS13" s="240">
        <f t="shared" si="2"/>
        <v>0</v>
      </c>
      <c r="AT13" s="240">
        <f t="shared" si="3"/>
        <v>0</v>
      </c>
      <c r="AU13" s="87" t="str">
        <f t="shared" si="4"/>
        <v/>
      </c>
      <c r="AV13" s="269" t="s">
        <v>269</v>
      </c>
      <c r="AW13" s="102">
        <f>COUNTIF($P$7:$P$56,24)+COUNTIF($U$7:$U$56,24)</f>
        <v>0</v>
      </c>
      <c r="AX13" s="146"/>
      <c r="AY13" s="146"/>
      <c r="BB13" s="237">
        <v>10000</v>
      </c>
      <c r="BC13" s="237">
        <v>10000</v>
      </c>
      <c r="BD13" s="237">
        <v>10000</v>
      </c>
      <c r="BE13" s="237">
        <v>10000</v>
      </c>
      <c r="BF13" s="146"/>
      <c r="BG13" s="4">
        <f t="shared" si="7"/>
        <v>0</v>
      </c>
      <c r="BH13" s="4" t="str">
        <f t="shared" si="5"/>
        <v/>
      </c>
      <c r="BI13" s="4" t="str">
        <f t="shared" si="6"/>
        <v/>
      </c>
      <c r="BJ13" s="694"/>
      <c r="BK13" s="694"/>
      <c r="BL13" s="694"/>
      <c r="BM13" s="694"/>
    </row>
    <row r="14" spans="1:65">
      <c r="B14" s="360" t="str">
        <f>名簿!Q16</f>
        <v/>
      </c>
      <c r="C14" s="389"/>
      <c r="D14" s="799" t="str">
        <f>名簿!D16</f>
        <v/>
      </c>
      <c r="E14" s="19">
        <f>名簿!E16</f>
        <v>0</v>
      </c>
      <c r="F14" s="205" t="str">
        <f>名簿!BN16</f>
        <v/>
      </c>
      <c r="G14" s="105" t="str">
        <f>名簿!Z16</f>
        <v/>
      </c>
      <c r="H14" s="122" t="str">
        <f t="shared" si="0"/>
        <v/>
      </c>
      <c r="I14" s="361" t="str">
        <f>名簿!O16</f>
        <v/>
      </c>
      <c r="J14" s="361">
        <f>名簿!I16</f>
        <v>0</v>
      </c>
      <c r="K14" s="361">
        <f>名簿!K16</f>
        <v>0</v>
      </c>
      <c r="L14" s="385" t="str">
        <f>名簿!BQ16</f>
        <v>00</v>
      </c>
      <c r="M14" s="383" t="str">
        <f>名簿!R16</f>
        <v/>
      </c>
      <c r="N14" s="388">
        <f>名簿!C16</f>
        <v>0</v>
      </c>
      <c r="O14" s="202"/>
      <c r="P14" s="187" t="str">
        <f>IF(O14="","",IF(I14=1,VLOOKUP(O14,男子種目コード!$A$1:$B$33,2,FALSE),IF(I14=2,VLOOKUP(O14,女子種目コード!$A$1:$B$28,2,FALSE))))</f>
        <v/>
      </c>
      <c r="Q14" s="397" t="str">
        <f>IF(O14="","",HLOOKUP(O14,名簿!$AB$8:$BG$58,9,FALSE))</f>
        <v/>
      </c>
      <c r="R14" s="393">
        <v>0</v>
      </c>
      <c r="S14" s="401">
        <v>2</v>
      </c>
      <c r="T14" s="195"/>
      <c r="U14" s="187" t="str">
        <f>IF(T14="","",IF(I14=1,VLOOKUP(T14,男子種目コード!$A$1:$B$33,2,FALSE),IF(I14=2,VLOOKUP(T14,女子種目コード!$A$1:$B$28,2,FALSE))))</f>
        <v/>
      </c>
      <c r="V14" s="397" t="str">
        <f>IF(T14="","",HLOOKUP(T14,名簿!$AB$8:$BG$58,9,FALSE))</f>
        <v/>
      </c>
      <c r="W14" s="393">
        <v>0</v>
      </c>
      <c r="X14" s="401">
        <v>2</v>
      </c>
      <c r="Y14" s="404"/>
      <c r="Z14" s="7" t="str">
        <f>IF(Y14="","",IF(I14=1,VLOOKUP(Y14,男子種目コード!$A$1:$B$29,2,FALSE),IF(I14=2,VLOOKUP(Y14,女子種目コード!$A$1:$B$30,2,FALSE))))</f>
        <v/>
      </c>
      <c r="AA14" s="15"/>
      <c r="AB14" s="393">
        <v>0</v>
      </c>
      <c r="AC14" s="362">
        <v>2</v>
      </c>
      <c r="AD14" s="365"/>
      <c r="AE14" s="7" t="str">
        <f>IF(AD14="","",IF(I14=1,VLOOKUP(AD14,男子種目コード!$A$78:$B$80,2,FALSE),IF(I14=2,VLOOKUP(AD14,女子種目コード!$A$78:$B$80,2,FALSE))))</f>
        <v/>
      </c>
      <c r="AF14" s="364"/>
      <c r="AG14" s="362">
        <v>0</v>
      </c>
      <c r="AH14" s="362">
        <v>2</v>
      </c>
      <c r="AI14" s="363"/>
      <c r="AJ14" s="321" t="str">
        <f>IF(AI14="","",IF(I14=1,VLOOKUP(AI14,男子種目コード!$A$1:$B$29,2,FALSE),IF(I14=2,VLOOKUP(AI14,女子種目コード!$A$1:$B$30,2,FALSE))))</f>
        <v/>
      </c>
      <c r="AK14" s="58"/>
      <c r="AL14" s="345">
        <v>0</v>
      </c>
      <c r="AM14" s="345">
        <v>2</v>
      </c>
      <c r="AN14" s="6"/>
      <c r="AO14" s="6"/>
      <c r="AP14" s="4"/>
      <c r="AQ14" s="238" t="s">
        <v>280</v>
      </c>
      <c r="AR14" s="87" t="str">
        <f t="shared" si="1"/>
        <v/>
      </c>
      <c r="AS14" s="240">
        <f t="shared" si="2"/>
        <v>0</v>
      </c>
      <c r="AT14" s="240">
        <f t="shared" si="3"/>
        <v>0</v>
      </c>
      <c r="AU14" s="87" t="str">
        <f t="shared" si="4"/>
        <v/>
      </c>
      <c r="AV14" s="268">
        <v>5000</v>
      </c>
      <c r="AW14" s="102">
        <f>COUNTIF($P$7:$P$56,6)+COUNTIF($U$7:$U$56,6)</f>
        <v>0</v>
      </c>
      <c r="AX14" s="146"/>
      <c r="AY14" s="146"/>
      <c r="AZ14" s="240"/>
      <c r="BA14" s="240"/>
      <c r="BB14" s="238" t="s">
        <v>280</v>
      </c>
      <c r="BC14" s="237" t="s">
        <v>279</v>
      </c>
      <c r="BD14" s="238" t="s">
        <v>280</v>
      </c>
      <c r="BE14" s="237" t="s">
        <v>279</v>
      </c>
      <c r="BF14" s="146"/>
      <c r="BG14" s="4">
        <f t="shared" si="7"/>
        <v>0</v>
      </c>
      <c r="BH14" s="4" t="str">
        <f t="shared" si="5"/>
        <v/>
      </c>
      <c r="BI14" s="4" t="str">
        <f t="shared" si="6"/>
        <v/>
      </c>
      <c r="BJ14" s="694"/>
      <c r="BK14" s="694"/>
      <c r="BL14" s="694"/>
      <c r="BM14" s="694"/>
    </row>
    <row r="15" spans="1:65">
      <c r="B15" s="360" t="str">
        <f>名簿!Q17</f>
        <v/>
      </c>
      <c r="C15" s="389"/>
      <c r="D15" s="799" t="str">
        <f>名簿!D17</f>
        <v/>
      </c>
      <c r="E15" s="19">
        <f>名簿!E17</f>
        <v>0</v>
      </c>
      <c r="F15" s="205" t="str">
        <f>名簿!BN17</f>
        <v/>
      </c>
      <c r="G15" s="105" t="str">
        <f>名簿!Z17</f>
        <v/>
      </c>
      <c r="H15" s="122" t="str">
        <f t="shared" si="0"/>
        <v/>
      </c>
      <c r="I15" s="361" t="str">
        <f>名簿!O17</f>
        <v/>
      </c>
      <c r="J15" s="361">
        <f>名簿!I17</f>
        <v>0</v>
      </c>
      <c r="K15" s="361">
        <f>名簿!K17</f>
        <v>0</v>
      </c>
      <c r="L15" s="385" t="str">
        <f>名簿!BQ17</f>
        <v>00</v>
      </c>
      <c r="M15" s="383" t="str">
        <f>名簿!R17</f>
        <v/>
      </c>
      <c r="N15" s="388">
        <f>名簿!C17</f>
        <v>0</v>
      </c>
      <c r="O15" s="202"/>
      <c r="P15" s="187" t="str">
        <f>IF(O15="","",IF(I15=1,VLOOKUP(O15,男子種目コード!$A$1:$B$33,2,FALSE),IF(I15=2,VLOOKUP(O15,女子種目コード!$A$1:$B$28,2,FALSE))))</f>
        <v/>
      </c>
      <c r="Q15" s="397" t="str">
        <f>IF(O15="","",HLOOKUP(O15,名簿!$AB$8:$BG$58,10,FALSE))</f>
        <v/>
      </c>
      <c r="R15" s="393">
        <v>0</v>
      </c>
      <c r="S15" s="401">
        <v>2</v>
      </c>
      <c r="T15" s="195"/>
      <c r="U15" s="187" t="str">
        <f>IF(T15="","",IF(I15=1,VLOOKUP(T15,男子種目コード!$A$1:$B$33,2,FALSE),IF(I15=2,VLOOKUP(T15,女子種目コード!$A$1:$B$28,2,FALSE))))</f>
        <v/>
      </c>
      <c r="V15" s="397" t="str">
        <f>IF(T15="","",HLOOKUP(T15,名簿!$AB$8:$BG$58,10,FALSE))</f>
        <v/>
      </c>
      <c r="W15" s="393">
        <v>0</v>
      </c>
      <c r="X15" s="401">
        <v>2</v>
      </c>
      <c r="Y15" s="404"/>
      <c r="Z15" s="7" t="str">
        <f>IF(Y15="","",IF(I15=1,VLOOKUP(Y15,男子種目コード!$A$1:$B$29,2,FALSE),IF(I15=2,VLOOKUP(Y15,女子種目コード!$A$1:$B$30,2,FALSE))))</f>
        <v/>
      </c>
      <c r="AA15" s="15"/>
      <c r="AB15" s="393">
        <v>0</v>
      </c>
      <c r="AC15" s="362">
        <v>2</v>
      </c>
      <c r="AD15" s="365"/>
      <c r="AE15" s="7" t="str">
        <f>IF(AD15="","",IF(I15=1,VLOOKUP(AD15,男子種目コード!$A$78:$B$80,2,FALSE),IF(I15=2,VLOOKUP(AD15,女子種目コード!$A$78:$B$80,2,FALSE))))</f>
        <v/>
      </c>
      <c r="AF15" s="364"/>
      <c r="AG15" s="362">
        <v>0</v>
      </c>
      <c r="AH15" s="362">
        <v>2</v>
      </c>
      <c r="AI15" s="363"/>
      <c r="AJ15" s="321" t="str">
        <f>IF(AI15="","",IF(I15=1,VLOOKUP(AI15,男子種目コード!$A$1:$B$29,2,FALSE),IF(I15=2,VLOOKUP(AI15,女子種目コード!$A$1:$B$30,2,FALSE))))</f>
        <v/>
      </c>
      <c r="AK15" s="58"/>
      <c r="AL15" s="345">
        <v>0</v>
      </c>
      <c r="AM15" s="345">
        <v>2</v>
      </c>
      <c r="AN15" s="6"/>
      <c r="AO15" s="6"/>
      <c r="AP15" s="4"/>
      <c r="AQ15" s="238" t="s">
        <v>281</v>
      </c>
      <c r="AR15" s="87" t="str">
        <f t="shared" si="1"/>
        <v/>
      </c>
      <c r="AS15" s="240">
        <f t="shared" si="2"/>
        <v>0</v>
      </c>
      <c r="AT15" s="240">
        <f t="shared" si="3"/>
        <v>0</v>
      </c>
      <c r="AU15" s="87" t="str">
        <f t="shared" si="4"/>
        <v/>
      </c>
      <c r="AV15" s="268">
        <v>10000</v>
      </c>
      <c r="AW15" s="102">
        <f>COUNTIF($P$7:$P$56,7)+COUNTIF($U$7:$U$56,7)</f>
        <v>0</v>
      </c>
      <c r="AX15" s="146"/>
      <c r="AY15" s="146"/>
      <c r="AZ15" s="240"/>
      <c r="BA15" s="240"/>
      <c r="BB15" s="238" t="s">
        <v>281</v>
      </c>
      <c r="BC15" s="238" t="s">
        <v>281</v>
      </c>
      <c r="BD15" s="238" t="s">
        <v>281</v>
      </c>
      <c r="BE15" s="238" t="s">
        <v>268</v>
      </c>
      <c r="BF15" s="146"/>
      <c r="BG15" s="4">
        <f t="shared" si="7"/>
        <v>0</v>
      </c>
      <c r="BH15" s="4" t="str">
        <f t="shared" si="5"/>
        <v/>
      </c>
      <c r="BI15" s="4" t="str">
        <f t="shared" si="6"/>
        <v/>
      </c>
      <c r="BJ15" s="694"/>
      <c r="BK15" s="694"/>
      <c r="BL15" s="694"/>
      <c r="BM15" s="694"/>
    </row>
    <row r="16" spans="1:65">
      <c r="B16" s="360" t="str">
        <f>名簿!Q18</f>
        <v/>
      </c>
      <c r="C16" s="389"/>
      <c r="D16" s="799" t="str">
        <f>名簿!D18</f>
        <v/>
      </c>
      <c r="E16" s="19">
        <f>名簿!E18</f>
        <v>0</v>
      </c>
      <c r="F16" s="205" t="str">
        <f>名簿!BN18</f>
        <v/>
      </c>
      <c r="G16" s="105" t="str">
        <f>名簿!Z18</f>
        <v/>
      </c>
      <c r="H16" s="122" t="str">
        <f t="shared" si="0"/>
        <v/>
      </c>
      <c r="I16" s="361" t="str">
        <f>名簿!O18</f>
        <v/>
      </c>
      <c r="J16" s="361">
        <f>名簿!I18</f>
        <v>0</v>
      </c>
      <c r="K16" s="361">
        <f>名簿!K18</f>
        <v>0</v>
      </c>
      <c r="L16" s="385" t="str">
        <f>名簿!BQ18</f>
        <v>00</v>
      </c>
      <c r="M16" s="383" t="str">
        <f>名簿!R18</f>
        <v/>
      </c>
      <c r="N16" s="388">
        <f>名簿!C18</f>
        <v>0</v>
      </c>
      <c r="O16" s="202"/>
      <c r="P16" s="187" t="str">
        <f>IF(O16="","",IF(I16=1,VLOOKUP(O16,男子種目コード!$A$1:$B$33,2,FALSE),IF(I16=2,VLOOKUP(O16,女子種目コード!$A$1:$B$28,2,FALSE))))</f>
        <v/>
      </c>
      <c r="Q16" s="397" t="str">
        <f>IF(O16="","",HLOOKUP(O16,名簿!$AB$8:$BG$58,11,FALSE))</f>
        <v/>
      </c>
      <c r="R16" s="393">
        <v>0</v>
      </c>
      <c r="S16" s="401">
        <v>2</v>
      </c>
      <c r="T16" s="195"/>
      <c r="U16" s="187" t="str">
        <f>IF(T16="","",IF(I16=1,VLOOKUP(T16,男子種目コード!$A$1:$B$33,2,FALSE),IF(I16=2,VLOOKUP(T16,女子種目コード!$A$1:$B$28,2,FALSE))))</f>
        <v/>
      </c>
      <c r="V16" s="397" t="str">
        <f>IF(T16="","",HLOOKUP(T16,名簿!$AB$8:$BG$58,11,FALSE))</f>
        <v/>
      </c>
      <c r="W16" s="393">
        <v>0</v>
      </c>
      <c r="X16" s="401">
        <v>2</v>
      </c>
      <c r="Y16" s="404"/>
      <c r="Z16" s="7" t="str">
        <f>IF(Y16="","",IF(I16=1,VLOOKUP(Y16,男子種目コード!$A$1:$B$29,2,FALSE),IF(I16=2,VLOOKUP(Y16,女子種目コード!$A$1:$B$30,2,FALSE))))</f>
        <v/>
      </c>
      <c r="AA16" s="15"/>
      <c r="AB16" s="393">
        <v>0</v>
      </c>
      <c r="AC16" s="362">
        <v>2</v>
      </c>
      <c r="AD16" s="365"/>
      <c r="AE16" s="7" t="str">
        <f>IF(AD16="","",IF(I16=1,VLOOKUP(AD16,男子種目コード!$A$78:$B$80,2,FALSE),IF(I16=2,VLOOKUP(AD16,女子種目コード!$A$78:$B$80,2,FALSE))))</f>
        <v/>
      </c>
      <c r="AF16" s="364"/>
      <c r="AG16" s="362">
        <v>0</v>
      </c>
      <c r="AH16" s="362">
        <v>2</v>
      </c>
      <c r="AI16" s="363"/>
      <c r="AJ16" s="321" t="str">
        <f>IF(AI16="","",IF(I16=1,VLOOKUP(AI16,男子種目コード!$A$1:$B$29,2,FALSE),IF(I16=2,VLOOKUP(AI16,女子種目コード!$A$1:$B$30,2,FALSE))))</f>
        <v/>
      </c>
      <c r="AK16" s="58"/>
      <c r="AL16" s="345">
        <v>0</v>
      </c>
      <c r="AM16" s="345">
        <v>2</v>
      </c>
      <c r="AN16" s="6"/>
      <c r="AO16" s="6"/>
      <c r="AP16" s="4"/>
      <c r="AQ16" s="238" t="s">
        <v>282</v>
      </c>
      <c r="AR16" s="87" t="str">
        <f t="shared" si="1"/>
        <v/>
      </c>
      <c r="AS16" s="240">
        <f t="shared" si="2"/>
        <v>0</v>
      </c>
      <c r="AT16" s="240">
        <f t="shared" si="3"/>
        <v>0</v>
      </c>
      <c r="AU16" s="87" t="str">
        <f t="shared" si="4"/>
        <v/>
      </c>
      <c r="AV16" s="269" t="s">
        <v>280</v>
      </c>
      <c r="AW16" s="102">
        <f>COUNTIF($P$7:$P$56,8)+COUNTIF($U$7:$U$56,8)</f>
        <v>0</v>
      </c>
      <c r="AX16" s="146"/>
      <c r="AY16" s="146"/>
      <c r="AZ16" s="240"/>
      <c r="BA16" s="240"/>
      <c r="BB16" s="238" t="s">
        <v>282</v>
      </c>
      <c r="BC16" s="238" t="s">
        <v>490</v>
      </c>
      <c r="BD16" s="238" t="s">
        <v>282</v>
      </c>
      <c r="BE16" s="238" t="s">
        <v>281</v>
      </c>
      <c r="BF16" s="146"/>
      <c r="BG16" s="4">
        <f t="shared" si="7"/>
        <v>0</v>
      </c>
      <c r="BH16" s="4" t="str">
        <f t="shared" si="5"/>
        <v/>
      </c>
      <c r="BI16" s="4" t="str">
        <f t="shared" si="6"/>
        <v/>
      </c>
      <c r="BJ16" s="694"/>
      <c r="BK16" s="694"/>
      <c r="BL16" s="694"/>
      <c r="BM16" s="694"/>
    </row>
    <row r="17" spans="2:65">
      <c r="B17" s="360" t="str">
        <f>名簿!Q19</f>
        <v/>
      </c>
      <c r="C17" s="389"/>
      <c r="D17" s="799" t="str">
        <f>名簿!D19</f>
        <v/>
      </c>
      <c r="E17" s="19">
        <f>名簿!E19</f>
        <v>0</v>
      </c>
      <c r="F17" s="205" t="str">
        <f>名簿!BN19</f>
        <v/>
      </c>
      <c r="G17" s="105" t="str">
        <f>名簿!Z19</f>
        <v/>
      </c>
      <c r="H17" s="122" t="str">
        <f t="shared" si="0"/>
        <v/>
      </c>
      <c r="I17" s="361" t="str">
        <f>名簿!O19</f>
        <v/>
      </c>
      <c r="J17" s="361">
        <f>名簿!I19</f>
        <v>0</v>
      </c>
      <c r="K17" s="361">
        <f>名簿!K19</f>
        <v>0</v>
      </c>
      <c r="L17" s="385" t="str">
        <f>名簿!BQ19</f>
        <v>00</v>
      </c>
      <c r="M17" s="383" t="str">
        <f>名簿!R19</f>
        <v/>
      </c>
      <c r="N17" s="388">
        <f>名簿!C19</f>
        <v>0</v>
      </c>
      <c r="O17" s="202"/>
      <c r="P17" s="187" t="str">
        <f>IF(O17="","",IF(I17=1,VLOOKUP(O17,男子種目コード!$A$1:$B$33,2,FALSE),IF(I17=2,VLOOKUP(O17,女子種目コード!$A$1:$B$28,2,FALSE))))</f>
        <v/>
      </c>
      <c r="Q17" s="397" t="str">
        <f>IF(O17="","",HLOOKUP(O17,名簿!$AB$8:$BG$58,12,FALSE))</f>
        <v/>
      </c>
      <c r="R17" s="393">
        <v>0</v>
      </c>
      <c r="S17" s="401">
        <v>2</v>
      </c>
      <c r="T17" s="195"/>
      <c r="U17" s="187" t="str">
        <f>IF(T17="","",IF(I17=1,VLOOKUP(T17,男子種目コード!$A$1:$B$33,2,FALSE),IF(I17=2,VLOOKUP(T17,女子種目コード!$A$1:$B$28,2,FALSE))))</f>
        <v/>
      </c>
      <c r="V17" s="397" t="str">
        <f>IF(T17="","",HLOOKUP(T17,名簿!$AB$8:$BG$58,12,FALSE))</f>
        <v/>
      </c>
      <c r="W17" s="393">
        <v>0</v>
      </c>
      <c r="X17" s="401">
        <v>2</v>
      </c>
      <c r="Y17" s="404"/>
      <c r="Z17" s="7" t="str">
        <f>IF(Y17="","",IF(I17=1,VLOOKUP(Y17,男子種目コード!$A$1:$B$29,2,FALSE),IF(I17=2,VLOOKUP(Y17,女子種目コード!$A$1:$B$30,2,FALSE))))</f>
        <v/>
      </c>
      <c r="AA17" s="15"/>
      <c r="AB17" s="393">
        <v>0</v>
      </c>
      <c r="AC17" s="362">
        <v>2</v>
      </c>
      <c r="AD17" s="365"/>
      <c r="AE17" s="7" t="str">
        <f>IF(AD17="","",IF(I17=1,VLOOKUP(AD17,男子種目コード!$A$78:$B$80,2,FALSE),IF(I17=2,VLOOKUP(AD17,女子種目コード!$A$78:$B$80,2,FALSE))))</f>
        <v/>
      </c>
      <c r="AF17" s="364"/>
      <c r="AG17" s="362">
        <v>0</v>
      </c>
      <c r="AH17" s="362">
        <v>2</v>
      </c>
      <c r="AI17" s="363"/>
      <c r="AJ17" s="321" t="str">
        <f>IF(AI17="","",IF(I17=1,VLOOKUP(AI17,男子種目コード!$A$1:$B$29,2,FALSE),IF(I17=2,VLOOKUP(AI17,女子種目コード!$A$1:$B$30,2,FALSE))))</f>
        <v/>
      </c>
      <c r="AK17" s="58"/>
      <c r="AL17" s="345">
        <v>0</v>
      </c>
      <c r="AM17" s="345">
        <v>2</v>
      </c>
      <c r="AN17" s="6"/>
      <c r="AO17" s="6"/>
      <c r="AP17" s="4"/>
      <c r="AQ17" s="238" t="s">
        <v>283</v>
      </c>
      <c r="AR17" s="87" t="str">
        <f t="shared" si="1"/>
        <v/>
      </c>
      <c r="AS17" s="240">
        <f t="shared" si="2"/>
        <v>0</v>
      </c>
      <c r="AT17" s="240">
        <f t="shared" si="3"/>
        <v>0</v>
      </c>
      <c r="AU17" s="87" t="str">
        <f t="shared" si="4"/>
        <v/>
      </c>
      <c r="AV17" s="269"/>
      <c r="AW17" s="102">
        <f>COUNTIF($P$7:$P$56,28)+COUNTIF($U$7:$U$56,28)</f>
        <v>0</v>
      </c>
      <c r="AX17" s="146"/>
      <c r="AY17" s="146"/>
      <c r="BB17" s="238" t="s">
        <v>283</v>
      </c>
      <c r="BC17" s="238" t="s">
        <v>285</v>
      </c>
      <c r="BD17" s="238" t="s">
        <v>283</v>
      </c>
      <c r="BE17" s="238" t="s">
        <v>282</v>
      </c>
      <c r="BF17" s="146"/>
      <c r="BG17" s="4">
        <f t="shared" si="7"/>
        <v>0</v>
      </c>
      <c r="BH17" s="4" t="str">
        <f t="shared" si="5"/>
        <v/>
      </c>
      <c r="BI17" s="4" t="str">
        <f t="shared" si="6"/>
        <v/>
      </c>
      <c r="BJ17" s="694"/>
      <c r="BK17" s="694"/>
      <c r="BL17" s="694"/>
      <c r="BM17" s="694"/>
    </row>
    <row r="18" spans="2:65">
      <c r="B18" s="360" t="str">
        <f>名簿!Q20</f>
        <v/>
      </c>
      <c r="C18" s="389"/>
      <c r="D18" s="799" t="str">
        <f>名簿!D20</f>
        <v/>
      </c>
      <c r="E18" s="19">
        <f>名簿!E20</f>
        <v>0</v>
      </c>
      <c r="F18" s="205" t="str">
        <f>名簿!BN20</f>
        <v/>
      </c>
      <c r="G18" s="105" t="str">
        <f>名簿!Z20</f>
        <v/>
      </c>
      <c r="H18" s="122" t="str">
        <f t="shared" si="0"/>
        <v/>
      </c>
      <c r="I18" s="361" t="str">
        <f>名簿!O20</f>
        <v/>
      </c>
      <c r="J18" s="361">
        <f>名簿!I20</f>
        <v>0</v>
      </c>
      <c r="K18" s="361">
        <f>名簿!K20</f>
        <v>0</v>
      </c>
      <c r="L18" s="385" t="str">
        <f>名簿!BQ20</f>
        <v>00</v>
      </c>
      <c r="M18" s="383" t="str">
        <f>名簿!R20</f>
        <v/>
      </c>
      <c r="N18" s="388">
        <f>名簿!C20</f>
        <v>0</v>
      </c>
      <c r="O18" s="202"/>
      <c r="P18" s="187" t="str">
        <f>IF(O18="","",IF(I18=1,VLOOKUP(O18,男子種目コード!$A$1:$B$33,2,FALSE),IF(I18=2,VLOOKUP(O18,女子種目コード!$A$1:$B$28,2,FALSE))))</f>
        <v/>
      </c>
      <c r="Q18" s="397" t="str">
        <f>IF(O18="","",HLOOKUP(O18,名簿!$AB$8:$BG$58,13,FALSE))</f>
        <v/>
      </c>
      <c r="R18" s="393">
        <v>0</v>
      </c>
      <c r="S18" s="401">
        <v>2</v>
      </c>
      <c r="T18" s="195"/>
      <c r="U18" s="187" t="str">
        <f>IF(T18="","",IF(I18=1,VLOOKUP(T18,男子種目コード!$A$1:$B$33,2,FALSE),IF(I18=2,VLOOKUP(T18,女子種目コード!$A$1:$B$28,2,FALSE))))</f>
        <v/>
      </c>
      <c r="V18" s="397" t="str">
        <f>IF(T18="","",HLOOKUP(T18,名簿!$AB$8:$BG$58,13,FALSE))</f>
        <v/>
      </c>
      <c r="W18" s="393">
        <v>0</v>
      </c>
      <c r="X18" s="401">
        <v>2</v>
      </c>
      <c r="Y18" s="404"/>
      <c r="Z18" s="7" t="str">
        <f>IF(Y18="","",IF(I18=1,VLOOKUP(Y18,男子種目コード!$A$1:$B$29,2,FALSE),IF(I18=2,VLOOKUP(Y18,女子種目コード!$A$1:$B$30,2,FALSE))))</f>
        <v/>
      </c>
      <c r="AA18" s="15"/>
      <c r="AB18" s="393">
        <v>0</v>
      </c>
      <c r="AC18" s="362">
        <v>2</v>
      </c>
      <c r="AD18" s="365"/>
      <c r="AE18" s="7" t="str">
        <f>IF(AD18="","",IF(I18=1,VLOOKUP(AD18,男子種目コード!$A$78:$B$80,2,FALSE),IF(I18=2,VLOOKUP(AD18,女子種目コード!$A$78:$B$80,2,FALSE))))</f>
        <v/>
      </c>
      <c r="AF18" s="364"/>
      <c r="AG18" s="362">
        <v>0</v>
      </c>
      <c r="AH18" s="362">
        <v>2</v>
      </c>
      <c r="AI18" s="363"/>
      <c r="AJ18" s="321" t="str">
        <f>IF(AI18="","",IF(I18=1,VLOOKUP(AI18,男子種目コード!$A$1:$B$29,2,FALSE),IF(I18=2,VLOOKUP(AI18,女子種目コード!$A$1:$B$30,2,FALSE))))</f>
        <v/>
      </c>
      <c r="AK18" s="58"/>
      <c r="AL18" s="345">
        <v>0</v>
      </c>
      <c r="AM18" s="345">
        <v>2</v>
      </c>
      <c r="AN18" s="6"/>
      <c r="AO18" s="6"/>
      <c r="AP18" s="4"/>
      <c r="AQ18" s="238" t="s">
        <v>35</v>
      </c>
      <c r="AR18" s="87" t="str">
        <f t="shared" si="1"/>
        <v/>
      </c>
      <c r="AS18" s="240">
        <f t="shared" si="2"/>
        <v>0</v>
      </c>
      <c r="AT18" s="240">
        <f t="shared" si="3"/>
        <v>0</v>
      </c>
      <c r="AU18" s="87" t="str">
        <f t="shared" si="4"/>
        <v/>
      </c>
      <c r="AV18" s="269" t="s">
        <v>284</v>
      </c>
      <c r="AW18" s="102">
        <f>COUNTIF($P$7:$P$56,9)+COUNTIF($U$7:$U$56,9)</f>
        <v>0</v>
      </c>
      <c r="AX18" s="146"/>
      <c r="AY18" s="146"/>
      <c r="BB18" s="238" t="s">
        <v>35</v>
      </c>
      <c r="BC18" s="238" t="s">
        <v>35</v>
      </c>
      <c r="BD18" s="238" t="s">
        <v>35</v>
      </c>
      <c r="BE18" s="238" t="s">
        <v>285</v>
      </c>
      <c r="BF18" s="146"/>
      <c r="BG18" s="4">
        <f t="shared" si="7"/>
        <v>0</v>
      </c>
      <c r="BH18" s="4" t="str">
        <f t="shared" si="5"/>
        <v/>
      </c>
      <c r="BI18" s="4" t="str">
        <f t="shared" si="6"/>
        <v/>
      </c>
      <c r="BJ18" s="694"/>
      <c r="BK18" s="694"/>
      <c r="BL18" s="694"/>
      <c r="BM18" s="694"/>
    </row>
    <row r="19" spans="2:65">
      <c r="B19" s="360" t="str">
        <f>名簿!Q21</f>
        <v/>
      </c>
      <c r="C19" s="389"/>
      <c r="D19" s="799" t="str">
        <f>名簿!D21</f>
        <v/>
      </c>
      <c r="E19" s="19">
        <f>名簿!E21</f>
        <v>0</v>
      </c>
      <c r="F19" s="205" t="str">
        <f>名簿!BN21</f>
        <v/>
      </c>
      <c r="G19" s="105" t="str">
        <f>名簿!Z21</f>
        <v/>
      </c>
      <c r="H19" s="122" t="str">
        <f t="shared" si="0"/>
        <v/>
      </c>
      <c r="I19" s="361" t="str">
        <f>名簿!O21</f>
        <v/>
      </c>
      <c r="J19" s="361">
        <f>名簿!I21</f>
        <v>0</v>
      </c>
      <c r="K19" s="361">
        <f>名簿!K21</f>
        <v>0</v>
      </c>
      <c r="L19" s="385" t="str">
        <f>名簿!BQ21</f>
        <v>00</v>
      </c>
      <c r="M19" s="383" t="str">
        <f>名簿!R21</f>
        <v/>
      </c>
      <c r="N19" s="388">
        <f>名簿!C21</f>
        <v>0</v>
      </c>
      <c r="O19" s="202"/>
      <c r="P19" s="187" t="str">
        <f>IF(O19="","",IF(I19=1,VLOOKUP(O19,男子種目コード!$A$1:$B$33,2,FALSE),IF(I19=2,VLOOKUP(O19,女子種目コード!$A$1:$B$28,2,FALSE))))</f>
        <v/>
      </c>
      <c r="Q19" s="397" t="str">
        <f>IF(O19="","",HLOOKUP(O19,名簿!$AB$8:$BG$58,14,FALSE))</f>
        <v/>
      </c>
      <c r="R19" s="393">
        <v>0</v>
      </c>
      <c r="S19" s="401">
        <v>2</v>
      </c>
      <c r="T19" s="195"/>
      <c r="U19" s="187" t="str">
        <f>IF(T19="","",IF(I19=1,VLOOKUP(T19,男子種目コード!$A$1:$B$33,2,FALSE),IF(I19=2,VLOOKUP(T19,女子種目コード!$A$1:$B$28,2,FALSE))))</f>
        <v/>
      </c>
      <c r="V19" s="397" t="str">
        <f>IF(T19="","",HLOOKUP(T19,名簿!$AB$8:$BG$58,14,FALSE))</f>
        <v/>
      </c>
      <c r="W19" s="393">
        <v>0</v>
      </c>
      <c r="X19" s="401">
        <v>2</v>
      </c>
      <c r="Y19" s="404"/>
      <c r="Z19" s="7" t="str">
        <f>IF(Y19="","",IF(I19=1,VLOOKUP(Y19,男子種目コード!$A$1:$B$29,2,FALSE),IF(I19=2,VLOOKUP(Y19,女子種目コード!$A$1:$B$30,2,FALSE))))</f>
        <v/>
      </c>
      <c r="AA19" s="15"/>
      <c r="AB19" s="393">
        <v>0</v>
      </c>
      <c r="AC19" s="362">
        <v>2</v>
      </c>
      <c r="AD19" s="365"/>
      <c r="AE19" s="7" t="str">
        <f>IF(AD19="","",IF(I19=1,VLOOKUP(AD19,男子種目コード!$A$78:$B$80,2,FALSE),IF(I19=2,VLOOKUP(AD19,女子種目コード!$A$78:$B$80,2,FALSE))))</f>
        <v/>
      </c>
      <c r="AF19" s="364"/>
      <c r="AG19" s="362">
        <v>0</v>
      </c>
      <c r="AH19" s="362">
        <v>2</v>
      </c>
      <c r="AI19" s="363"/>
      <c r="AJ19" s="321" t="str">
        <f>IF(AI19="","",IF(I19=1,VLOOKUP(AI19,男子種目コード!$A$1:$B$29,2,FALSE),IF(I19=2,VLOOKUP(AI19,女子種目コード!$A$1:$B$30,2,FALSE))))</f>
        <v/>
      </c>
      <c r="AK19" s="58"/>
      <c r="AL19" s="345">
        <v>0</v>
      </c>
      <c r="AM19" s="345">
        <v>2</v>
      </c>
      <c r="AN19" s="6"/>
      <c r="AO19" s="6"/>
      <c r="AP19" s="4"/>
      <c r="AQ19" s="238" t="s">
        <v>137</v>
      </c>
      <c r="AR19" s="87" t="str">
        <f t="shared" si="1"/>
        <v/>
      </c>
      <c r="AS19" s="240">
        <f t="shared" si="2"/>
        <v>0</v>
      </c>
      <c r="AT19" s="240">
        <f t="shared" si="3"/>
        <v>0</v>
      </c>
      <c r="AU19" s="87" t="str">
        <f t="shared" si="4"/>
        <v/>
      </c>
      <c r="AV19" s="269" t="s">
        <v>286</v>
      </c>
      <c r="AW19" s="102">
        <f>COUNTIF($P$7:$P$56,10)+COUNTIF($U$7:$U$56,10)</f>
        <v>0</v>
      </c>
      <c r="AX19" s="146"/>
      <c r="AY19" s="146"/>
      <c r="BB19" s="238" t="s">
        <v>137</v>
      </c>
      <c r="BC19" s="238" t="s">
        <v>137</v>
      </c>
      <c r="BD19" s="238" t="s">
        <v>137</v>
      </c>
      <c r="BE19" s="238" t="s">
        <v>35</v>
      </c>
      <c r="BF19" s="146"/>
      <c r="BG19" s="4">
        <f t="shared" si="7"/>
        <v>0</v>
      </c>
      <c r="BH19" s="4" t="str">
        <f t="shared" si="5"/>
        <v/>
      </c>
      <c r="BI19" s="4" t="str">
        <f t="shared" si="6"/>
        <v/>
      </c>
      <c r="BJ19" s="694"/>
      <c r="BK19" s="694"/>
      <c r="BL19" s="694"/>
      <c r="BM19" s="694"/>
    </row>
    <row r="20" spans="2:65">
      <c r="B20" s="360" t="str">
        <f>名簿!Q22</f>
        <v/>
      </c>
      <c r="C20" s="389"/>
      <c r="D20" s="799" t="str">
        <f>名簿!D22</f>
        <v/>
      </c>
      <c r="E20" s="19">
        <f>名簿!E22</f>
        <v>0</v>
      </c>
      <c r="F20" s="205" t="str">
        <f>名簿!BN22</f>
        <v/>
      </c>
      <c r="G20" s="105" t="str">
        <f>名簿!Z22</f>
        <v/>
      </c>
      <c r="H20" s="122" t="str">
        <f t="shared" si="0"/>
        <v/>
      </c>
      <c r="I20" s="361" t="str">
        <f>名簿!O22</f>
        <v/>
      </c>
      <c r="J20" s="361">
        <f>名簿!I22</f>
        <v>0</v>
      </c>
      <c r="K20" s="361">
        <f>名簿!K22</f>
        <v>0</v>
      </c>
      <c r="L20" s="385" t="str">
        <f>名簿!BQ22</f>
        <v>00</v>
      </c>
      <c r="M20" s="383" t="str">
        <f>名簿!R22</f>
        <v/>
      </c>
      <c r="N20" s="388">
        <f>名簿!C22</f>
        <v>0</v>
      </c>
      <c r="O20" s="202"/>
      <c r="P20" s="187" t="str">
        <f>IF(O20="","",IF(I20=1,VLOOKUP(O20,男子種目コード!$A$1:$B$33,2,FALSE),IF(I20=2,VLOOKUP(O20,女子種目コード!$A$1:$B$28,2,FALSE))))</f>
        <v/>
      </c>
      <c r="Q20" s="397" t="str">
        <f>IF(O20="","",HLOOKUP(O20,名簿!$AB$8:$BG$58,15,FALSE))</f>
        <v/>
      </c>
      <c r="R20" s="393">
        <v>0</v>
      </c>
      <c r="S20" s="401">
        <v>2</v>
      </c>
      <c r="T20" s="195"/>
      <c r="U20" s="187" t="str">
        <f>IF(T20="","",IF(I20=1,VLOOKUP(T20,男子種目コード!$A$1:$B$33,2,FALSE),IF(I20=2,VLOOKUP(T20,女子種目コード!$A$1:$B$28,2,FALSE))))</f>
        <v/>
      </c>
      <c r="V20" s="397" t="str">
        <f>IF(T20="","",HLOOKUP(T20,名簿!$AB$8:$BG$58,15,FALSE))</f>
        <v/>
      </c>
      <c r="W20" s="393">
        <v>0</v>
      </c>
      <c r="X20" s="401">
        <v>2</v>
      </c>
      <c r="Y20" s="404"/>
      <c r="Z20" s="7" t="str">
        <f>IF(Y20="","",IF(I20=1,VLOOKUP(Y20,男子種目コード!$A$1:$B$29,2,FALSE),IF(I20=2,VLOOKUP(Y20,女子種目コード!$A$1:$B$30,2,FALSE))))</f>
        <v/>
      </c>
      <c r="AA20" s="15"/>
      <c r="AB20" s="393">
        <v>0</v>
      </c>
      <c r="AC20" s="362">
        <v>2</v>
      </c>
      <c r="AD20" s="365"/>
      <c r="AE20" s="7" t="str">
        <f>IF(AD20="","",IF(I20=1,VLOOKUP(AD20,男子種目コード!$A$78:$B$80,2,FALSE),IF(I20=2,VLOOKUP(AD20,女子種目コード!$A$78:$B$80,2,FALSE))))</f>
        <v/>
      </c>
      <c r="AF20" s="364"/>
      <c r="AG20" s="362">
        <v>0</v>
      </c>
      <c r="AH20" s="362">
        <v>2</v>
      </c>
      <c r="AI20" s="363"/>
      <c r="AJ20" s="321" t="str">
        <f>IF(AI20="","",IF(I20=1,VLOOKUP(AI20,男子種目コード!$A$1:$B$29,2,FALSE),IF(I20=2,VLOOKUP(AI20,女子種目コード!$A$1:$B$30,2,FALSE))))</f>
        <v/>
      </c>
      <c r="AK20" s="58"/>
      <c r="AL20" s="345">
        <v>0</v>
      </c>
      <c r="AM20" s="345">
        <v>2</v>
      </c>
      <c r="AN20" s="6"/>
      <c r="AO20" s="6"/>
      <c r="AP20" s="4"/>
      <c r="AQ20" s="238" t="s">
        <v>136</v>
      </c>
      <c r="AR20" s="87" t="str">
        <f t="shared" si="1"/>
        <v/>
      </c>
      <c r="AS20" s="240">
        <f t="shared" si="2"/>
        <v>0</v>
      </c>
      <c r="AT20" s="240">
        <f t="shared" si="3"/>
        <v>0</v>
      </c>
      <c r="AU20" s="87" t="str">
        <f t="shared" si="4"/>
        <v/>
      </c>
      <c r="AV20" s="269" t="s">
        <v>285</v>
      </c>
      <c r="AW20" s="102">
        <f>COUNTIF($P$7:$P$56,12)+COUNTIF($U$7:$U$56,12)</f>
        <v>0</v>
      </c>
      <c r="AX20" s="146"/>
      <c r="AY20" s="146"/>
      <c r="BB20" s="238" t="s">
        <v>136</v>
      </c>
      <c r="BC20" s="238" t="s">
        <v>136</v>
      </c>
      <c r="BD20" s="238" t="s">
        <v>136</v>
      </c>
      <c r="BE20" s="238" t="s">
        <v>137</v>
      </c>
      <c r="BF20" s="146"/>
      <c r="BG20" s="4">
        <f t="shared" si="7"/>
        <v>0</v>
      </c>
      <c r="BH20" s="4" t="str">
        <f t="shared" si="5"/>
        <v/>
      </c>
      <c r="BI20" s="4" t="str">
        <f t="shared" si="6"/>
        <v/>
      </c>
      <c r="BJ20" s="694"/>
      <c r="BK20" s="694"/>
      <c r="BL20" s="694"/>
      <c r="BM20" s="694"/>
    </row>
    <row r="21" spans="2:65">
      <c r="B21" s="360" t="str">
        <f>名簿!Q23</f>
        <v/>
      </c>
      <c r="C21" s="389"/>
      <c r="D21" s="799" t="str">
        <f>名簿!D23</f>
        <v/>
      </c>
      <c r="E21" s="19">
        <f>名簿!E23</f>
        <v>0</v>
      </c>
      <c r="F21" s="205" t="str">
        <f>名簿!BN23</f>
        <v/>
      </c>
      <c r="G21" s="105" t="str">
        <f>名簿!Z23</f>
        <v/>
      </c>
      <c r="H21" s="122" t="str">
        <f t="shared" si="0"/>
        <v/>
      </c>
      <c r="I21" s="361" t="str">
        <f>名簿!O23</f>
        <v/>
      </c>
      <c r="J21" s="361">
        <f>名簿!I23</f>
        <v>0</v>
      </c>
      <c r="K21" s="361">
        <f>名簿!K23</f>
        <v>0</v>
      </c>
      <c r="L21" s="385" t="str">
        <f>名簿!BQ23</f>
        <v>00</v>
      </c>
      <c r="M21" s="383" t="str">
        <f>名簿!R23</f>
        <v/>
      </c>
      <c r="N21" s="388">
        <f>名簿!C23</f>
        <v>0</v>
      </c>
      <c r="O21" s="202"/>
      <c r="P21" s="187" t="str">
        <f>IF(O21="","",IF(I21=1,VLOOKUP(O21,男子種目コード!$A$1:$B$33,2,FALSE),IF(I21=2,VLOOKUP(O21,女子種目コード!$A$1:$B$28,2,FALSE))))</f>
        <v/>
      </c>
      <c r="Q21" s="397" t="str">
        <f>IF(O21="","",HLOOKUP(O21,名簿!$AB$8:$BG$58,16,FALSE))</f>
        <v/>
      </c>
      <c r="R21" s="393">
        <v>0</v>
      </c>
      <c r="S21" s="401">
        <v>2</v>
      </c>
      <c r="T21" s="195"/>
      <c r="U21" s="187" t="str">
        <f>IF(T21="","",IF(I21=1,VLOOKUP(T21,男子種目コード!$A$1:$B$33,2,FALSE),IF(I21=2,VLOOKUP(T21,女子種目コード!$A$1:$B$28,2,FALSE))))</f>
        <v/>
      </c>
      <c r="V21" s="397" t="str">
        <f>IF(T21="","",HLOOKUP(T21,名簿!$AB$8:$BG$58,16,FALSE))</f>
        <v/>
      </c>
      <c r="W21" s="393">
        <v>0</v>
      </c>
      <c r="X21" s="401">
        <v>2</v>
      </c>
      <c r="Y21" s="404"/>
      <c r="Z21" s="7" t="str">
        <f>IF(Y21="","",IF(I21=1,VLOOKUP(Y21,男子種目コード!$A$1:$B$29,2,FALSE),IF(I21=2,VLOOKUP(Y21,女子種目コード!$A$1:$B$30,2,FALSE))))</f>
        <v/>
      </c>
      <c r="AA21" s="15"/>
      <c r="AB21" s="393">
        <v>0</v>
      </c>
      <c r="AC21" s="362">
        <v>2</v>
      </c>
      <c r="AD21" s="365"/>
      <c r="AE21" s="7" t="str">
        <f>IF(AD21="","",IF(I21=1,VLOOKUP(AD21,男子種目コード!$A$78:$B$80,2,FALSE),IF(I21=2,VLOOKUP(AD21,女子種目コード!$A$78:$B$80,2,FALSE))))</f>
        <v/>
      </c>
      <c r="AF21" s="364"/>
      <c r="AG21" s="362">
        <v>0</v>
      </c>
      <c r="AH21" s="362">
        <v>2</v>
      </c>
      <c r="AI21" s="363"/>
      <c r="AJ21" s="321" t="str">
        <f>IF(AI21="","",IF(I21=1,VLOOKUP(AI21,男子種目コード!$A$1:$B$29,2,FALSE),IF(I21=2,VLOOKUP(AI21,女子種目コード!$A$1:$B$30,2,FALSE))))</f>
        <v/>
      </c>
      <c r="AK21" s="58"/>
      <c r="AL21" s="345">
        <v>0</v>
      </c>
      <c r="AM21" s="345">
        <v>2</v>
      </c>
      <c r="AN21" s="6"/>
      <c r="AO21" s="6"/>
      <c r="AP21" s="4"/>
      <c r="AQ21" s="238" t="s">
        <v>141</v>
      </c>
      <c r="AR21" s="87" t="str">
        <f t="shared" si="1"/>
        <v/>
      </c>
      <c r="AS21" s="240">
        <f t="shared" si="2"/>
        <v>0</v>
      </c>
      <c r="AT21" s="240">
        <f t="shared" si="3"/>
        <v>0</v>
      </c>
      <c r="AU21" s="87" t="str">
        <f t="shared" si="4"/>
        <v/>
      </c>
      <c r="AV21" s="269" t="s">
        <v>35</v>
      </c>
      <c r="AW21" s="102">
        <f>COUNTIF($P$7:$P$56,15)+COUNTIF($U$7:$U$56,15)</f>
        <v>0</v>
      </c>
      <c r="AX21" s="146"/>
      <c r="AY21" s="146"/>
      <c r="BB21" s="238" t="s">
        <v>141</v>
      </c>
      <c r="BC21" s="238" t="s">
        <v>141</v>
      </c>
      <c r="BD21" s="238" t="s">
        <v>141</v>
      </c>
      <c r="BE21" s="238" t="s">
        <v>136</v>
      </c>
      <c r="BF21" s="146"/>
      <c r="BG21" s="4">
        <f t="shared" si="7"/>
        <v>0</v>
      </c>
      <c r="BH21" s="4" t="str">
        <f t="shared" si="5"/>
        <v/>
      </c>
      <c r="BI21" s="4" t="str">
        <f t="shared" si="6"/>
        <v/>
      </c>
      <c r="BJ21" s="694"/>
      <c r="BK21" s="694"/>
      <c r="BL21" s="694"/>
      <c r="BM21" s="694"/>
    </row>
    <row r="22" spans="2:65">
      <c r="B22" s="360" t="str">
        <f>名簿!Q24</f>
        <v/>
      </c>
      <c r="C22" s="389"/>
      <c r="D22" s="799" t="str">
        <f>名簿!D24</f>
        <v/>
      </c>
      <c r="E22" s="19">
        <f>名簿!E24</f>
        <v>0</v>
      </c>
      <c r="F22" s="205" t="str">
        <f>名簿!BN24</f>
        <v/>
      </c>
      <c r="G22" s="105" t="str">
        <f>名簿!Z24</f>
        <v/>
      </c>
      <c r="H22" s="122" t="str">
        <f t="shared" si="0"/>
        <v/>
      </c>
      <c r="I22" s="361" t="str">
        <f>名簿!O24</f>
        <v/>
      </c>
      <c r="J22" s="361">
        <f>名簿!I24</f>
        <v>0</v>
      </c>
      <c r="K22" s="361">
        <f>名簿!K24</f>
        <v>0</v>
      </c>
      <c r="L22" s="385" t="str">
        <f>名簿!BQ24</f>
        <v>00</v>
      </c>
      <c r="M22" s="383" t="str">
        <f>名簿!R24</f>
        <v/>
      </c>
      <c r="N22" s="388">
        <f>名簿!C24</f>
        <v>0</v>
      </c>
      <c r="O22" s="202"/>
      <c r="P22" s="187" t="str">
        <f>IF(O22="","",IF(I22=1,VLOOKUP(O22,男子種目コード!$A$1:$B$33,2,FALSE),IF(I22=2,VLOOKUP(O22,女子種目コード!$A$1:$B$28,2,FALSE))))</f>
        <v/>
      </c>
      <c r="Q22" s="397" t="str">
        <f>IF(O22="","",HLOOKUP(O22,名簿!$AB$8:$BG$58,17,FALSE))</f>
        <v/>
      </c>
      <c r="R22" s="393">
        <v>0</v>
      </c>
      <c r="S22" s="401">
        <v>2</v>
      </c>
      <c r="T22" s="195"/>
      <c r="U22" s="187" t="str">
        <f>IF(T22="","",IF(I22=1,VLOOKUP(T22,男子種目コード!$A$1:$B$33,2,FALSE),IF(I22=2,VLOOKUP(T22,女子種目コード!$A$1:$B$28,2,FALSE))))</f>
        <v/>
      </c>
      <c r="V22" s="397" t="str">
        <f>IF(T22="","",HLOOKUP(T22,名簿!$AB$8:$BG$58,17,FALSE))</f>
        <v/>
      </c>
      <c r="W22" s="393">
        <v>0</v>
      </c>
      <c r="X22" s="401">
        <v>2</v>
      </c>
      <c r="Y22" s="404"/>
      <c r="Z22" s="7" t="str">
        <f>IF(Y22="","",IF(I22=1,VLOOKUP(Y22,男子種目コード!$A$1:$B$29,2,FALSE),IF(I22=2,VLOOKUP(Y22,女子種目コード!$A$1:$B$30,2,FALSE))))</f>
        <v/>
      </c>
      <c r="AA22" s="15"/>
      <c r="AB22" s="393">
        <v>0</v>
      </c>
      <c r="AC22" s="362">
        <v>2</v>
      </c>
      <c r="AD22" s="365"/>
      <c r="AE22" s="7" t="str">
        <f>IF(AD22="","",IF(I22=1,VLOOKUP(AD22,男子種目コード!$A$78:$B$80,2,FALSE),IF(I22=2,VLOOKUP(AD22,女子種目コード!$A$78:$B$80,2,FALSE))))</f>
        <v/>
      </c>
      <c r="AF22" s="364"/>
      <c r="AG22" s="362">
        <v>0</v>
      </c>
      <c r="AH22" s="362">
        <v>2</v>
      </c>
      <c r="AI22" s="363"/>
      <c r="AJ22" s="321" t="str">
        <f>IF(AI22="","",IF(I22=1,VLOOKUP(AI22,男子種目コード!$A$1:$B$29,2,FALSE),IF(I22=2,VLOOKUP(AI22,女子種目コード!$A$1:$B$30,2,FALSE))))</f>
        <v/>
      </c>
      <c r="AK22" s="58"/>
      <c r="AL22" s="345">
        <v>0</v>
      </c>
      <c r="AM22" s="345">
        <v>2</v>
      </c>
      <c r="AN22" s="6"/>
      <c r="AO22" s="6"/>
      <c r="AP22" s="4"/>
      <c r="AQ22" s="238" t="s">
        <v>142</v>
      </c>
      <c r="AR22" s="87" t="str">
        <f t="shared" si="1"/>
        <v/>
      </c>
      <c r="AS22" s="240">
        <f t="shared" si="2"/>
        <v>0</v>
      </c>
      <c r="AT22" s="240">
        <f t="shared" si="3"/>
        <v>0</v>
      </c>
      <c r="AU22" s="87" t="str">
        <f t="shared" si="4"/>
        <v/>
      </c>
      <c r="AV22" s="269" t="s">
        <v>137</v>
      </c>
      <c r="AW22" s="102">
        <f>COUNTIF($P$7:$P$56,16)+COUNTIF($U$7:$U$56,16)</f>
        <v>0</v>
      </c>
      <c r="AX22" s="146"/>
      <c r="AY22" s="146"/>
      <c r="BB22" s="238" t="s">
        <v>142</v>
      </c>
      <c r="BC22" s="238" t="s">
        <v>142</v>
      </c>
      <c r="BD22" s="238" t="s">
        <v>142</v>
      </c>
      <c r="BE22" s="238" t="s">
        <v>141</v>
      </c>
      <c r="BF22" s="146"/>
      <c r="BG22" s="4">
        <f t="shared" si="7"/>
        <v>0</v>
      </c>
      <c r="BH22" s="4" t="str">
        <f t="shared" si="5"/>
        <v/>
      </c>
      <c r="BI22" s="4" t="str">
        <f t="shared" si="6"/>
        <v/>
      </c>
      <c r="BJ22" s="694"/>
      <c r="BK22" s="694"/>
      <c r="BL22" s="694"/>
      <c r="BM22" s="694"/>
    </row>
    <row r="23" spans="2:65">
      <c r="B23" s="360" t="str">
        <f>名簿!Q25</f>
        <v/>
      </c>
      <c r="C23" s="389"/>
      <c r="D23" s="799" t="str">
        <f>名簿!D25</f>
        <v/>
      </c>
      <c r="E23" s="19">
        <f>名簿!E25</f>
        <v>0</v>
      </c>
      <c r="F23" s="205" t="str">
        <f>名簿!BN25</f>
        <v/>
      </c>
      <c r="G23" s="105" t="str">
        <f>名簿!Z25</f>
        <v/>
      </c>
      <c r="H23" s="122" t="str">
        <f t="shared" si="0"/>
        <v/>
      </c>
      <c r="I23" s="361" t="str">
        <f>名簿!O25</f>
        <v/>
      </c>
      <c r="J23" s="361">
        <f>名簿!I25</f>
        <v>0</v>
      </c>
      <c r="K23" s="361">
        <f>名簿!K25</f>
        <v>0</v>
      </c>
      <c r="L23" s="385" t="str">
        <f>名簿!BQ25</f>
        <v>00</v>
      </c>
      <c r="M23" s="383" t="str">
        <f>名簿!R25</f>
        <v/>
      </c>
      <c r="N23" s="388">
        <f>名簿!C25</f>
        <v>0</v>
      </c>
      <c r="O23" s="202"/>
      <c r="P23" s="187" t="str">
        <f>IF(O23="","",IF(I23=1,VLOOKUP(O23,男子種目コード!$A$1:$B$33,2,FALSE),IF(I23=2,VLOOKUP(O23,女子種目コード!$A$1:$B$28,2,FALSE))))</f>
        <v/>
      </c>
      <c r="Q23" s="397" t="str">
        <f>IF(O23="","",HLOOKUP(O23,名簿!$AB$8:$BG$58,18,FALSE))</f>
        <v/>
      </c>
      <c r="R23" s="393">
        <v>0</v>
      </c>
      <c r="S23" s="401">
        <v>2</v>
      </c>
      <c r="T23" s="195"/>
      <c r="U23" s="187" t="str">
        <f>IF(T23="","",IF(I23=1,VLOOKUP(T23,男子種目コード!$A$1:$B$33,2,FALSE),IF(I23=2,VLOOKUP(T23,女子種目コード!$A$1:$B$28,2,FALSE))))</f>
        <v/>
      </c>
      <c r="V23" s="397" t="str">
        <f>IF(T23="","",HLOOKUP(T23,名簿!$AB$8:$BG$58,18,FALSE))</f>
        <v/>
      </c>
      <c r="W23" s="393">
        <v>0</v>
      </c>
      <c r="X23" s="401">
        <v>2</v>
      </c>
      <c r="Y23" s="404"/>
      <c r="Z23" s="7" t="str">
        <f>IF(Y23="","",IF(I23=1,VLOOKUP(Y23,男子種目コード!$A$1:$B$29,2,FALSE),IF(I23=2,VLOOKUP(Y23,女子種目コード!$A$1:$B$30,2,FALSE))))</f>
        <v/>
      </c>
      <c r="AA23" s="15"/>
      <c r="AB23" s="393">
        <v>0</v>
      </c>
      <c r="AC23" s="362">
        <v>2</v>
      </c>
      <c r="AD23" s="365"/>
      <c r="AE23" s="7" t="str">
        <f>IF(AD23="","",IF(I23=1,VLOOKUP(AD23,男子種目コード!$A$78:$B$80,2,FALSE),IF(I23=2,VLOOKUP(AD23,女子種目コード!$A$78:$B$80,2,FALSE))))</f>
        <v/>
      </c>
      <c r="AF23" s="364"/>
      <c r="AG23" s="362">
        <v>0</v>
      </c>
      <c r="AH23" s="362">
        <v>2</v>
      </c>
      <c r="AI23" s="363"/>
      <c r="AJ23" s="321" t="str">
        <f>IF(AI23="","",IF(I23=1,VLOOKUP(AI23,男子種目コード!$A$1:$B$29,2,FALSE),IF(I23=2,VLOOKUP(AI23,女子種目コード!$A$1:$B$30,2,FALSE))))</f>
        <v/>
      </c>
      <c r="AK23" s="58"/>
      <c r="AL23" s="345">
        <v>0</v>
      </c>
      <c r="AM23" s="345">
        <v>2</v>
      </c>
      <c r="AN23" s="6"/>
      <c r="AO23" s="6"/>
      <c r="AP23" s="4"/>
      <c r="AQ23" s="238" t="s">
        <v>138</v>
      </c>
      <c r="AR23" s="87" t="str">
        <f t="shared" si="1"/>
        <v/>
      </c>
      <c r="AS23" s="240">
        <f t="shared" si="2"/>
        <v>0</v>
      </c>
      <c r="AT23" s="240">
        <f t="shared" si="3"/>
        <v>0</v>
      </c>
      <c r="AU23" s="87" t="str">
        <f t="shared" si="4"/>
        <v/>
      </c>
      <c r="AV23" s="269" t="s">
        <v>136</v>
      </c>
      <c r="AW23" s="102">
        <f>COUNTIF($P$7:$P$56,17)+COUNTIF($U$7:$U$56,17)</f>
        <v>0</v>
      </c>
      <c r="AX23" s="146"/>
      <c r="AY23" s="146"/>
      <c r="BB23" s="238" t="s">
        <v>181</v>
      </c>
      <c r="BC23" s="238" t="s">
        <v>138</v>
      </c>
      <c r="BD23" s="238" t="s">
        <v>181</v>
      </c>
      <c r="BE23" s="238" t="s">
        <v>142</v>
      </c>
      <c r="BF23" s="146"/>
      <c r="BG23" s="4">
        <f t="shared" si="7"/>
        <v>0</v>
      </c>
      <c r="BH23" s="4" t="str">
        <f t="shared" si="5"/>
        <v/>
      </c>
      <c r="BI23" s="4" t="str">
        <f t="shared" si="6"/>
        <v/>
      </c>
      <c r="BJ23" s="694"/>
      <c r="BK23" s="694"/>
      <c r="BL23" s="694"/>
      <c r="BM23" s="694"/>
    </row>
    <row r="24" spans="2:65">
      <c r="B24" s="360" t="str">
        <f>名簿!Q26</f>
        <v/>
      </c>
      <c r="C24" s="389"/>
      <c r="D24" s="799" t="str">
        <f>名簿!D26</f>
        <v/>
      </c>
      <c r="E24" s="19">
        <f>名簿!E26</f>
        <v>0</v>
      </c>
      <c r="F24" s="205" t="str">
        <f>名簿!BN26</f>
        <v/>
      </c>
      <c r="G24" s="105" t="str">
        <f>名簿!Z26</f>
        <v/>
      </c>
      <c r="H24" s="122" t="str">
        <f t="shared" si="0"/>
        <v/>
      </c>
      <c r="I24" s="361" t="str">
        <f>名簿!O26</f>
        <v/>
      </c>
      <c r="J24" s="361">
        <f>名簿!I26</f>
        <v>0</v>
      </c>
      <c r="K24" s="361">
        <f>名簿!K26</f>
        <v>0</v>
      </c>
      <c r="L24" s="385" t="str">
        <f>名簿!BQ26</f>
        <v>00</v>
      </c>
      <c r="M24" s="383" t="str">
        <f>名簿!R26</f>
        <v/>
      </c>
      <c r="N24" s="388">
        <f>名簿!C26</f>
        <v>0</v>
      </c>
      <c r="O24" s="202"/>
      <c r="P24" s="187" t="str">
        <f>IF(O24="","",IF(I24=1,VLOOKUP(O24,男子種目コード!$A$1:$B$33,2,FALSE),IF(I24=2,VLOOKUP(O24,女子種目コード!$A$1:$B$28,2,FALSE))))</f>
        <v/>
      </c>
      <c r="Q24" s="397" t="str">
        <f>IF(O24="","",HLOOKUP(O24,名簿!$AB$8:$BG$58,19,FALSE))</f>
        <v/>
      </c>
      <c r="R24" s="393">
        <v>0</v>
      </c>
      <c r="S24" s="401">
        <v>2</v>
      </c>
      <c r="T24" s="195"/>
      <c r="U24" s="187" t="str">
        <f>IF(T24="","",IF(I24=1,VLOOKUP(T24,男子種目コード!$A$1:$B$33,2,FALSE),IF(I24=2,VLOOKUP(T24,女子種目コード!$A$1:$B$28,2,FALSE))))</f>
        <v/>
      </c>
      <c r="V24" s="397" t="str">
        <f>IF(T24="","",HLOOKUP(T24,名簿!$AB$8:$BG$58,19,FALSE))</f>
        <v/>
      </c>
      <c r="W24" s="393">
        <v>0</v>
      </c>
      <c r="X24" s="401">
        <v>2</v>
      </c>
      <c r="Y24" s="404"/>
      <c r="Z24" s="7" t="str">
        <f>IF(Y24="","",IF(I24=1,VLOOKUP(Y24,男子種目コード!$A$1:$B$29,2,FALSE),IF(I24=2,VLOOKUP(Y24,女子種目コード!$A$1:$B$30,2,FALSE))))</f>
        <v/>
      </c>
      <c r="AA24" s="15"/>
      <c r="AB24" s="393">
        <v>0</v>
      </c>
      <c r="AC24" s="362">
        <v>2</v>
      </c>
      <c r="AD24" s="365"/>
      <c r="AE24" s="7" t="str">
        <f>IF(AD24="","",IF(I24=1,VLOOKUP(AD24,男子種目コード!$A$78:$B$80,2,FALSE),IF(I24=2,VLOOKUP(AD24,女子種目コード!$A$78:$B$80,2,FALSE))))</f>
        <v/>
      </c>
      <c r="AF24" s="364"/>
      <c r="AG24" s="362">
        <v>0</v>
      </c>
      <c r="AH24" s="362">
        <v>2</v>
      </c>
      <c r="AI24" s="363"/>
      <c r="AJ24" s="321" t="str">
        <f>IF(AI24="","",IF(I24=1,VLOOKUP(AI24,男子種目コード!$A$1:$B$29,2,FALSE),IF(I24=2,VLOOKUP(AI24,女子種目コード!$A$1:$B$30,2,FALSE))))</f>
        <v/>
      </c>
      <c r="AK24" s="58"/>
      <c r="AL24" s="345">
        <v>0</v>
      </c>
      <c r="AM24" s="345">
        <v>2</v>
      </c>
      <c r="AN24" s="6"/>
      <c r="AO24" s="6"/>
      <c r="AP24" s="4"/>
      <c r="AQ24" s="241" t="s">
        <v>140</v>
      </c>
      <c r="AR24" s="87" t="str">
        <f t="shared" si="1"/>
        <v/>
      </c>
      <c r="AS24" s="240">
        <f t="shared" si="2"/>
        <v>0</v>
      </c>
      <c r="AT24" s="240">
        <f t="shared" si="3"/>
        <v>0</v>
      </c>
      <c r="AU24" s="87" t="str">
        <f t="shared" si="4"/>
        <v/>
      </c>
      <c r="AV24" s="269" t="s">
        <v>141</v>
      </c>
      <c r="AW24" s="102">
        <f>COUNTIF($P$7:$P$56,18)+COUNTIF($U$7:$U$56,18)</f>
        <v>0</v>
      </c>
      <c r="AX24" s="146"/>
      <c r="AY24" s="146"/>
      <c r="BB24" s="238" t="s">
        <v>138</v>
      </c>
      <c r="BC24" s="238" t="s">
        <v>140</v>
      </c>
      <c r="BD24" s="66" t="s">
        <v>382</v>
      </c>
      <c r="BE24" s="238" t="s">
        <v>138</v>
      </c>
      <c r="BF24" s="146"/>
      <c r="BG24" s="4">
        <f t="shared" si="7"/>
        <v>0</v>
      </c>
      <c r="BH24" s="4" t="str">
        <f t="shared" si="5"/>
        <v/>
      </c>
      <c r="BI24" s="4" t="str">
        <f t="shared" si="6"/>
        <v/>
      </c>
      <c r="BJ24" s="694"/>
      <c r="BK24" s="694"/>
      <c r="BL24" s="694"/>
      <c r="BM24" s="694"/>
    </row>
    <row r="25" spans="2:65">
      <c r="B25" s="360" t="str">
        <f>名簿!Q27</f>
        <v/>
      </c>
      <c r="C25" s="389"/>
      <c r="D25" s="799" t="str">
        <f>名簿!D27</f>
        <v/>
      </c>
      <c r="E25" s="19">
        <f>名簿!E27</f>
        <v>0</v>
      </c>
      <c r="F25" s="205" t="str">
        <f>名簿!BN27</f>
        <v/>
      </c>
      <c r="G25" s="105" t="str">
        <f>名簿!Z27</f>
        <v/>
      </c>
      <c r="H25" s="122" t="str">
        <f t="shared" si="0"/>
        <v/>
      </c>
      <c r="I25" s="361" t="str">
        <f>名簿!O27</f>
        <v/>
      </c>
      <c r="J25" s="361">
        <f>名簿!I27</f>
        <v>0</v>
      </c>
      <c r="K25" s="361">
        <f>名簿!K27</f>
        <v>0</v>
      </c>
      <c r="L25" s="385" t="str">
        <f>名簿!BQ27</f>
        <v>00</v>
      </c>
      <c r="M25" s="383" t="str">
        <f>名簿!R27</f>
        <v/>
      </c>
      <c r="N25" s="388">
        <f>名簿!C27</f>
        <v>0</v>
      </c>
      <c r="O25" s="202"/>
      <c r="P25" s="187" t="str">
        <f>IF(O25="","",IF(I25=1,VLOOKUP(O25,男子種目コード!$A$1:$B$33,2,FALSE),IF(I25=2,VLOOKUP(O25,女子種目コード!$A$1:$B$28,2,FALSE))))</f>
        <v/>
      </c>
      <c r="Q25" s="397" t="str">
        <f>IF(O25="","",HLOOKUP(O25,名簿!$AB$8:$BG$58,20,FALSE))</f>
        <v/>
      </c>
      <c r="R25" s="393">
        <v>0</v>
      </c>
      <c r="S25" s="401">
        <v>2</v>
      </c>
      <c r="T25" s="195"/>
      <c r="U25" s="187" t="str">
        <f>IF(T25="","",IF(I25=1,VLOOKUP(T25,男子種目コード!$A$1:$B$33,2,FALSE),IF(I25=2,VLOOKUP(T25,女子種目コード!$A$1:$B$28,2,FALSE))))</f>
        <v/>
      </c>
      <c r="V25" s="397" t="str">
        <f>IF(T25="","",HLOOKUP(T25,名簿!$AB$8:$BG$58,20,FALSE))</f>
        <v/>
      </c>
      <c r="W25" s="393">
        <v>0</v>
      </c>
      <c r="X25" s="401">
        <v>2</v>
      </c>
      <c r="Y25" s="404"/>
      <c r="Z25" s="7" t="str">
        <f>IF(Y25="","",IF(I25=1,VLOOKUP(Y25,男子種目コード!$A$1:$B$29,2,FALSE),IF(I25=2,VLOOKUP(Y25,女子種目コード!$A$1:$B$30,2,FALSE))))</f>
        <v/>
      </c>
      <c r="AA25" s="15"/>
      <c r="AB25" s="393">
        <v>0</v>
      </c>
      <c r="AC25" s="362">
        <v>2</v>
      </c>
      <c r="AD25" s="365"/>
      <c r="AE25" s="7" t="str">
        <f>IF(AD25="","",IF(I25=1,VLOOKUP(AD25,男子種目コード!$A$78:$B$80,2,FALSE),IF(I25=2,VLOOKUP(AD25,女子種目コード!$A$78:$B$80,2,FALSE))))</f>
        <v/>
      </c>
      <c r="AF25" s="364"/>
      <c r="AG25" s="362">
        <v>0</v>
      </c>
      <c r="AH25" s="362">
        <v>2</v>
      </c>
      <c r="AI25" s="363"/>
      <c r="AJ25" s="321" t="str">
        <f>IF(AI25="","",IF(I25=1,VLOOKUP(AI25,男子種目コード!$A$1:$B$29,2,FALSE),IF(I25=2,VLOOKUP(AI25,女子種目コード!$A$1:$B$30,2,FALSE))))</f>
        <v/>
      </c>
      <c r="AK25" s="58"/>
      <c r="AL25" s="345">
        <v>0</v>
      </c>
      <c r="AM25" s="345">
        <v>2</v>
      </c>
      <c r="AN25" s="6"/>
      <c r="AO25" s="6"/>
      <c r="AP25" s="4"/>
      <c r="AQ25" s="241" t="s">
        <v>139</v>
      </c>
      <c r="AR25" s="87" t="str">
        <f t="shared" si="1"/>
        <v/>
      </c>
      <c r="AS25" s="240">
        <f t="shared" si="2"/>
        <v>0</v>
      </c>
      <c r="AT25" s="240">
        <f t="shared" si="3"/>
        <v>0</v>
      </c>
      <c r="AU25" s="87" t="str">
        <f t="shared" si="4"/>
        <v/>
      </c>
      <c r="AV25" s="269" t="s">
        <v>142</v>
      </c>
      <c r="AW25" s="102">
        <f>COUNTIF($P$7:$P$56,19)+COUNTIF($U$7:$U$56,19)</f>
        <v>0</v>
      </c>
      <c r="AX25" s="146"/>
      <c r="AY25" s="146"/>
      <c r="BB25" s="238" t="s">
        <v>182</v>
      </c>
      <c r="BC25" s="238" t="s">
        <v>139</v>
      </c>
      <c r="BD25" s="238" t="s">
        <v>138</v>
      </c>
      <c r="BE25" s="238" t="s">
        <v>140</v>
      </c>
      <c r="BF25" s="146"/>
      <c r="BG25" s="4">
        <f t="shared" si="7"/>
        <v>0</v>
      </c>
      <c r="BH25" s="4" t="str">
        <f t="shared" si="5"/>
        <v/>
      </c>
      <c r="BI25" s="4" t="str">
        <f t="shared" si="6"/>
        <v/>
      </c>
      <c r="BJ25" s="694"/>
      <c r="BK25" s="694"/>
      <c r="BL25" s="694"/>
      <c r="BM25" s="694"/>
    </row>
    <row r="26" spans="2:65">
      <c r="B26" s="360" t="str">
        <f>名簿!Q28</f>
        <v/>
      </c>
      <c r="C26" s="389"/>
      <c r="D26" s="799">
        <f>名簿!D28</f>
        <v>0</v>
      </c>
      <c r="E26" s="19">
        <f>名簿!E28</f>
        <v>0</v>
      </c>
      <c r="F26" s="205" t="str">
        <f>名簿!BN28</f>
        <v/>
      </c>
      <c r="G26" s="105" t="str">
        <f>名簿!Z28</f>
        <v/>
      </c>
      <c r="H26" s="122" t="str">
        <f t="shared" si="0"/>
        <v/>
      </c>
      <c r="I26" s="361" t="str">
        <f>名簿!O28</f>
        <v/>
      </c>
      <c r="J26" s="361">
        <f>名簿!I28</f>
        <v>0</v>
      </c>
      <c r="K26" s="361">
        <f>名簿!K28</f>
        <v>0</v>
      </c>
      <c r="L26" s="385" t="str">
        <f>名簿!BQ28</f>
        <v>00</v>
      </c>
      <c r="M26" s="383" t="str">
        <f>名簿!R28</f>
        <v/>
      </c>
      <c r="N26" s="388">
        <f>名簿!C28</f>
        <v>0</v>
      </c>
      <c r="O26" s="202"/>
      <c r="P26" s="187" t="str">
        <f>IF(O26="","",IF(I26=1,VLOOKUP(O26,男子種目コード!$A$1:$B$33,2,FALSE),IF(I26=2,VLOOKUP(O26,女子種目コード!$A$1:$B$28,2,FALSE))))</f>
        <v/>
      </c>
      <c r="Q26" s="397" t="str">
        <f>IF(O26="","",HLOOKUP(O26,名簿!$AB$8:$BG$58,21,FALSE))</f>
        <v/>
      </c>
      <c r="R26" s="393">
        <v>0</v>
      </c>
      <c r="S26" s="401">
        <v>2</v>
      </c>
      <c r="T26" s="195"/>
      <c r="U26" s="187" t="str">
        <f>IF(T26="","",IF(I26=1,VLOOKUP(T26,男子種目コード!$A$1:$B$33,2,FALSE),IF(I26=2,VLOOKUP(T26,女子種目コード!$A$1:$B$28,2,FALSE))))</f>
        <v/>
      </c>
      <c r="V26" s="397" t="str">
        <f>IF(T26="","",HLOOKUP(T26,名簿!$AB$8:$BG$58,21,FALSE))</f>
        <v/>
      </c>
      <c r="W26" s="393">
        <v>0</v>
      </c>
      <c r="X26" s="401">
        <v>2</v>
      </c>
      <c r="Y26" s="404"/>
      <c r="Z26" s="7" t="str">
        <f>IF(Y26="","",IF(I26=1,VLOOKUP(Y26,男子種目コード!$A$1:$B$29,2,FALSE),IF(I26=2,VLOOKUP(Y26,女子種目コード!$A$1:$B$30,2,FALSE))))</f>
        <v/>
      </c>
      <c r="AA26" s="15"/>
      <c r="AB26" s="393">
        <v>0</v>
      </c>
      <c r="AC26" s="362">
        <v>2</v>
      </c>
      <c r="AD26" s="365"/>
      <c r="AE26" s="7" t="str">
        <f>IF(AD26="","",IF(I26=1,VLOOKUP(AD26,男子種目コード!$A$78:$B$80,2,FALSE),IF(I26=2,VLOOKUP(AD26,女子種目コード!$A$78:$B$80,2,FALSE))))</f>
        <v/>
      </c>
      <c r="AF26" s="364"/>
      <c r="AG26" s="362">
        <v>0</v>
      </c>
      <c r="AH26" s="362">
        <v>2</v>
      </c>
      <c r="AI26" s="363"/>
      <c r="AJ26" s="321" t="str">
        <f>IF(AI26="","",IF(I26=1,VLOOKUP(AI26,男子種目コード!$A$1:$B$29,2,FALSE),IF(I26=2,VLOOKUP(AI26,女子種目コード!$A$1:$B$30,2,FALSE))))</f>
        <v/>
      </c>
      <c r="AK26" s="58"/>
      <c r="AL26" s="345">
        <v>0</v>
      </c>
      <c r="AM26" s="345">
        <v>2</v>
      </c>
      <c r="AN26" s="6"/>
      <c r="AO26" s="6"/>
      <c r="AP26" s="4"/>
      <c r="AQ26" s="238" t="s">
        <v>190</v>
      </c>
      <c r="AR26" s="87" t="str">
        <f t="shared" si="1"/>
        <v/>
      </c>
      <c r="AS26" s="240">
        <f t="shared" si="2"/>
        <v>0</v>
      </c>
      <c r="AT26" s="240">
        <f t="shared" si="3"/>
        <v>0</v>
      </c>
      <c r="AU26" s="87" t="str">
        <f t="shared" si="4"/>
        <v/>
      </c>
      <c r="AV26" s="269" t="s">
        <v>138</v>
      </c>
      <c r="AW26" s="102">
        <f>COUNTIF($P$7:$P$56,20)+COUNTIF($U$7:$U$56,20)</f>
        <v>0</v>
      </c>
      <c r="AX26" s="146"/>
      <c r="AY26" s="146"/>
      <c r="BB26" s="238" t="s">
        <v>140</v>
      </c>
      <c r="BC26" s="238"/>
      <c r="BD26" s="238" t="s">
        <v>182</v>
      </c>
      <c r="BE26" s="238" t="s">
        <v>139</v>
      </c>
      <c r="BF26" s="146"/>
      <c r="BG26" s="4">
        <f t="shared" si="7"/>
        <v>0</v>
      </c>
      <c r="BH26" s="4" t="str">
        <f t="shared" si="5"/>
        <v/>
      </c>
      <c r="BI26" s="4" t="str">
        <f t="shared" si="6"/>
        <v/>
      </c>
      <c r="BJ26" s="694"/>
      <c r="BK26" s="694"/>
      <c r="BL26" s="694"/>
      <c r="BM26" s="694"/>
    </row>
    <row r="27" spans="2:65">
      <c r="B27" s="360" t="str">
        <f>名簿!Q29</f>
        <v/>
      </c>
      <c r="C27" s="389"/>
      <c r="D27" s="799">
        <f>名簿!D29</f>
        <v>0</v>
      </c>
      <c r="E27" s="19">
        <f>名簿!E29</f>
        <v>0</v>
      </c>
      <c r="F27" s="205" t="str">
        <f>名簿!BN29</f>
        <v/>
      </c>
      <c r="G27" s="105" t="str">
        <f>名簿!Z29</f>
        <v/>
      </c>
      <c r="H27" s="122" t="str">
        <f t="shared" si="0"/>
        <v/>
      </c>
      <c r="I27" s="361" t="str">
        <f>名簿!O29</f>
        <v/>
      </c>
      <c r="J27" s="361">
        <f>名簿!I29</f>
        <v>0</v>
      </c>
      <c r="K27" s="361">
        <f>名簿!K29</f>
        <v>0</v>
      </c>
      <c r="L27" s="385" t="str">
        <f>名簿!BQ29</f>
        <v>00</v>
      </c>
      <c r="M27" s="383" t="str">
        <f>名簿!R29</f>
        <v/>
      </c>
      <c r="N27" s="388">
        <f>名簿!C29</f>
        <v>0</v>
      </c>
      <c r="O27" s="202"/>
      <c r="P27" s="187" t="str">
        <f>IF(O27="","",IF(I27=1,VLOOKUP(O27,男子種目コード!$A$1:$B$33,2,FALSE),IF(I27=2,VLOOKUP(O27,女子種目コード!$A$1:$B$28,2,FALSE))))</f>
        <v/>
      </c>
      <c r="Q27" s="397" t="str">
        <f>IF(O27="","",HLOOKUP(O27,名簿!$AB$8:$BG$58,22,FALSE))</f>
        <v/>
      </c>
      <c r="R27" s="393">
        <v>0</v>
      </c>
      <c r="S27" s="401">
        <v>2</v>
      </c>
      <c r="T27" s="195"/>
      <c r="U27" s="187" t="str">
        <f>IF(T27="","",IF(I27=1,VLOOKUP(T27,男子種目コード!$A$1:$B$33,2,FALSE),IF(I27=2,VLOOKUP(T27,女子種目コード!$A$1:$B$28,2,FALSE))))</f>
        <v/>
      </c>
      <c r="V27" s="397" t="str">
        <f>IF(T27="","",HLOOKUP(T27,名簿!$AB$8:$BG$58,22,FALSE))</f>
        <v/>
      </c>
      <c r="W27" s="393">
        <v>0</v>
      </c>
      <c r="X27" s="401">
        <v>2</v>
      </c>
      <c r="Y27" s="404"/>
      <c r="Z27" s="7" t="str">
        <f>IF(Y27="","",IF(I27=1,VLOOKUP(Y27,男子種目コード!$A$1:$B$29,2,FALSE),IF(I27=2,VLOOKUP(Y27,女子種目コード!$A$1:$B$30,2,FALSE))))</f>
        <v/>
      </c>
      <c r="AA27" s="15"/>
      <c r="AB27" s="393">
        <v>0</v>
      </c>
      <c r="AC27" s="362">
        <v>2</v>
      </c>
      <c r="AD27" s="365"/>
      <c r="AE27" s="7" t="str">
        <f>IF(AD27="","",IF(I27=1,VLOOKUP(AD27,男子種目コード!$A$78:$B$80,2,FALSE),IF(I27=2,VLOOKUP(AD27,女子種目コード!$A$78:$B$80,2,FALSE))))</f>
        <v/>
      </c>
      <c r="AF27" s="364"/>
      <c r="AG27" s="362">
        <v>0</v>
      </c>
      <c r="AH27" s="362">
        <v>2</v>
      </c>
      <c r="AI27" s="363"/>
      <c r="AJ27" s="321" t="str">
        <f>IF(AI27="","",IF(I27=1,VLOOKUP(AI27,男子種目コード!$A$1:$B$29,2,FALSE),IF(I27=2,VLOOKUP(AI27,女子種目コード!$A$1:$B$30,2,FALSE))))</f>
        <v/>
      </c>
      <c r="AK27" s="58"/>
      <c r="AL27" s="345">
        <v>0</v>
      </c>
      <c r="AM27" s="345">
        <v>2</v>
      </c>
      <c r="AN27" s="6"/>
      <c r="AO27" s="6"/>
      <c r="AP27" s="4"/>
      <c r="AQ27" s="238" t="s">
        <v>180</v>
      </c>
      <c r="AR27" s="87" t="str">
        <f t="shared" si="1"/>
        <v/>
      </c>
      <c r="AS27" s="240">
        <f t="shared" si="2"/>
        <v>0</v>
      </c>
      <c r="AT27" s="240">
        <f t="shared" si="3"/>
        <v>0</v>
      </c>
      <c r="AU27" s="87" t="str">
        <f t="shared" si="4"/>
        <v/>
      </c>
      <c r="AV27" s="269" t="s">
        <v>140</v>
      </c>
      <c r="AW27" s="102">
        <f>COUNTIF($P$7:$P$56,21)+COUNTIF($U$7:$U$56,21)</f>
        <v>0</v>
      </c>
      <c r="AX27" s="146"/>
      <c r="AY27" s="146"/>
      <c r="BB27" s="238" t="s">
        <v>183</v>
      </c>
      <c r="BC27" s="238"/>
      <c r="BD27" s="238" t="s">
        <v>140</v>
      </c>
      <c r="BE27" s="146"/>
      <c r="BF27" s="146"/>
      <c r="BG27" s="4">
        <f t="shared" si="7"/>
        <v>0</v>
      </c>
      <c r="BH27" s="4" t="str">
        <f t="shared" si="5"/>
        <v/>
      </c>
      <c r="BI27" s="4" t="str">
        <f t="shared" si="6"/>
        <v/>
      </c>
      <c r="BJ27" s="694"/>
      <c r="BK27" s="694"/>
      <c r="BL27" s="694"/>
      <c r="BM27" s="694"/>
    </row>
    <row r="28" spans="2:65">
      <c r="B28" s="360" t="str">
        <f>名簿!Q30</f>
        <v/>
      </c>
      <c r="C28" s="389"/>
      <c r="D28" s="799">
        <f>名簿!D30</f>
        <v>0</v>
      </c>
      <c r="E28" s="19">
        <f>名簿!E30</f>
        <v>0</v>
      </c>
      <c r="F28" s="205" t="str">
        <f>名簿!BN30</f>
        <v/>
      </c>
      <c r="G28" s="105" t="str">
        <f>名簿!Z30</f>
        <v/>
      </c>
      <c r="H28" s="122" t="str">
        <f t="shared" si="0"/>
        <v/>
      </c>
      <c r="I28" s="361" t="str">
        <f>名簿!O30</f>
        <v/>
      </c>
      <c r="J28" s="361">
        <f>名簿!I30</f>
        <v>0</v>
      </c>
      <c r="K28" s="361">
        <f>名簿!K30</f>
        <v>0</v>
      </c>
      <c r="L28" s="385" t="str">
        <f>名簿!BQ30</f>
        <v>00</v>
      </c>
      <c r="M28" s="383" t="str">
        <f>名簿!R30</f>
        <v/>
      </c>
      <c r="N28" s="388">
        <f>名簿!C30</f>
        <v>0</v>
      </c>
      <c r="O28" s="202"/>
      <c r="P28" s="187" t="str">
        <f>IF(O28="","",IF(I28=1,VLOOKUP(O28,男子種目コード!$A$1:$B$33,2,FALSE),IF(I28=2,VLOOKUP(O28,女子種目コード!$A$1:$B$28,2,FALSE))))</f>
        <v/>
      </c>
      <c r="Q28" s="397" t="str">
        <f>IF(O28="","",HLOOKUP(O28,名簿!$AB$8:$BG$58,23,FALSE))</f>
        <v/>
      </c>
      <c r="R28" s="393">
        <v>0</v>
      </c>
      <c r="S28" s="401">
        <v>2</v>
      </c>
      <c r="T28" s="195"/>
      <c r="U28" s="187" t="str">
        <f>IF(T28="","",IF(I28=1,VLOOKUP(T28,男子種目コード!$A$1:$B$33,2,FALSE),IF(I28=2,VLOOKUP(T28,女子種目コード!$A$1:$B$28,2,FALSE))))</f>
        <v/>
      </c>
      <c r="V28" s="397" t="str">
        <f>IF(T28="","",HLOOKUP(T28,名簿!$AB$8:$BG$58,23,FALSE))</f>
        <v/>
      </c>
      <c r="W28" s="393">
        <v>0</v>
      </c>
      <c r="X28" s="401">
        <v>2</v>
      </c>
      <c r="Y28" s="404"/>
      <c r="Z28" s="7" t="str">
        <f>IF(Y28="","",IF(I28=1,VLOOKUP(Y28,男子種目コード!$A$1:$B$29,2,FALSE),IF(I28=2,VLOOKUP(Y28,女子種目コード!$A$1:$B$30,2,FALSE))))</f>
        <v/>
      </c>
      <c r="AA28" s="15"/>
      <c r="AB28" s="393">
        <v>0</v>
      </c>
      <c r="AC28" s="362">
        <v>2</v>
      </c>
      <c r="AD28" s="365"/>
      <c r="AE28" s="7" t="str">
        <f>IF(AD28="","",IF(I28=1,VLOOKUP(AD28,男子種目コード!$A$78:$B$80,2,FALSE),IF(I28=2,VLOOKUP(AD28,女子種目コード!$A$78:$B$80,2,FALSE))))</f>
        <v/>
      </c>
      <c r="AF28" s="364"/>
      <c r="AG28" s="362">
        <v>0</v>
      </c>
      <c r="AH28" s="362">
        <v>2</v>
      </c>
      <c r="AI28" s="363"/>
      <c r="AJ28" s="321" t="str">
        <f>IF(AI28="","",IF(I28=1,VLOOKUP(AI28,男子種目コード!$A$1:$B$29,2,FALSE),IF(I28=2,VLOOKUP(AI28,女子種目コード!$A$1:$B$30,2,FALSE))))</f>
        <v/>
      </c>
      <c r="AK28" s="58"/>
      <c r="AL28" s="345">
        <v>0</v>
      </c>
      <c r="AM28" s="345">
        <v>2</v>
      </c>
      <c r="AN28" s="6"/>
      <c r="AO28" s="6"/>
      <c r="AP28" s="4"/>
      <c r="AQ28" s="238" t="s">
        <v>181</v>
      </c>
      <c r="AR28" s="87" t="str">
        <f t="shared" si="1"/>
        <v/>
      </c>
      <c r="AS28" s="240">
        <f t="shared" si="2"/>
        <v>0</v>
      </c>
      <c r="AT28" s="240">
        <f t="shared" si="3"/>
        <v>0</v>
      </c>
      <c r="AU28" s="87" t="str">
        <f t="shared" si="4"/>
        <v/>
      </c>
      <c r="AV28" s="269" t="s">
        <v>139</v>
      </c>
      <c r="AW28" s="102">
        <f>COUNTIF($P$7:$P$56,22)+COUNTIF($U$7:$U$56,22)</f>
        <v>0</v>
      </c>
      <c r="AX28" s="146"/>
      <c r="AY28" s="146"/>
      <c r="BB28" s="238" t="s">
        <v>139</v>
      </c>
      <c r="BC28" s="238"/>
      <c r="BD28" s="238" t="s">
        <v>183</v>
      </c>
      <c r="BE28" s="146"/>
      <c r="BF28" s="146"/>
      <c r="BG28" s="4">
        <f t="shared" si="7"/>
        <v>0</v>
      </c>
      <c r="BH28" s="4" t="str">
        <f t="shared" si="5"/>
        <v/>
      </c>
      <c r="BI28" s="4" t="str">
        <f t="shared" si="6"/>
        <v/>
      </c>
      <c r="BJ28" s="694"/>
      <c r="BK28" s="694"/>
      <c r="BL28" s="694"/>
      <c r="BM28" s="694"/>
    </row>
    <row r="29" spans="2:65">
      <c r="B29" s="360" t="str">
        <f>名簿!Q31</f>
        <v/>
      </c>
      <c r="C29" s="389"/>
      <c r="D29" s="799">
        <f>名簿!D31</f>
        <v>0</v>
      </c>
      <c r="E29" s="19">
        <f>名簿!E31</f>
        <v>0</v>
      </c>
      <c r="F29" s="205" t="str">
        <f>名簿!BN31</f>
        <v/>
      </c>
      <c r="G29" s="105" t="str">
        <f>名簿!Z31</f>
        <v/>
      </c>
      <c r="H29" s="122" t="str">
        <f t="shared" si="0"/>
        <v/>
      </c>
      <c r="I29" s="361" t="str">
        <f>名簿!O31</f>
        <v/>
      </c>
      <c r="J29" s="361">
        <f>名簿!I31</f>
        <v>0</v>
      </c>
      <c r="K29" s="361">
        <f>名簿!K31</f>
        <v>0</v>
      </c>
      <c r="L29" s="385" t="str">
        <f>名簿!BQ31</f>
        <v>00</v>
      </c>
      <c r="M29" s="383" t="str">
        <f>名簿!R31</f>
        <v/>
      </c>
      <c r="N29" s="388">
        <f>名簿!C31</f>
        <v>0</v>
      </c>
      <c r="O29" s="202"/>
      <c r="P29" s="187" t="str">
        <f>IF(O29="","",IF(I29=1,VLOOKUP(O29,男子種目コード!$A$1:$B$33,2,FALSE),IF(I29=2,VLOOKUP(O29,女子種目コード!$A$1:$B$28,2,FALSE))))</f>
        <v/>
      </c>
      <c r="Q29" s="397" t="str">
        <f>IF(O29="","",HLOOKUP(O29,名簿!$AB$8:$BG$58,24,FALSE))</f>
        <v/>
      </c>
      <c r="R29" s="393">
        <v>0</v>
      </c>
      <c r="S29" s="401">
        <v>2</v>
      </c>
      <c r="T29" s="195"/>
      <c r="U29" s="187" t="str">
        <f>IF(T29="","",IF(I29=1,VLOOKUP(T29,男子種目コード!$A$1:$B$33,2,FALSE),IF(I29=2,VLOOKUP(T29,女子種目コード!$A$1:$B$28,2,FALSE))))</f>
        <v/>
      </c>
      <c r="V29" s="397" t="str">
        <f>IF(T29="","",HLOOKUP(T29,名簿!$AB$8:$BG$58,24,FALSE))</f>
        <v/>
      </c>
      <c r="W29" s="393">
        <v>0</v>
      </c>
      <c r="X29" s="401">
        <v>2</v>
      </c>
      <c r="Y29" s="404"/>
      <c r="Z29" s="7" t="str">
        <f>IF(Y29="","",IF(I29=1,VLOOKUP(Y29,男子種目コード!$A$1:$B$29,2,FALSE),IF(I29=2,VLOOKUP(Y29,女子種目コード!$A$1:$B$30,2,FALSE))))</f>
        <v/>
      </c>
      <c r="AA29" s="15"/>
      <c r="AB29" s="393">
        <v>0</v>
      </c>
      <c r="AC29" s="362">
        <v>2</v>
      </c>
      <c r="AD29" s="365"/>
      <c r="AE29" s="7" t="str">
        <f>IF(AD29="","",IF(I29=1,VLOOKUP(AD29,男子種目コード!$A$78:$B$80,2,FALSE),IF(I29=2,VLOOKUP(AD29,女子種目コード!$A$78:$B$80,2,FALSE))))</f>
        <v/>
      </c>
      <c r="AF29" s="364"/>
      <c r="AG29" s="362">
        <v>0</v>
      </c>
      <c r="AH29" s="362">
        <v>2</v>
      </c>
      <c r="AI29" s="363"/>
      <c r="AJ29" s="321" t="str">
        <f>IF(AI29="","",IF(I29=1,VLOOKUP(AI29,男子種目コード!$A$1:$B$29,2,FALSE),IF(I29=2,VLOOKUP(AI29,女子種目コード!$A$1:$B$30,2,FALSE))))</f>
        <v/>
      </c>
      <c r="AK29" s="58"/>
      <c r="AL29" s="345">
        <v>0</v>
      </c>
      <c r="AM29" s="345">
        <v>2</v>
      </c>
      <c r="AN29" s="6"/>
      <c r="AO29" s="6"/>
      <c r="AP29" s="4"/>
      <c r="AQ29" s="238" t="s">
        <v>182</v>
      </c>
      <c r="AR29" s="87" t="str">
        <f t="shared" si="1"/>
        <v/>
      </c>
      <c r="AS29" s="240">
        <f t="shared" si="2"/>
        <v>0</v>
      </c>
      <c r="AT29" s="240">
        <f t="shared" si="3"/>
        <v>0</v>
      </c>
      <c r="AU29" s="87" t="str">
        <f t="shared" si="4"/>
        <v/>
      </c>
      <c r="AV29" s="269" t="s">
        <v>181</v>
      </c>
      <c r="AW29" s="102">
        <f>COUNTIF($P$7:$P$56,25)+COUNTIF($U$7:$U$56,25)</f>
        <v>0</v>
      </c>
      <c r="AX29" s="146"/>
      <c r="AY29" s="146"/>
      <c r="BB29" s="238"/>
      <c r="BC29" s="238"/>
      <c r="BD29" s="238" t="s">
        <v>139</v>
      </c>
      <c r="BE29" s="146"/>
      <c r="BF29" s="146"/>
      <c r="BG29" s="4">
        <f t="shared" si="7"/>
        <v>0</v>
      </c>
      <c r="BH29" s="4" t="str">
        <f t="shared" si="5"/>
        <v/>
      </c>
      <c r="BI29" s="4" t="str">
        <f t="shared" si="6"/>
        <v/>
      </c>
      <c r="BJ29" s="694"/>
      <c r="BK29" s="694"/>
      <c r="BL29" s="694"/>
      <c r="BM29" s="694"/>
    </row>
    <row r="30" spans="2:65">
      <c r="B30" s="360" t="str">
        <f>名簿!Q32</f>
        <v/>
      </c>
      <c r="C30" s="389"/>
      <c r="D30" s="799">
        <f>名簿!D32</f>
        <v>0</v>
      </c>
      <c r="E30" s="19">
        <f>名簿!E32</f>
        <v>0</v>
      </c>
      <c r="F30" s="205" t="str">
        <f>名簿!BN32</f>
        <v/>
      </c>
      <c r="G30" s="105" t="str">
        <f>名簿!Z32</f>
        <v/>
      </c>
      <c r="H30" s="122" t="str">
        <f t="shared" si="0"/>
        <v/>
      </c>
      <c r="I30" s="361" t="str">
        <f>名簿!O32</f>
        <v/>
      </c>
      <c r="J30" s="361">
        <f>名簿!I32</f>
        <v>0</v>
      </c>
      <c r="K30" s="361">
        <f>名簿!K32</f>
        <v>0</v>
      </c>
      <c r="L30" s="385" t="str">
        <f>名簿!BQ32</f>
        <v>00</v>
      </c>
      <c r="M30" s="383" t="str">
        <f>名簿!R32</f>
        <v/>
      </c>
      <c r="N30" s="388">
        <f>名簿!C32</f>
        <v>0</v>
      </c>
      <c r="O30" s="202"/>
      <c r="P30" s="187" t="str">
        <f>IF(O30="","",IF(I30=1,VLOOKUP(O30,男子種目コード!$A$1:$B$33,2,FALSE),IF(I30=2,VLOOKUP(O30,女子種目コード!$A$1:$B$28,2,FALSE))))</f>
        <v/>
      </c>
      <c r="Q30" s="397" t="str">
        <f>IF(O30="","",HLOOKUP(O30,名簿!$AB$8:$BG$58,25,FALSE))</f>
        <v/>
      </c>
      <c r="R30" s="393">
        <v>0</v>
      </c>
      <c r="S30" s="401">
        <v>2</v>
      </c>
      <c r="T30" s="195"/>
      <c r="U30" s="187" t="str">
        <f>IF(T30="","",IF(I30=1,VLOOKUP(T30,男子種目コード!$A$1:$B$33,2,FALSE),IF(I30=2,VLOOKUP(T30,女子種目コード!$A$1:$B$28,2,FALSE))))</f>
        <v/>
      </c>
      <c r="V30" s="397" t="str">
        <f>IF(T30="","",HLOOKUP(T30,名簿!$AB$8:$BG$58,25,FALSE))</f>
        <v/>
      </c>
      <c r="W30" s="393">
        <v>0</v>
      </c>
      <c r="X30" s="401">
        <v>2</v>
      </c>
      <c r="Y30" s="404"/>
      <c r="Z30" s="7" t="str">
        <f>IF(Y30="","",IF(I30=1,VLOOKUP(Y30,男子種目コード!$A$1:$B$29,2,FALSE),IF(I30=2,VLOOKUP(Y30,女子種目コード!$A$1:$B$30,2,FALSE))))</f>
        <v/>
      </c>
      <c r="AA30" s="15"/>
      <c r="AB30" s="393">
        <v>0</v>
      </c>
      <c r="AC30" s="362">
        <v>2</v>
      </c>
      <c r="AD30" s="365"/>
      <c r="AE30" s="7" t="str">
        <f>IF(AD30="","",IF(I30=1,VLOOKUP(AD30,男子種目コード!$A$78:$B$80,2,FALSE),IF(I30=2,VLOOKUP(AD30,女子種目コード!$A$78:$B$80,2,FALSE))))</f>
        <v/>
      </c>
      <c r="AF30" s="364"/>
      <c r="AG30" s="362">
        <v>0</v>
      </c>
      <c r="AH30" s="362">
        <v>2</v>
      </c>
      <c r="AI30" s="363"/>
      <c r="AJ30" s="321" t="str">
        <f>IF(AI30="","",IF(I30=1,VLOOKUP(AI30,男子種目コード!$A$1:$B$29,2,FALSE),IF(I30=2,VLOOKUP(AI30,女子種目コード!$A$1:$B$30,2,FALSE))))</f>
        <v/>
      </c>
      <c r="AK30" s="58"/>
      <c r="AL30" s="345">
        <v>0</v>
      </c>
      <c r="AM30" s="345">
        <v>2</v>
      </c>
      <c r="AN30" s="6"/>
      <c r="AO30" s="6"/>
      <c r="AP30" s="4"/>
      <c r="AQ30" s="238" t="s">
        <v>183</v>
      </c>
      <c r="AR30" s="87" t="str">
        <f t="shared" si="1"/>
        <v/>
      </c>
      <c r="AS30" s="240">
        <f t="shared" si="2"/>
        <v>0</v>
      </c>
      <c r="AT30" s="240">
        <f t="shared" si="3"/>
        <v>0</v>
      </c>
      <c r="AU30" s="87" t="str">
        <f t="shared" si="4"/>
        <v/>
      </c>
      <c r="AV30" s="269" t="s">
        <v>270</v>
      </c>
      <c r="AW30" s="102">
        <f>COUNTIF($P$7:$P$56,26)+COUNTIF($U$7:$U$56,26)</f>
        <v>0</v>
      </c>
      <c r="AX30" s="146"/>
      <c r="AY30" s="146"/>
      <c r="BB30" s="99"/>
      <c r="BC30" s="99"/>
      <c r="BD30" s="238"/>
      <c r="BE30" s="146"/>
      <c r="BF30" s="146"/>
      <c r="BG30" s="4">
        <f t="shared" si="7"/>
        <v>0</v>
      </c>
      <c r="BH30" s="4" t="str">
        <f t="shared" si="5"/>
        <v/>
      </c>
      <c r="BI30" s="4" t="str">
        <f t="shared" si="6"/>
        <v/>
      </c>
      <c r="BJ30" s="694"/>
      <c r="BK30" s="694"/>
      <c r="BL30" s="694"/>
      <c r="BM30" s="694"/>
    </row>
    <row r="31" spans="2:65">
      <c r="B31" s="360" t="str">
        <f>名簿!Q33</f>
        <v/>
      </c>
      <c r="C31" s="389"/>
      <c r="D31" s="799">
        <f>名簿!D33</f>
        <v>0</v>
      </c>
      <c r="E31" s="19">
        <f>名簿!E33</f>
        <v>0</v>
      </c>
      <c r="F31" s="205" t="str">
        <f>名簿!BN33</f>
        <v/>
      </c>
      <c r="G31" s="105" t="str">
        <f>名簿!Z33</f>
        <v/>
      </c>
      <c r="H31" s="122" t="str">
        <f t="shared" si="0"/>
        <v/>
      </c>
      <c r="I31" s="361" t="str">
        <f>名簿!O33</f>
        <v/>
      </c>
      <c r="J31" s="361">
        <f>名簿!I33</f>
        <v>0</v>
      </c>
      <c r="K31" s="361">
        <f>名簿!K33</f>
        <v>0</v>
      </c>
      <c r="L31" s="385" t="str">
        <f>名簿!BQ33</f>
        <v>00</v>
      </c>
      <c r="M31" s="383" t="str">
        <f>名簿!R33</f>
        <v/>
      </c>
      <c r="N31" s="388">
        <f>名簿!C33</f>
        <v>0</v>
      </c>
      <c r="O31" s="202"/>
      <c r="P31" s="187" t="str">
        <f>IF(O31="","",IF(I31=1,VLOOKUP(O31,男子種目コード!$A$1:$B$33,2,FALSE),IF(I31=2,VLOOKUP(O31,女子種目コード!$A$1:$B$28,2,FALSE))))</f>
        <v/>
      </c>
      <c r="Q31" s="397" t="str">
        <f>IF(O31="","",HLOOKUP(O31,名簿!$AB$8:$BG$58,26,FALSE))</f>
        <v/>
      </c>
      <c r="R31" s="393">
        <v>0</v>
      </c>
      <c r="S31" s="401">
        <v>2</v>
      </c>
      <c r="T31" s="195"/>
      <c r="U31" s="187" t="str">
        <f>IF(T31="","",IF(I31=1,VLOOKUP(T31,男子種目コード!$A$1:$B$33,2,FALSE),IF(I31=2,VLOOKUP(T31,女子種目コード!$A$1:$B$28,2,FALSE))))</f>
        <v/>
      </c>
      <c r="V31" s="397" t="str">
        <f>IF(T31="","",HLOOKUP(T31,名簿!$AB$8:$BG$58,26,FALSE))</f>
        <v/>
      </c>
      <c r="W31" s="393">
        <v>0</v>
      </c>
      <c r="X31" s="401">
        <v>2</v>
      </c>
      <c r="Y31" s="404"/>
      <c r="Z31" s="7" t="str">
        <f>IF(Y31="","",IF(I31=1,VLOOKUP(Y31,男子種目コード!$A$1:$B$29,2,FALSE),IF(I31=2,VLOOKUP(Y31,女子種目コード!$A$1:$B$30,2,FALSE))))</f>
        <v/>
      </c>
      <c r="AA31" s="15"/>
      <c r="AB31" s="393">
        <v>0</v>
      </c>
      <c r="AC31" s="362">
        <v>2</v>
      </c>
      <c r="AD31" s="365"/>
      <c r="AE31" s="7" t="str">
        <f>IF(AD31="","",IF(I31=1,VLOOKUP(AD31,男子種目コード!$A$78:$B$80,2,FALSE),IF(I31=2,VLOOKUP(AD31,女子種目コード!$A$78:$B$80,2,FALSE))))</f>
        <v/>
      </c>
      <c r="AF31" s="364"/>
      <c r="AG31" s="362">
        <v>0</v>
      </c>
      <c r="AH31" s="362">
        <v>2</v>
      </c>
      <c r="AI31" s="363"/>
      <c r="AJ31" s="321" t="str">
        <f>IF(AI31="","",IF(I31=1,VLOOKUP(AI31,男子種目コード!$A$1:$B$29,2,FALSE),IF(I31=2,VLOOKUP(AI31,女子種目コード!$A$1:$B$30,2,FALSE))))</f>
        <v/>
      </c>
      <c r="AK31" s="58"/>
      <c r="AL31" s="345">
        <v>0</v>
      </c>
      <c r="AM31" s="345">
        <v>2</v>
      </c>
      <c r="AN31" s="6"/>
      <c r="AO31" s="6"/>
      <c r="AP31" s="4"/>
      <c r="AQ31" s="238" t="s">
        <v>210</v>
      </c>
      <c r="AR31" s="87" t="str">
        <f t="shared" si="1"/>
        <v/>
      </c>
      <c r="AS31" s="240">
        <f t="shared" si="2"/>
        <v>0</v>
      </c>
      <c r="AT31" s="240">
        <f t="shared" si="3"/>
        <v>0</v>
      </c>
      <c r="AU31" s="87" t="str">
        <f t="shared" si="4"/>
        <v/>
      </c>
      <c r="AV31" s="269"/>
      <c r="AW31" s="102">
        <f>COUNTIF($P$7:$P$56,29)+COUNTIF($U$7:$U$56,29)</f>
        <v>0</v>
      </c>
      <c r="AX31" s="146"/>
      <c r="AY31" s="146"/>
      <c r="BB31" s="99"/>
      <c r="BC31" s="99"/>
      <c r="BD31" s="146"/>
      <c r="BE31" s="146"/>
      <c r="BF31" s="146"/>
      <c r="BG31" s="4">
        <f t="shared" si="7"/>
        <v>0</v>
      </c>
      <c r="BH31" s="4" t="str">
        <f t="shared" si="5"/>
        <v/>
      </c>
      <c r="BI31" s="4" t="str">
        <f t="shared" si="6"/>
        <v/>
      </c>
      <c r="BJ31" s="694"/>
      <c r="BK31" s="694"/>
      <c r="BL31" s="694"/>
      <c r="BM31" s="694"/>
    </row>
    <row r="32" spans="2:65">
      <c r="B32" s="360" t="str">
        <f>名簿!Q34</f>
        <v/>
      </c>
      <c r="C32" s="389"/>
      <c r="D32" s="799">
        <f>名簿!D34</f>
        <v>0</v>
      </c>
      <c r="E32" s="19">
        <f>名簿!E34</f>
        <v>0</v>
      </c>
      <c r="F32" s="205" t="str">
        <f>名簿!BN34</f>
        <v/>
      </c>
      <c r="G32" s="105" t="str">
        <f>名簿!Z34</f>
        <v/>
      </c>
      <c r="H32" s="122" t="str">
        <f t="shared" si="0"/>
        <v/>
      </c>
      <c r="I32" s="361" t="str">
        <f>名簿!O34</f>
        <v/>
      </c>
      <c r="J32" s="361">
        <f>名簿!I34</f>
        <v>0</v>
      </c>
      <c r="K32" s="361">
        <f>名簿!K34</f>
        <v>0</v>
      </c>
      <c r="L32" s="385" t="str">
        <f>名簿!BQ34</f>
        <v>00</v>
      </c>
      <c r="M32" s="383" t="str">
        <f>名簿!R34</f>
        <v/>
      </c>
      <c r="N32" s="388">
        <f>名簿!C34</f>
        <v>0</v>
      </c>
      <c r="O32" s="202"/>
      <c r="P32" s="187" t="str">
        <f>IF(O32="","",IF(I32=1,VLOOKUP(O32,男子種目コード!$A$1:$B$33,2,FALSE),IF(I32=2,VLOOKUP(O32,女子種目コード!$A$1:$B$28,2,FALSE))))</f>
        <v/>
      </c>
      <c r="Q32" s="397" t="str">
        <f>IF(O32="","",HLOOKUP(O32,名簿!$AB$8:$BG$58,27,FALSE))</f>
        <v/>
      </c>
      <c r="R32" s="393">
        <v>0</v>
      </c>
      <c r="S32" s="401">
        <v>2</v>
      </c>
      <c r="T32" s="195"/>
      <c r="U32" s="187" t="str">
        <f>IF(T32="","",IF(I32=1,VLOOKUP(T32,男子種目コード!$A$1:$B$33,2,FALSE),IF(I32=2,VLOOKUP(T32,女子種目コード!$A$1:$B$28,2,FALSE))))</f>
        <v/>
      </c>
      <c r="V32" s="397" t="str">
        <f>IF(T32="","",HLOOKUP(T32,名簿!$AB$8:$BG$58,27,FALSE))</f>
        <v/>
      </c>
      <c r="W32" s="393">
        <v>0</v>
      </c>
      <c r="X32" s="401">
        <v>2</v>
      </c>
      <c r="Y32" s="404"/>
      <c r="Z32" s="7" t="str">
        <f>IF(Y32="","",IF(I32=1,VLOOKUP(Y32,男子種目コード!$A$1:$B$29,2,FALSE),IF(I32=2,VLOOKUP(Y32,女子種目コード!$A$1:$B$30,2,FALSE))))</f>
        <v/>
      </c>
      <c r="AA32" s="15"/>
      <c r="AB32" s="393">
        <v>0</v>
      </c>
      <c r="AC32" s="362">
        <v>2</v>
      </c>
      <c r="AD32" s="365"/>
      <c r="AE32" s="7" t="str">
        <f>IF(AD32="","",IF(I32=1,VLOOKUP(AD32,男子種目コード!$A$78:$B$80,2,FALSE),IF(I32=2,VLOOKUP(AD32,女子種目コード!$A$78:$B$80,2,FALSE))))</f>
        <v/>
      </c>
      <c r="AF32" s="364"/>
      <c r="AG32" s="362">
        <v>0</v>
      </c>
      <c r="AH32" s="362">
        <v>2</v>
      </c>
      <c r="AI32" s="363"/>
      <c r="AJ32" s="321" t="str">
        <f>IF(AI32="","",IF(I32=1,VLOOKUP(AI32,男子種目コード!$A$1:$B$29,2,FALSE),IF(I32=2,VLOOKUP(AI32,女子種目コード!$A$1:$B$30,2,FALSE))))</f>
        <v/>
      </c>
      <c r="AK32" s="58"/>
      <c r="AL32" s="345">
        <v>0</v>
      </c>
      <c r="AM32" s="345">
        <v>2</v>
      </c>
      <c r="AN32" s="6"/>
      <c r="AO32" s="6"/>
      <c r="AP32" s="4"/>
      <c r="AQ32" s="73" t="s">
        <v>211</v>
      </c>
      <c r="AR32" s="87" t="str">
        <f t="shared" si="1"/>
        <v/>
      </c>
      <c r="AS32" s="240">
        <f t="shared" si="2"/>
        <v>0</v>
      </c>
      <c r="AT32" s="240">
        <f t="shared" si="3"/>
        <v>0</v>
      </c>
      <c r="AU32" s="87" t="str">
        <f t="shared" si="4"/>
        <v/>
      </c>
      <c r="AV32" s="270" t="s">
        <v>271</v>
      </c>
      <c r="AW32" s="130">
        <f>COUNTIF($P$7:$P$56,27)+COUNTIF($U$7:$U$56,27)</f>
        <v>0</v>
      </c>
      <c r="AX32" s="146"/>
      <c r="AY32" s="146"/>
      <c r="BB32" s="99"/>
      <c r="BC32" s="99"/>
      <c r="BD32" s="146"/>
      <c r="BE32" s="146"/>
      <c r="BF32" s="146"/>
      <c r="BG32" s="4">
        <f t="shared" si="7"/>
        <v>0</v>
      </c>
      <c r="BH32" s="4" t="str">
        <f t="shared" si="5"/>
        <v/>
      </c>
      <c r="BI32" s="4" t="str">
        <f t="shared" si="6"/>
        <v/>
      </c>
      <c r="BJ32" s="694"/>
      <c r="BK32" s="694"/>
      <c r="BL32" s="694"/>
      <c r="BM32" s="694"/>
    </row>
    <row r="33" spans="2:65" ht="14.25" thickBot="1">
      <c r="B33" s="360" t="str">
        <f>名簿!Q35</f>
        <v/>
      </c>
      <c r="C33" s="389"/>
      <c r="D33" s="799">
        <f>名簿!D35</f>
        <v>0</v>
      </c>
      <c r="E33" s="19">
        <f>名簿!E35</f>
        <v>0</v>
      </c>
      <c r="F33" s="205" t="str">
        <f>名簿!BN35</f>
        <v/>
      </c>
      <c r="G33" s="105" t="str">
        <f>名簿!Z35</f>
        <v/>
      </c>
      <c r="H33" s="122" t="str">
        <f t="shared" si="0"/>
        <v/>
      </c>
      <c r="I33" s="361" t="str">
        <f>名簿!O35</f>
        <v/>
      </c>
      <c r="J33" s="361">
        <f>名簿!I35</f>
        <v>0</v>
      </c>
      <c r="K33" s="361">
        <f>名簿!K35</f>
        <v>0</v>
      </c>
      <c r="L33" s="385" t="str">
        <f>名簿!BQ35</f>
        <v>00</v>
      </c>
      <c r="M33" s="383" t="str">
        <f>名簿!R35</f>
        <v/>
      </c>
      <c r="N33" s="388">
        <f>名簿!C35</f>
        <v>0</v>
      </c>
      <c r="O33" s="202"/>
      <c r="P33" s="187" t="str">
        <f>IF(O33="","",IF(I33=1,VLOOKUP(O33,男子種目コード!$A$1:$B$33,2,FALSE),IF(I33=2,VLOOKUP(O33,女子種目コード!$A$1:$B$28,2,FALSE))))</f>
        <v/>
      </c>
      <c r="Q33" s="397" t="str">
        <f>IF(O33="","",HLOOKUP(O33,名簿!$AB$8:$BG$58,28,FALSE))</f>
        <v/>
      </c>
      <c r="R33" s="393">
        <v>0</v>
      </c>
      <c r="S33" s="401">
        <v>2</v>
      </c>
      <c r="T33" s="195"/>
      <c r="U33" s="187" t="str">
        <f>IF(T33="","",IF(I33=1,VLOOKUP(T33,男子種目コード!$A$1:$B$33,2,FALSE),IF(I33=2,VLOOKUP(T33,女子種目コード!$A$1:$B$28,2,FALSE))))</f>
        <v/>
      </c>
      <c r="V33" s="397" t="str">
        <f>IF(T33="","",HLOOKUP(T33,名簿!$AB$8:$BG$58,28,FALSE))</f>
        <v/>
      </c>
      <c r="W33" s="393">
        <v>0</v>
      </c>
      <c r="X33" s="401">
        <v>2</v>
      </c>
      <c r="Y33" s="404"/>
      <c r="Z33" s="7" t="str">
        <f>IF(Y33="","",IF(I33=1,VLOOKUP(Y33,男子種目コード!$A$1:$B$29,2,FALSE),IF(I33=2,VLOOKUP(Y33,女子種目コード!$A$1:$B$30,2,FALSE))))</f>
        <v/>
      </c>
      <c r="AA33" s="15"/>
      <c r="AB33" s="393">
        <v>0</v>
      </c>
      <c r="AC33" s="362">
        <v>2</v>
      </c>
      <c r="AD33" s="365"/>
      <c r="AE33" s="7" t="str">
        <f>IF(AD33="","",IF(I33=1,VLOOKUP(AD33,男子種目コード!$A$78:$B$80,2,FALSE),IF(I33=2,VLOOKUP(AD33,女子種目コード!$A$78:$B$80,2,FALSE))))</f>
        <v/>
      </c>
      <c r="AF33" s="364"/>
      <c r="AG33" s="362">
        <v>0</v>
      </c>
      <c r="AH33" s="362">
        <v>2</v>
      </c>
      <c r="AI33" s="363"/>
      <c r="AJ33" s="321" t="str">
        <f>IF(AI33="","",IF(I33=1,VLOOKUP(AI33,男子種目コード!$A$1:$B$29,2,FALSE),IF(I33=2,VLOOKUP(AI33,女子種目コード!$A$1:$B$30,2,FALSE))))</f>
        <v/>
      </c>
      <c r="AK33" s="58"/>
      <c r="AL33" s="345">
        <v>0</v>
      </c>
      <c r="AM33" s="345">
        <v>2</v>
      </c>
      <c r="AN33" s="6"/>
      <c r="AO33" s="6"/>
      <c r="AP33" s="4"/>
      <c r="AQ33" s="99" t="s">
        <v>212</v>
      </c>
      <c r="AR33" s="87" t="str">
        <f t="shared" si="1"/>
        <v/>
      </c>
      <c r="AS33" s="240">
        <f t="shared" si="2"/>
        <v>0</v>
      </c>
      <c r="AT33" s="240">
        <f t="shared" si="3"/>
        <v>0</v>
      </c>
      <c r="AU33" s="87" t="str">
        <f t="shared" si="4"/>
        <v/>
      </c>
      <c r="AV33" s="271" t="s">
        <v>241</v>
      </c>
      <c r="AW33" s="74">
        <f>SUM($AW$8:$AW$32)</f>
        <v>0</v>
      </c>
      <c r="AX33" s="146"/>
      <c r="AY33" s="146"/>
      <c r="BB33" s="238"/>
      <c r="BC33" s="238"/>
      <c r="BD33" s="146"/>
      <c r="BE33" s="146"/>
      <c r="BF33" s="146"/>
      <c r="BG33" s="4">
        <f t="shared" si="7"/>
        <v>0</v>
      </c>
      <c r="BH33" s="4" t="str">
        <f t="shared" si="5"/>
        <v/>
      </c>
      <c r="BI33" s="4" t="str">
        <f t="shared" si="6"/>
        <v/>
      </c>
      <c r="BJ33" s="694"/>
      <c r="BK33" s="694"/>
      <c r="BL33" s="694"/>
      <c r="BM33" s="694"/>
    </row>
    <row r="34" spans="2:65" ht="14.25" thickBot="1">
      <c r="B34" s="360" t="str">
        <f>名簿!Q36</f>
        <v/>
      </c>
      <c r="C34" s="389"/>
      <c r="D34" s="799">
        <f>名簿!D36</f>
        <v>0</v>
      </c>
      <c r="E34" s="19">
        <f>名簿!E36</f>
        <v>0</v>
      </c>
      <c r="F34" s="205" t="str">
        <f>名簿!BN36</f>
        <v/>
      </c>
      <c r="G34" s="105" t="str">
        <f>名簿!Z36</f>
        <v/>
      </c>
      <c r="H34" s="122" t="str">
        <f t="shared" si="0"/>
        <v/>
      </c>
      <c r="I34" s="361" t="str">
        <f>名簿!O36</f>
        <v/>
      </c>
      <c r="J34" s="361">
        <f>名簿!I36</f>
        <v>0</v>
      </c>
      <c r="K34" s="361">
        <f>名簿!K36</f>
        <v>0</v>
      </c>
      <c r="L34" s="385" t="str">
        <f>名簿!BQ36</f>
        <v>00</v>
      </c>
      <c r="M34" s="383" t="str">
        <f>名簿!R36</f>
        <v/>
      </c>
      <c r="N34" s="388">
        <f>名簿!C36</f>
        <v>0</v>
      </c>
      <c r="O34" s="202"/>
      <c r="P34" s="187" t="str">
        <f>IF(O34="","",IF(I34=1,VLOOKUP(O34,男子種目コード!$A$1:$B$33,2,FALSE),IF(I34=2,VLOOKUP(O34,女子種目コード!$A$1:$B$28,2,FALSE))))</f>
        <v/>
      </c>
      <c r="Q34" s="397" t="str">
        <f>IF(O34="","",HLOOKUP(O34,名簿!$AB$8:$BG$58,29,FALSE))</f>
        <v/>
      </c>
      <c r="R34" s="393">
        <v>0</v>
      </c>
      <c r="S34" s="401">
        <v>2</v>
      </c>
      <c r="T34" s="195"/>
      <c r="U34" s="187" t="str">
        <f>IF(T34="","",IF(I34=1,VLOOKUP(T34,男子種目コード!$A$1:$B$33,2,FALSE),IF(I34=2,VLOOKUP(T34,女子種目コード!$A$1:$B$28,2,FALSE))))</f>
        <v/>
      </c>
      <c r="V34" s="397" t="str">
        <f>IF(T34="","",HLOOKUP(T34,名簿!$AB$8:$BG$58,29,FALSE))</f>
        <v/>
      </c>
      <c r="W34" s="393">
        <v>0</v>
      </c>
      <c r="X34" s="401">
        <v>2</v>
      </c>
      <c r="Y34" s="404"/>
      <c r="Z34" s="7" t="str">
        <f>IF(Y34="","",IF(I34=1,VLOOKUP(Y34,男子種目コード!$A$1:$B$29,2,FALSE),IF(I34=2,VLOOKUP(Y34,女子種目コード!$A$1:$B$30,2,FALSE))))</f>
        <v/>
      </c>
      <c r="AA34" s="15"/>
      <c r="AB34" s="393">
        <v>0</v>
      </c>
      <c r="AC34" s="362">
        <v>2</v>
      </c>
      <c r="AD34" s="365"/>
      <c r="AE34" s="7" t="str">
        <f>IF(AD34="","",IF(I34=1,VLOOKUP(AD34,男子種目コード!$A$78:$B$80,2,FALSE),IF(I34=2,VLOOKUP(AD34,女子種目コード!$A$78:$B$80,2,FALSE))))</f>
        <v/>
      </c>
      <c r="AF34" s="364"/>
      <c r="AG34" s="362">
        <v>0</v>
      </c>
      <c r="AH34" s="362">
        <v>2</v>
      </c>
      <c r="AI34" s="363"/>
      <c r="AJ34" s="321" t="str">
        <f>IF(AI34="","",IF(I34=1,VLOOKUP(AI34,男子種目コード!$A$1:$B$29,2,FALSE),IF(I34=2,VLOOKUP(AI34,女子種目コード!$A$1:$B$30,2,FALSE))))</f>
        <v/>
      </c>
      <c r="AK34" s="58"/>
      <c r="AL34" s="345">
        <v>0</v>
      </c>
      <c r="AM34" s="345">
        <v>2</v>
      </c>
      <c r="AN34" s="6"/>
      <c r="AO34" s="6"/>
      <c r="AP34" s="4"/>
      <c r="AQ34" s="99" t="s">
        <v>213</v>
      </c>
      <c r="AR34" s="87" t="str">
        <f t="shared" si="1"/>
        <v/>
      </c>
      <c r="AS34" s="240">
        <f t="shared" si="2"/>
        <v>0</v>
      </c>
      <c r="AT34" s="240">
        <f t="shared" si="3"/>
        <v>0</v>
      </c>
      <c r="AU34" s="87" t="str">
        <f t="shared" si="4"/>
        <v/>
      </c>
      <c r="AV34" s="307" t="s">
        <v>209</v>
      </c>
      <c r="AW34" s="308"/>
      <c r="AX34" s="146"/>
      <c r="AY34" s="146"/>
      <c r="BB34" s="238"/>
      <c r="BC34" s="238"/>
      <c r="BD34" s="146"/>
      <c r="BE34" s="146"/>
      <c r="BF34" s="146"/>
      <c r="BG34" s="4">
        <f t="shared" si="7"/>
        <v>0</v>
      </c>
      <c r="BH34" s="4" t="str">
        <f t="shared" si="5"/>
        <v/>
      </c>
      <c r="BI34" s="4" t="str">
        <f t="shared" si="6"/>
        <v/>
      </c>
      <c r="BJ34" s="694"/>
      <c r="BK34" s="694"/>
      <c r="BL34" s="694"/>
      <c r="BM34" s="694"/>
    </row>
    <row r="35" spans="2:65">
      <c r="B35" s="360" t="str">
        <f>名簿!Q37</f>
        <v/>
      </c>
      <c r="C35" s="389"/>
      <c r="D35" s="799">
        <f>名簿!D37</f>
        <v>0</v>
      </c>
      <c r="E35" s="19">
        <f>名簿!E37</f>
        <v>0</v>
      </c>
      <c r="F35" s="205" t="str">
        <f>名簿!BN37</f>
        <v/>
      </c>
      <c r="G35" s="105" t="str">
        <f>名簿!Z37</f>
        <v/>
      </c>
      <c r="H35" s="122" t="str">
        <f t="shared" si="0"/>
        <v/>
      </c>
      <c r="I35" s="361" t="str">
        <f>名簿!O37</f>
        <v/>
      </c>
      <c r="J35" s="361">
        <f>名簿!I37</f>
        <v>0</v>
      </c>
      <c r="K35" s="361">
        <f>名簿!K37</f>
        <v>0</v>
      </c>
      <c r="L35" s="385" t="str">
        <f>名簿!BQ37</f>
        <v>00</v>
      </c>
      <c r="M35" s="383" t="str">
        <f>名簿!R37</f>
        <v/>
      </c>
      <c r="N35" s="388">
        <f>名簿!C37</f>
        <v>0</v>
      </c>
      <c r="O35" s="202"/>
      <c r="P35" s="187" t="str">
        <f>IF(O35="","",IF(I35=1,VLOOKUP(O35,男子種目コード!$A$1:$B$33,2,FALSE),IF(I35=2,VLOOKUP(O35,女子種目コード!$A$1:$B$28,2,FALSE))))</f>
        <v/>
      </c>
      <c r="Q35" s="397" t="str">
        <f>IF(O35="","",HLOOKUP(O35,名簿!$AB$8:$BG$58,30,FALSE))</f>
        <v/>
      </c>
      <c r="R35" s="393">
        <v>0</v>
      </c>
      <c r="S35" s="401">
        <v>2</v>
      </c>
      <c r="T35" s="195"/>
      <c r="U35" s="187" t="str">
        <f>IF(T35="","",IF(I35=1,VLOOKUP(T35,男子種目コード!$A$1:$B$33,2,FALSE),IF(I35=2,VLOOKUP(T35,女子種目コード!$A$1:$B$28,2,FALSE))))</f>
        <v/>
      </c>
      <c r="V35" s="397" t="str">
        <f>IF(T35="","",HLOOKUP(T35,名簿!$AB$8:$BG$58,30,FALSE))</f>
        <v/>
      </c>
      <c r="W35" s="393">
        <v>0</v>
      </c>
      <c r="X35" s="401">
        <v>2</v>
      </c>
      <c r="Y35" s="404"/>
      <c r="Z35" s="7" t="str">
        <f>IF(Y35="","",IF(I35=1,VLOOKUP(Y35,男子種目コード!$A$1:$B$29,2,FALSE),IF(I35=2,VLOOKUP(Y35,女子種目コード!$A$1:$B$30,2,FALSE))))</f>
        <v/>
      </c>
      <c r="AA35" s="15"/>
      <c r="AB35" s="393">
        <v>0</v>
      </c>
      <c r="AC35" s="362">
        <v>2</v>
      </c>
      <c r="AD35" s="365"/>
      <c r="AE35" s="7" t="str">
        <f>IF(AD35="","",IF(I35=1,VLOOKUP(AD35,男子種目コード!$A$78:$B$80,2,FALSE),IF(I35=2,VLOOKUP(AD35,女子種目コード!$A$78:$B$80,2,FALSE))))</f>
        <v/>
      </c>
      <c r="AF35" s="364"/>
      <c r="AG35" s="362">
        <v>0</v>
      </c>
      <c r="AH35" s="362">
        <v>2</v>
      </c>
      <c r="AI35" s="363"/>
      <c r="AJ35" s="321" t="str">
        <f>IF(AI35="","",IF(I35=1,VLOOKUP(AI35,男子種目コード!$A$1:$B$29,2,FALSE),IF(I35=2,VLOOKUP(AI35,女子種目コード!$A$1:$B$30,2,FALSE))))</f>
        <v/>
      </c>
      <c r="AK35" s="58"/>
      <c r="AL35" s="345">
        <v>0</v>
      </c>
      <c r="AM35" s="345">
        <v>2</v>
      </c>
      <c r="AN35" s="6"/>
      <c r="AO35" s="6"/>
      <c r="AP35" s="4"/>
      <c r="AQ35" s="238" t="s">
        <v>214</v>
      </c>
      <c r="AR35" s="87" t="str">
        <f t="shared" si="1"/>
        <v/>
      </c>
      <c r="AS35" s="240">
        <f t="shared" si="2"/>
        <v>0</v>
      </c>
      <c r="AT35" s="240">
        <f t="shared" si="3"/>
        <v>0</v>
      </c>
      <c r="AU35" s="87" t="str">
        <f t="shared" si="4"/>
        <v/>
      </c>
      <c r="AV35" s="272">
        <v>100</v>
      </c>
      <c r="AW35" s="102">
        <f>COUNTIF($P$7:$P$56,40)+COUNTIF($U$7:$U$56,40)</f>
        <v>0</v>
      </c>
      <c r="AX35" s="146"/>
      <c r="AY35" s="146"/>
      <c r="BB35" s="238"/>
      <c r="BC35" s="238"/>
      <c r="BD35" s="146"/>
      <c r="BE35" s="146"/>
      <c r="BF35" s="146"/>
      <c r="BG35" s="4">
        <f t="shared" si="7"/>
        <v>0</v>
      </c>
      <c r="BH35" s="4" t="str">
        <f t="shared" si="5"/>
        <v/>
      </c>
      <c r="BI35" s="4" t="str">
        <f t="shared" si="6"/>
        <v/>
      </c>
      <c r="BJ35" s="694"/>
      <c r="BK35" s="694"/>
      <c r="BL35" s="694"/>
      <c r="BM35" s="694"/>
    </row>
    <row r="36" spans="2:65">
      <c r="B36" s="360" t="str">
        <f>名簿!Q38</f>
        <v/>
      </c>
      <c r="C36" s="389"/>
      <c r="D36" s="799">
        <f>名簿!D38</f>
        <v>0</v>
      </c>
      <c r="E36" s="19">
        <f>名簿!E38</f>
        <v>0</v>
      </c>
      <c r="F36" s="205" t="str">
        <f>名簿!BN38</f>
        <v/>
      </c>
      <c r="G36" s="105" t="str">
        <f>名簿!Z38</f>
        <v/>
      </c>
      <c r="H36" s="122" t="str">
        <f t="shared" si="0"/>
        <v/>
      </c>
      <c r="I36" s="361" t="str">
        <f>名簿!O38</f>
        <v/>
      </c>
      <c r="J36" s="361">
        <f>名簿!I38</f>
        <v>0</v>
      </c>
      <c r="K36" s="361">
        <f>名簿!K38</f>
        <v>0</v>
      </c>
      <c r="L36" s="385" t="str">
        <f>名簿!BQ38</f>
        <v>00</v>
      </c>
      <c r="M36" s="383" t="str">
        <f>名簿!R38</f>
        <v/>
      </c>
      <c r="N36" s="388">
        <f>名簿!C38</f>
        <v>0</v>
      </c>
      <c r="O36" s="202"/>
      <c r="P36" s="187" t="str">
        <f>IF(O36="","",IF(I36=1,VLOOKUP(O36,男子種目コード!$A$1:$B$33,2,FALSE),IF(I36=2,VLOOKUP(O36,女子種目コード!$A$1:$B$28,2,FALSE))))</f>
        <v/>
      </c>
      <c r="Q36" s="397" t="str">
        <f>IF(O36="","",HLOOKUP(O36,名簿!$AB$8:$BG$58,31,FALSE))</f>
        <v/>
      </c>
      <c r="R36" s="393">
        <v>0</v>
      </c>
      <c r="S36" s="401">
        <v>2</v>
      </c>
      <c r="T36" s="195"/>
      <c r="U36" s="187" t="str">
        <f>IF(T36="","",IF(I36=1,VLOOKUP(T36,男子種目コード!$A$1:$B$33,2,FALSE),IF(I36=2,VLOOKUP(T36,女子種目コード!$A$1:$B$28,2,FALSE))))</f>
        <v/>
      </c>
      <c r="V36" s="397" t="str">
        <f>IF(T36="","",HLOOKUP(T36,名簿!$AB$8:$BG$58,31,FALSE))</f>
        <v/>
      </c>
      <c r="W36" s="393">
        <v>0</v>
      </c>
      <c r="X36" s="401">
        <v>2</v>
      </c>
      <c r="Y36" s="404"/>
      <c r="Z36" s="7" t="str">
        <f>IF(Y36="","",IF(I36=1,VLOOKUP(Y36,男子種目コード!$A$1:$B$29,2,FALSE),IF(I36=2,VLOOKUP(Y36,女子種目コード!$A$1:$B$30,2,FALSE))))</f>
        <v/>
      </c>
      <c r="AA36" s="15"/>
      <c r="AB36" s="393">
        <v>0</v>
      </c>
      <c r="AC36" s="362">
        <v>2</v>
      </c>
      <c r="AD36" s="365"/>
      <c r="AE36" s="7" t="str">
        <f>IF(AD36="","",IF(I36=1,VLOOKUP(AD36,男子種目コード!$A$78:$B$80,2,FALSE),IF(I36=2,VLOOKUP(AD36,女子種目コード!$A$78:$B$80,2,FALSE))))</f>
        <v/>
      </c>
      <c r="AF36" s="364"/>
      <c r="AG36" s="362">
        <v>0</v>
      </c>
      <c r="AH36" s="362">
        <v>2</v>
      </c>
      <c r="AI36" s="363"/>
      <c r="AJ36" s="321" t="str">
        <f>IF(AI36="","",IF(I36=1,VLOOKUP(AI36,男子種目コード!$A$1:$B$29,2,FALSE),IF(I36=2,VLOOKUP(AI36,女子種目コード!$A$1:$B$30,2,FALSE))))</f>
        <v/>
      </c>
      <c r="AK36" s="58"/>
      <c r="AL36" s="345">
        <v>0</v>
      </c>
      <c r="AM36" s="345">
        <v>2</v>
      </c>
      <c r="AN36" s="6"/>
      <c r="AO36" s="6"/>
      <c r="AP36" s="4"/>
      <c r="AQ36" s="238" t="s">
        <v>215</v>
      </c>
      <c r="AR36" s="87" t="str">
        <f t="shared" si="1"/>
        <v/>
      </c>
      <c r="AS36" s="240">
        <f t="shared" si="2"/>
        <v>0</v>
      </c>
      <c r="AT36" s="240">
        <f t="shared" si="3"/>
        <v>0</v>
      </c>
      <c r="AU36" s="87" t="str">
        <f t="shared" si="4"/>
        <v/>
      </c>
      <c r="AV36" s="268">
        <v>200</v>
      </c>
      <c r="AW36" s="102">
        <f>COUNTIF($P$7:$P$56,41)+COUNTIF($U$7:$U$56,41)</f>
        <v>0</v>
      </c>
      <c r="AX36" s="146"/>
      <c r="AY36" s="146"/>
      <c r="BB36" s="238"/>
      <c r="BC36" s="238"/>
      <c r="BD36" s="146"/>
      <c r="BE36" s="146"/>
      <c r="BF36" s="146"/>
      <c r="BG36" s="4">
        <f t="shared" si="7"/>
        <v>0</v>
      </c>
      <c r="BH36" s="4" t="str">
        <f t="shared" si="5"/>
        <v/>
      </c>
      <c r="BI36" s="4" t="str">
        <f t="shared" si="6"/>
        <v/>
      </c>
      <c r="BJ36" s="694"/>
      <c r="BK36" s="694"/>
      <c r="BL36" s="694"/>
      <c r="BM36" s="694"/>
    </row>
    <row r="37" spans="2:65">
      <c r="B37" s="360" t="str">
        <f>名簿!Q39</f>
        <v/>
      </c>
      <c r="C37" s="389"/>
      <c r="D37" s="799">
        <f>名簿!D39</f>
        <v>0</v>
      </c>
      <c r="E37" s="19">
        <f>名簿!E39</f>
        <v>0</v>
      </c>
      <c r="F37" s="205" t="str">
        <f>名簿!BN39</f>
        <v/>
      </c>
      <c r="G37" s="105" t="str">
        <f>名簿!Z39</f>
        <v/>
      </c>
      <c r="H37" s="122" t="str">
        <f t="shared" si="0"/>
        <v/>
      </c>
      <c r="I37" s="361" t="str">
        <f>名簿!O39</f>
        <v/>
      </c>
      <c r="J37" s="361">
        <f>名簿!I39</f>
        <v>0</v>
      </c>
      <c r="K37" s="361">
        <f>名簿!K39</f>
        <v>0</v>
      </c>
      <c r="L37" s="385" t="str">
        <f>名簿!BQ39</f>
        <v>00</v>
      </c>
      <c r="M37" s="383" t="str">
        <f>名簿!R39</f>
        <v/>
      </c>
      <c r="N37" s="388">
        <f>名簿!C39</f>
        <v>0</v>
      </c>
      <c r="O37" s="202"/>
      <c r="P37" s="187" t="str">
        <f>IF(O37="","",IF(I37=1,VLOOKUP(O37,男子種目コード!$A$1:$B$33,2,FALSE),IF(I37=2,VLOOKUP(O37,女子種目コード!$A$1:$B$28,2,FALSE))))</f>
        <v/>
      </c>
      <c r="Q37" s="397" t="str">
        <f>IF(O37="","",HLOOKUP(O37,名簿!$AB$8:$BG$58,32,FALSE))</f>
        <v/>
      </c>
      <c r="R37" s="393">
        <v>0</v>
      </c>
      <c r="S37" s="401">
        <v>2</v>
      </c>
      <c r="T37" s="195"/>
      <c r="U37" s="187" t="str">
        <f>IF(T37="","",IF(I37=1,VLOOKUP(T37,男子種目コード!$A$1:$B$33,2,FALSE),IF(I37=2,VLOOKUP(T37,女子種目コード!$A$1:$B$28,2,FALSE))))</f>
        <v/>
      </c>
      <c r="V37" s="397" t="str">
        <f>IF(T37="","",HLOOKUP(T37,名簿!$AB$8:$BG$58,32,FALSE))</f>
        <v/>
      </c>
      <c r="W37" s="393">
        <v>0</v>
      </c>
      <c r="X37" s="401">
        <v>2</v>
      </c>
      <c r="Y37" s="404"/>
      <c r="Z37" s="7" t="str">
        <f>IF(Y37="","",IF(I37=1,VLOOKUP(Y37,男子種目コード!$A$1:$B$29,2,FALSE),IF(I37=2,VLOOKUP(Y37,女子種目コード!$A$1:$B$30,2,FALSE))))</f>
        <v/>
      </c>
      <c r="AA37" s="15"/>
      <c r="AB37" s="393">
        <v>0</v>
      </c>
      <c r="AC37" s="362">
        <v>2</v>
      </c>
      <c r="AD37" s="365"/>
      <c r="AE37" s="7" t="str">
        <f>IF(AD37="","",IF(I37=1,VLOOKUP(AD37,男子種目コード!$A$78:$B$80,2,FALSE),IF(I37=2,VLOOKUP(AD37,女子種目コード!$A$78:$B$80,2,FALSE))))</f>
        <v/>
      </c>
      <c r="AF37" s="364"/>
      <c r="AG37" s="362">
        <v>0</v>
      </c>
      <c r="AH37" s="362">
        <v>2</v>
      </c>
      <c r="AI37" s="363"/>
      <c r="AJ37" s="321" t="str">
        <f>IF(AI37="","",IF(I37=1,VLOOKUP(AI37,男子種目コード!$A$1:$B$29,2,FALSE),IF(I37=2,VLOOKUP(AI37,女子種目コード!$A$1:$B$30,2,FALSE))))</f>
        <v/>
      </c>
      <c r="AK37" s="58"/>
      <c r="AL37" s="345">
        <v>0</v>
      </c>
      <c r="AM37" s="345">
        <v>2</v>
      </c>
      <c r="AN37" s="6"/>
      <c r="AO37" s="6"/>
      <c r="AP37" s="4"/>
      <c r="AQ37" s="238"/>
      <c r="AR37" s="87" t="str">
        <f t="shared" si="1"/>
        <v/>
      </c>
      <c r="AS37" s="240">
        <f t="shared" si="2"/>
        <v>0</v>
      </c>
      <c r="AT37" s="240">
        <f t="shared" si="3"/>
        <v>0</v>
      </c>
      <c r="AU37" s="87" t="str">
        <f t="shared" si="4"/>
        <v/>
      </c>
      <c r="AV37" s="268">
        <v>400</v>
      </c>
      <c r="AW37" s="102">
        <f>COUNTIF($P$7:$P$56,42)+COUNTIF($U$7:$U$56,42)</f>
        <v>0</v>
      </c>
      <c r="AX37" s="146"/>
      <c r="AY37" s="146"/>
      <c r="BB37" s="238"/>
      <c r="BC37" s="238"/>
      <c r="BD37" s="146"/>
      <c r="BE37" s="146"/>
      <c r="BF37" s="146"/>
      <c r="BG37" s="4">
        <f t="shared" si="7"/>
        <v>0</v>
      </c>
      <c r="BH37" s="4" t="str">
        <f t="shared" si="5"/>
        <v/>
      </c>
      <c r="BI37" s="4" t="str">
        <f t="shared" si="6"/>
        <v/>
      </c>
      <c r="BJ37" s="694"/>
      <c r="BK37" s="694"/>
      <c r="BL37" s="694"/>
      <c r="BM37" s="694"/>
    </row>
    <row r="38" spans="2:65">
      <c r="B38" s="360" t="str">
        <f>名簿!Q40</f>
        <v/>
      </c>
      <c r="C38" s="389"/>
      <c r="D38" s="799">
        <f>名簿!D40</f>
        <v>0</v>
      </c>
      <c r="E38" s="19">
        <f>名簿!E40</f>
        <v>0</v>
      </c>
      <c r="F38" s="205" t="str">
        <f>名簿!BN40</f>
        <v/>
      </c>
      <c r="G38" s="105" t="str">
        <f>名簿!Z40</f>
        <v/>
      </c>
      <c r="H38" s="122" t="str">
        <f t="shared" si="0"/>
        <v/>
      </c>
      <c r="I38" s="361" t="str">
        <f>名簿!O40</f>
        <v/>
      </c>
      <c r="J38" s="361">
        <f>名簿!I40</f>
        <v>0</v>
      </c>
      <c r="K38" s="361">
        <f>名簿!K40</f>
        <v>0</v>
      </c>
      <c r="L38" s="385" t="str">
        <f>名簿!BQ40</f>
        <v>00</v>
      </c>
      <c r="M38" s="383" t="str">
        <f>名簿!R40</f>
        <v/>
      </c>
      <c r="N38" s="388">
        <f>名簿!C40</f>
        <v>0</v>
      </c>
      <c r="O38" s="202"/>
      <c r="P38" s="187" t="str">
        <f>IF(O38="","",IF(I38=1,VLOOKUP(O38,男子種目コード!$A$1:$B$33,2,FALSE),IF(I38=2,VLOOKUP(O38,女子種目コード!$A$1:$B$28,2,FALSE))))</f>
        <v/>
      </c>
      <c r="Q38" s="397" t="str">
        <f>IF(O38="","",HLOOKUP(O38,名簿!$AB$8:$BG$58,33,FALSE))</f>
        <v/>
      </c>
      <c r="R38" s="393">
        <v>0</v>
      </c>
      <c r="S38" s="401">
        <v>2</v>
      </c>
      <c r="T38" s="195"/>
      <c r="U38" s="187" t="str">
        <f>IF(T38="","",IF(I38=1,VLOOKUP(T38,男子種目コード!$A$1:$B$33,2,FALSE),IF(I38=2,VLOOKUP(T38,女子種目コード!$A$1:$B$28,2,FALSE))))</f>
        <v/>
      </c>
      <c r="V38" s="397" t="str">
        <f>IF(T38="","",HLOOKUP(T38,名簿!$AB$8:$BG$58,33,FALSE))</f>
        <v/>
      </c>
      <c r="W38" s="393">
        <v>0</v>
      </c>
      <c r="X38" s="401">
        <v>2</v>
      </c>
      <c r="Y38" s="404"/>
      <c r="Z38" s="7" t="str">
        <f>IF(Y38="","",IF(I38=1,VLOOKUP(Y38,男子種目コード!$A$1:$B$29,2,FALSE),IF(I38=2,VLOOKUP(Y38,女子種目コード!$A$1:$B$30,2,FALSE))))</f>
        <v/>
      </c>
      <c r="AA38" s="15"/>
      <c r="AB38" s="393">
        <v>0</v>
      </c>
      <c r="AC38" s="362">
        <v>2</v>
      </c>
      <c r="AD38" s="365"/>
      <c r="AE38" s="7" t="str">
        <f>IF(AD38="","",IF(I38=1,VLOOKUP(AD38,男子種目コード!$A$78:$B$80,2,FALSE),IF(I38=2,VLOOKUP(AD38,女子種目コード!$A$78:$B$80,2,FALSE))))</f>
        <v/>
      </c>
      <c r="AF38" s="364"/>
      <c r="AG38" s="362">
        <v>0</v>
      </c>
      <c r="AH38" s="362">
        <v>2</v>
      </c>
      <c r="AI38" s="363"/>
      <c r="AJ38" s="321" t="str">
        <f>IF(AI38="","",IF(I38=1,VLOOKUP(AI38,男子種目コード!$A$1:$B$29,2,FALSE),IF(I38=2,VLOOKUP(AI38,女子種目コード!$A$1:$B$30,2,FALSE))))</f>
        <v/>
      </c>
      <c r="AK38" s="58"/>
      <c r="AL38" s="345">
        <v>0</v>
      </c>
      <c r="AM38" s="345">
        <v>2</v>
      </c>
      <c r="AN38" s="6"/>
      <c r="AO38" s="6"/>
      <c r="AP38" s="4"/>
      <c r="AQ38" s="238"/>
      <c r="AR38" s="87" t="str">
        <f t="shared" si="1"/>
        <v/>
      </c>
      <c r="AS38" s="240">
        <f t="shared" si="2"/>
        <v>0</v>
      </c>
      <c r="AT38" s="240">
        <f t="shared" si="3"/>
        <v>0</v>
      </c>
      <c r="AU38" s="87" t="str">
        <f t="shared" si="4"/>
        <v/>
      </c>
      <c r="AV38" s="268">
        <v>800</v>
      </c>
      <c r="AW38" s="102">
        <f>COUNTIF($P$7:$P$56,43)+COUNTIF($U$7:$U$56,43)</f>
        <v>0</v>
      </c>
      <c r="AX38" s="146"/>
      <c r="AY38" s="146"/>
      <c r="BB38" s="99"/>
      <c r="BC38" s="99"/>
      <c r="BD38" s="146"/>
      <c r="BE38" s="146"/>
      <c r="BF38" s="146"/>
      <c r="BG38" s="4">
        <f t="shared" si="7"/>
        <v>0</v>
      </c>
      <c r="BH38" s="4" t="str">
        <f t="shared" si="5"/>
        <v/>
      </c>
      <c r="BI38" s="4" t="str">
        <f t="shared" si="6"/>
        <v/>
      </c>
      <c r="BJ38" s="694"/>
      <c r="BK38" s="694"/>
      <c r="BL38" s="694"/>
      <c r="BM38" s="694"/>
    </row>
    <row r="39" spans="2:65">
      <c r="B39" s="360" t="str">
        <f>名簿!Q41</f>
        <v/>
      </c>
      <c r="C39" s="389"/>
      <c r="D39" s="799">
        <f>名簿!D41</f>
        <v>0</v>
      </c>
      <c r="E39" s="19">
        <f>名簿!E41</f>
        <v>0</v>
      </c>
      <c r="F39" s="205" t="str">
        <f>名簿!BN41</f>
        <v/>
      </c>
      <c r="G39" s="105" t="str">
        <f>名簿!Z41</f>
        <v/>
      </c>
      <c r="H39" s="122" t="str">
        <f t="shared" si="0"/>
        <v/>
      </c>
      <c r="I39" s="361" t="str">
        <f>名簿!O41</f>
        <v/>
      </c>
      <c r="J39" s="361">
        <f>名簿!I41</f>
        <v>0</v>
      </c>
      <c r="K39" s="361">
        <f>名簿!K41</f>
        <v>0</v>
      </c>
      <c r="L39" s="385" t="str">
        <f>名簿!BQ41</f>
        <v>00</v>
      </c>
      <c r="M39" s="383" t="str">
        <f>名簿!R41</f>
        <v/>
      </c>
      <c r="N39" s="388">
        <f>名簿!C41</f>
        <v>0</v>
      </c>
      <c r="O39" s="202"/>
      <c r="P39" s="187" t="str">
        <f>IF(O39="","",IF(I39=1,VLOOKUP(O39,男子種目コード!$A$1:$B$33,2,FALSE),IF(I39=2,VLOOKUP(O39,女子種目コード!$A$1:$B$28,2,FALSE))))</f>
        <v/>
      </c>
      <c r="Q39" s="397" t="str">
        <f>IF(O39="","",HLOOKUP(O39,名簿!$AB$8:$BG$58,34,FALSE))</f>
        <v/>
      </c>
      <c r="R39" s="393">
        <v>0</v>
      </c>
      <c r="S39" s="401">
        <v>2</v>
      </c>
      <c r="T39" s="195"/>
      <c r="U39" s="187" t="str">
        <f>IF(T39="","",IF(I39=1,VLOOKUP(T39,男子種目コード!$A$1:$B$33,2,FALSE),IF(I39=2,VLOOKUP(T39,女子種目コード!$A$1:$B$28,2,FALSE))))</f>
        <v/>
      </c>
      <c r="V39" s="397" t="str">
        <f>IF(T39="","",HLOOKUP(T39,名簿!$AB$8:$BG$58,34,FALSE))</f>
        <v/>
      </c>
      <c r="W39" s="393">
        <v>0</v>
      </c>
      <c r="X39" s="401">
        <v>2</v>
      </c>
      <c r="Y39" s="404"/>
      <c r="Z39" s="7" t="str">
        <f>IF(Y39="","",IF(I39=1,VLOOKUP(Y39,男子種目コード!$A$1:$B$29,2,FALSE),IF(I39=2,VLOOKUP(Y39,女子種目コード!$A$1:$B$30,2,FALSE))))</f>
        <v/>
      </c>
      <c r="AA39" s="15"/>
      <c r="AB39" s="393">
        <v>0</v>
      </c>
      <c r="AC39" s="362">
        <v>2</v>
      </c>
      <c r="AD39" s="365"/>
      <c r="AE39" s="7" t="str">
        <f>IF(AD39="","",IF(I39=1,VLOOKUP(AD39,男子種目コード!$A$78:$B$80,2,FALSE),IF(I39=2,VLOOKUP(AD39,女子種目コード!$A$78:$B$80,2,FALSE))))</f>
        <v/>
      </c>
      <c r="AF39" s="364"/>
      <c r="AG39" s="362">
        <v>0</v>
      </c>
      <c r="AH39" s="362">
        <v>2</v>
      </c>
      <c r="AI39" s="363"/>
      <c r="AJ39" s="321" t="str">
        <f>IF(AI39="","",IF(I39=1,VLOOKUP(AI39,男子種目コード!$A$1:$B$29,2,FALSE),IF(I39=2,VLOOKUP(AI39,女子種目コード!$A$1:$B$30,2,FALSE))))</f>
        <v/>
      </c>
      <c r="AK39" s="58"/>
      <c r="AL39" s="345">
        <v>0</v>
      </c>
      <c r="AM39" s="345">
        <v>2</v>
      </c>
      <c r="AN39" s="6"/>
      <c r="AO39" s="6"/>
      <c r="AP39" s="4"/>
      <c r="AQ39" s="238"/>
      <c r="AR39" s="87" t="str">
        <f t="shared" si="1"/>
        <v/>
      </c>
      <c r="AS39" s="240">
        <f t="shared" ref="AS39:AS56" si="8">IF(OR(AR39=1,T39=""),0,1)</f>
        <v>0</v>
      </c>
      <c r="AT39" s="240">
        <f t="shared" ref="AT39:AT56" si="9">IF(OR(AR39=1,AS39=1,AD39=""),0,1)</f>
        <v>0</v>
      </c>
      <c r="AU39" s="87" t="str">
        <f t="shared" si="4"/>
        <v/>
      </c>
      <c r="AV39" s="268">
        <v>1500</v>
      </c>
      <c r="AW39" s="102">
        <f>COUNTIF($P$7:$P$56,44)+COUNTIF($U$7:$U$56,44)</f>
        <v>0</v>
      </c>
      <c r="AX39" s="146"/>
      <c r="AY39" s="146"/>
      <c r="BB39" s="99"/>
      <c r="BC39" s="99"/>
      <c r="BD39" s="146"/>
      <c r="BE39" s="146"/>
      <c r="BF39" s="146"/>
      <c r="BG39" s="4">
        <f t="shared" si="7"/>
        <v>0</v>
      </c>
      <c r="BH39" s="4" t="str">
        <f t="shared" ref="BH39:BH56" si="10">IF(I39=1,BG39,"")</f>
        <v/>
      </c>
      <c r="BI39" s="4" t="str">
        <f t="shared" ref="BI39:BI56" si="11">IF(I39=2,BG39,"")</f>
        <v/>
      </c>
      <c r="BJ39" s="694"/>
      <c r="BK39" s="694"/>
      <c r="BL39" s="694"/>
      <c r="BM39" s="694"/>
    </row>
    <row r="40" spans="2:65">
      <c r="B40" s="360" t="str">
        <f>名簿!Q42</f>
        <v/>
      </c>
      <c r="C40" s="389"/>
      <c r="D40" s="799">
        <f>名簿!D42</f>
        <v>0</v>
      </c>
      <c r="E40" s="19">
        <f>名簿!E42</f>
        <v>0</v>
      </c>
      <c r="F40" s="205" t="str">
        <f>名簿!BN42</f>
        <v/>
      </c>
      <c r="G40" s="105" t="str">
        <f>名簿!Z42</f>
        <v/>
      </c>
      <c r="H40" s="122" t="str">
        <f t="shared" si="0"/>
        <v/>
      </c>
      <c r="I40" s="361" t="str">
        <f>名簿!O42</f>
        <v/>
      </c>
      <c r="J40" s="361">
        <f>名簿!I42</f>
        <v>0</v>
      </c>
      <c r="K40" s="361">
        <f>名簿!K42</f>
        <v>0</v>
      </c>
      <c r="L40" s="385" t="str">
        <f>名簿!BQ42</f>
        <v>00</v>
      </c>
      <c r="M40" s="383" t="str">
        <f>名簿!R42</f>
        <v/>
      </c>
      <c r="N40" s="388">
        <f>名簿!C42</f>
        <v>0</v>
      </c>
      <c r="O40" s="202"/>
      <c r="P40" s="187" t="str">
        <f>IF(O40="","",IF(I40=1,VLOOKUP(O40,男子種目コード!$A$1:$B$33,2,FALSE),IF(I40=2,VLOOKUP(O40,女子種目コード!$A$1:$B$28,2,FALSE))))</f>
        <v/>
      </c>
      <c r="Q40" s="397" t="str">
        <f>IF(O40="","",HLOOKUP(O40,名簿!$AB$8:$BG$58,35,FALSE))</f>
        <v/>
      </c>
      <c r="R40" s="393">
        <v>0</v>
      </c>
      <c r="S40" s="401">
        <v>2</v>
      </c>
      <c r="T40" s="195"/>
      <c r="U40" s="187" t="str">
        <f>IF(T40="","",IF(I40=1,VLOOKUP(T40,男子種目コード!$A$1:$B$33,2,FALSE),IF(I40=2,VLOOKUP(T40,女子種目コード!$A$1:$B$28,2,FALSE))))</f>
        <v/>
      </c>
      <c r="V40" s="397" t="str">
        <f>IF(T40="","",HLOOKUP(T40,名簿!$AB$8:$BG$58,35,FALSE))</f>
        <v/>
      </c>
      <c r="W40" s="393">
        <v>0</v>
      </c>
      <c r="X40" s="401">
        <v>2</v>
      </c>
      <c r="Y40" s="404"/>
      <c r="Z40" s="7" t="str">
        <f>IF(Y40="","",IF(I40=1,VLOOKUP(Y40,男子種目コード!$A$1:$B$29,2,FALSE),IF(I40=2,VLOOKUP(Y40,女子種目コード!$A$1:$B$30,2,FALSE))))</f>
        <v/>
      </c>
      <c r="AA40" s="15"/>
      <c r="AB40" s="393">
        <v>0</v>
      </c>
      <c r="AC40" s="362">
        <v>2</v>
      </c>
      <c r="AD40" s="365"/>
      <c r="AE40" s="7" t="str">
        <f>IF(AD40="","",IF(I40=1,VLOOKUP(AD40,男子種目コード!$A$78:$B$80,2,FALSE),IF(I40=2,VLOOKUP(AD40,女子種目コード!$A$78:$B$80,2,FALSE))))</f>
        <v/>
      </c>
      <c r="AF40" s="364"/>
      <c r="AG40" s="362">
        <v>0</v>
      </c>
      <c r="AH40" s="362">
        <v>2</v>
      </c>
      <c r="AI40" s="363"/>
      <c r="AJ40" s="321" t="str">
        <f>IF(AI40="","",IF(I40=1,VLOOKUP(AI40,男子種目コード!$A$1:$B$29,2,FALSE),IF(I40=2,VLOOKUP(AI40,女子種目コード!$A$1:$B$30,2,FALSE))))</f>
        <v/>
      </c>
      <c r="AK40" s="58"/>
      <c r="AL40" s="345">
        <v>0</v>
      </c>
      <c r="AM40" s="345">
        <v>2</v>
      </c>
      <c r="AN40" s="6"/>
      <c r="AO40" s="6"/>
      <c r="AP40" s="4"/>
      <c r="AQ40" s="73"/>
      <c r="AR40" s="87" t="str">
        <f t="shared" si="1"/>
        <v/>
      </c>
      <c r="AS40" s="240">
        <f t="shared" si="8"/>
        <v>0</v>
      </c>
      <c r="AT40" s="240">
        <f t="shared" si="9"/>
        <v>0</v>
      </c>
      <c r="AU40" s="87" t="str">
        <f t="shared" si="4"/>
        <v/>
      </c>
      <c r="AV40" s="269" t="s">
        <v>269</v>
      </c>
      <c r="AW40" s="102">
        <f>COUNTIF($P$7:$P$56,64)+COUNTIF($U$7:$U$56,64)</f>
        <v>0</v>
      </c>
      <c r="AX40" s="146"/>
      <c r="AY40" s="146"/>
      <c r="BB40" s="99"/>
      <c r="BC40" s="99"/>
      <c r="BD40" s="146"/>
      <c r="BE40" s="146"/>
      <c r="BF40" s="146"/>
      <c r="BG40" s="4">
        <f t="shared" si="7"/>
        <v>0</v>
      </c>
      <c r="BH40" s="4" t="str">
        <f t="shared" si="10"/>
        <v/>
      </c>
      <c r="BI40" s="4" t="str">
        <f t="shared" si="11"/>
        <v/>
      </c>
      <c r="BJ40" s="694"/>
      <c r="BK40" s="694"/>
      <c r="BL40" s="694"/>
      <c r="BM40" s="694"/>
    </row>
    <row r="41" spans="2:65">
      <c r="B41" s="360" t="str">
        <f>名簿!Q43</f>
        <v/>
      </c>
      <c r="C41" s="389"/>
      <c r="D41" s="799">
        <f>名簿!D43</f>
        <v>0</v>
      </c>
      <c r="E41" s="19">
        <f>名簿!E43</f>
        <v>0</v>
      </c>
      <c r="F41" s="205" t="str">
        <f>名簿!BN43</f>
        <v/>
      </c>
      <c r="G41" s="105" t="str">
        <f>名簿!Z43</f>
        <v/>
      </c>
      <c r="H41" s="122" t="str">
        <f t="shared" si="0"/>
        <v/>
      </c>
      <c r="I41" s="361" t="str">
        <f>名簿!O43</f>
        <v/>
      </c>
      <c r="J41" s="361">
        <f>名簿!I43</f>
        <v>0</v>
      </c>
      <c r="K41" s="361">
        <f>名簿!K43</f>
        <v>0</v>
      </c>
      <c r="L41" s="385" t="str">
        <f>名簿!BQ43</f>
        <v>00</v>
      </c>
      <c r="M41" s="383" t="str">
        <f>名簿!R43</f>
        <v/>
      </c>
      <c r="N41" s="388">
        <f>名簿!C43</f>
        <v>0</v>
      </c>
      <c r="O41" s="202"/>
      <c r="P41" s="187" t="str">
        <f>IF(O41="","",IF(I41=1,VLOOKUP(O41,男子種目コード!$A$1:$B$33,2,FALSE),IF(I41=2,VLOOKUP(O41,女子種目コード!$A$1:$B$28,2,FALSE))))</f>
        <v/>
      </c>
      <c r="Q41" s="397" t="str">
        <f>IF(O41="","",HLOOKUP(O41,名簿!$AB$8:$BG$58,36,FALSE))</f>
        <v/>
      </c>
      <c r="R41" s="393">
        <v>0</v>
      </c>
      <c r="S41" s="401">
        <v>2</v>
      </c>
      <c r="T41" s="195"/>
      <c r="U41" s="187" t="str">
        <f>IF(T41="","",IF(I41=1,VLOOKUP(T41,男子種目コード!$A$1:$B$33,2,FALSE),IF(I41=2,VLOOKUP(T41,女子種目コード!$A$1:$B$28,2,FALSE))))</f>
        <v/>
      </c>
      <c r="V41" s="397" t="str">
        <f>IF(T41="","",HLOOKUP(T41,名簿!$AB$8:$BG$58,36,FALSE))</f>
        <v/>
      </c>
      <c r="W41" s="393">
        <v>0</v>
      </c>
      <c r="X41" s="401">
        <v>2</v>
      </c>
      <c r="Y41" s="404"/>
      <c r="Z41" s="7" t="str">
        <f>IF(Y41="","",IF(I41=1,VLOOKUP(Y41,男子種目コード!$A$1:$B$29,2,FALSE),IF(I41=2,VLOOKUP(Y41,女子種目コード!$A$1:$B$30,2,FALSE))))</f>
        <v/>
      </c>
      <c r="AA41" s="15"/>
      <c r="AB41" s="393">
        <v>0</v>
      </c>
      <c r="AC41" s="362">
        <v>2</v>
      </c>
      <c r="AD41" s="365"/>
      <c r="AE41" s="7" t="str">
        <f>IF(AD41="","",IF(I41=1,VLOOKUP(AD41,男子種目コード!$A$78:$B$80,2,FALSE),IF(I41=2,VLOOKUP(AD41,女子種目コード!$A$78:$B$80,2,FALSE))))</f>
        <v/>
      </c>
      <c r="AF41" s="364"/>
      <c r="AG41" s="362">
        <v>0</v>
      </c>
      <c r="AH41" s="362">
        <v>2</v>
      </c>
      <c r="AI41" s="363"/>
      <c r="AJ41" s="321" t="str">
        <f>IF(AI41="","",IF(I41=1,VLOOKUP(AI41,男子種目コード!$A$1:$B$29,2,FALSE),IF(I41=2,VLOOKUP(AI41,女子種目コード!$A$1:$B$30,2,FALSE))))</f>
        <v/>
      </c>
      <c r="AK41" s="58"/>
      <c r="AL41" s="345">
        <v>0</v>
      </c>
      <c r="AM41" s="345">
        <v>2</v>
      </c>
      <c r="AN41" s="6"/>
      <c r="AO41" s="6"/>
      <c r="AP41" s="4"/>
      <c r="AQ41" s="73"/>
      <c r="AR41" s="87" t="str">
        <f t="shared" si="1"/>
        <v/>
      </c>
      <c r="AS41" s="240">
        <f t="shared" si="8"/>
        <v>0</v>
      </c>
      <c r="AT41" s="240">
        <f t="shared" si="9"/>
        <v>0</v>
      </c>
      <c r="AU41" s="87" t="str">
        <f t="shared" si="4"/>
        <v/>
      </c>
      <c r="AV41" s="268">
        <v>5000</v>
      </c>
      <c r="AW41" s="102">
        <f>COUNTIF($P$7:$P$56,46)+COUNTIF($U$7:$U$56,46)</f>
        <v>0</v>
      </c>
      <c r="AX41" s="146"/>
      <c r="AY41" s="146"/>
      <c r="BB41" s="99"/>
      <c r="BC41" s="99"/>
      <c r="BD41" s="146"/>
      <c r="BE41" s="146"/>
      <c r="BF41" s="146"/>
      <c r="BG41" s="4">
        <f t="shared" si="7"/>
        <v>0</v>
      </c>
      <c r="BH41" s="4" t="str">
        <f t="shared" si="10"/>
        <v/>
      </c>
      <c r="BI41" s="4" t="str">
        <f t="shared" si="11"/>
        <v/>
      </c>
      <c r="BJ41" s="694"/>
      <c r="BK41" s="694"/>
      <c r="BL41" s="694"/>
      <c r="BM41" s="694"/>
    </row>
    <row r="42" spans="2:65">
      <c r="B42" s="360" t="str">
        <f>名簿!Q44</f>
        <v/>
      </c>
      <c r="C42" s="389"/>
      <c r="D42" s="799">
        <f>名簿!D44</f>
        <v>0</v>
      </c>
      <c r="E42" s="19">
        <f>名簿!E44</f>
        <v>0</v>
      </c>
      <c r="F42" s="205" t="str">
        <f>名簿!BN44</f>
        <v/>
      </c>
      <c r="G42" s="105" t="str">
        <f>名簿!Z44</f>
        <v/>
      </c>
      <c r="H42" s="122" t="str">
        <f t="shared" si="0"/>
        <v/>
      </c>
      <c r="I42" s="361" t="str">
        <f>名簿!O44</f>
        <v/>
      </c>
      <c r="J42" s="361">
        <f>名簿!I44</f>
        <v>0</v>
      </c>
      <c r="K42" s="361">
        <f>名簿!K44</f>
        <v>0</v>
      </c>
      <c r="L42" s="385" t="str">
        <f>名簿!BQ44</f>
        <v>00</v>
      </c>
      <c r="M42" s="383" t="str">
        <f>名簿!R44</f>
        <v/>
      </c>
      <c r="N42" s="388">
        <f>名簿!C44</f>
        <v>0</v>
      </c>
      <c r="O42" s="202"/>
      <c r="P42" s="187" t="str">
        <f>IF(O42="","",IF(I42=1,VLOOKUP(O42,男子種目コード!$A$1:$B$33,2,FALSE),IF(I42=2,VLOOKUP(O42,女子種目コード!$A$1:$B$28,2,FALSE))))</f>
        <v/>
      </c>
      <c r="Q42" s="397" t="str">
        <f>IF(O42="","",HLOOKUP(O42,名簿!$AB$8:$BG$58,37,FALSE))</f>
        <v/>
      </c>
      <c r="R42" s="393">
        <v>0</v>
      </c>
      <c r="S42" s="401">
        <v>2</v>
      </c>
      <c r="T42" s="195"/>
      <c r="U42" s="187" t="str">
        <f>IF(T42="","",IF(I42=1,VLOOKUP(T42,男子種目コード!$A$1:$B$33,2,FALSE),IF(I42=2,VLOOKUP(T42,女子種目コード!$A$1:$B$28,2,FALSE))))</f>
        <v/>
      </c>
      <c r="V42" s="397" t="str">
        <f>IF(T42="","",HLOOKUP(T42,名簿!$AB$8:$BG$58,37,FALSE))</f>
        <v/>
      </c>
      <c r="W42" s="393">
        <v>0</v>
      </c>
      <c r="X42" s="401">
        <v>2</v>
      </c>
      <c r="Y42" s="404"/>
      <c r="Z42" s="7" t="str">
        <f>IF(Y42="","",IF(I42=1,VLOOKUP(Y42,男子種目コード!$A$1:$B$29,2,FALSE),IF(I42=2,VLOOKUP(Y42,女子種目コード!$A$1:$B$30,2,FALSE))))</f>
        <v/>
      </c>
      <c r="AA42" s="15"/>
      <c r="AB42" s="393">
        <v>0</v>
      </c>
      <c r="AC42" s="362">
        <v>2</v>
      </c>
      <c r="AD42" s="365"/>
      <c r="AE42" s="7" t="str">
        <f>IF(AD42="","",IF(I42=1,VLOOKUP(AD42,男子種目コード!$A$78:$B$80,2,FALSE),IF(I42=2,VLOOKUP(AD42,女子種目コード!$A$78:$B$80,2,FALSE))))</f>
        <v/>
      </c>
      <c r="AF42" s="364"/>
      <c r="AG42" s="362">
        <v>0</v>
      </c>
      <c r="AH42" s="362">
        <v>2</v>
      </c>
      <c r="AI42" s="363"/>
      <c r="AJ42" s="321" t="str">
        <f>IF(AI42="","",IF(I42=1,VLOOKUP(AI42,男子種目コード!$A$1:$B$29,2,FALSE),IF(I42=2,VLOOKUP(AI42,女子種目コード!$A$1:$B$30,2,FALSE))))</f>
        <v/>
      </c>
      <c r="AK42" s="58"/>
      <c r="AL42" s="345">
        <v>0</v>
      </c>
      <c r="AM42" s="345">
        <v>2</v>
      </c>
      <c r="AN42" s="6"/>
      <c r="AO42" s="6"/>
      <c r="AP42" s="4"/>
      <c r="AQ42" s="73"/>
      <c r="AR42" s="87" t="str">
        <f t="shared" si="1"/>
        <v/>
      </c>
      <c r="AS42" s="240">
        <f t="shared" si="8"/>
        <v>0</v>
      </c>
      <c r="AT42" s="240">
        <f t="shared" si="9"/>
        <v>0</v>
      </c>
      <c r="AU42" s="87" t="str">
        <f t="shared" si="4"/>
        <v/>
      </c>
      <c r="AV42" s="268">
        <v>10000</v>
      </c>
      <c r="AW42" s="102">
        <f>COUNTIF($P$7:$P$56,47)+COUNTIF($U$7:$U$56,47)</f>
        <v>0</v>
      </c>
      <c r="AX42" s="146"/>
      <c r="AY42" s="146"/>
      <c r="BB42" s="99"/>
      <c r="BC42" s="99"/>
      <c r="BD42" s="146"/>
      <c r="BE42" s="146"/>
      <c r="BF42" s="146"/>
      <c r="BG42" s="4">
        <f t="shared" si="7"/>
        <v>0</v>
      </c>
      <c r="BH42" s="4" t="str">
        <f t="shared" si="10"/>
        <v/>
      </c>
      <c r="BI42" s="4" t="str">
        <f t="shared" si="11"/>
        <v/>
      </c>
      <c r="BJ42" s="694"/>
      <c r="BK42" s="694"/>
      <c r="BL42" s="694"/>
      <c r="BM42" s="694"/>
    </row>
    <row r="43" spans="2:65">
      <c r="B43" s="360" t="str">
        <f>名簿!Q45</f>
        <v/>
      </c>
      <c r="C43" s="389"/>
      <c r="D43" s="799">
        <f>名簿!D45</f>
        <v>0</v>
      </c>
      <c r="E43" s="19">
        <f>名簿!E45</f>
        <v>0</v>
      </c>
      <c r="F43" s="205" t="str">
        <f>名簿!BN45</f>
        <v/>
      </c>
      <c r="G43" s="105" t="str">
        <f>名簿!Z45</f>
        <v/>
      </c>
      <c r="H43" s="122" t="str">
        <f t="shared" si="0"/>
        <v/>
      </c>
      <c r="I43" s="361" t="str">
        <f>名簿!O45</f>
        <v/>
      </c>
      <c r="J43" s="361">
        <f>名簿!I45</f>
        <v>0</v>
      </c>
      <c r="K43" s="361">
        <f>名簿!K45</f>
        <v>0</v>
      </c>
      <c r="L43" s="385" t="str">
        <f>名簿!BQ45</f>
        <v>00</v>
      </c>
      <c r="M43" s="383" t="str">
        <f>名簿!R45</f>
        <v/>
      </c>
      <c r="N43" s="388">
        <f>名簿!C45</f>
        <v>0</v>
      </c>
      <c r="O43" s="202"/>
      <c r="P43" s="187" t="str">
        <f>IF(O43="","",IF(I43=1,VLOOKUP(O43,男子種目コード!$A$1:$B$33,2,FALSE),IF(I43=2,VLOOKUP(O43,女子種目コード!$A$1:$B$28,2,FALSE))))</f>
        <v/>
      </c>
      <c r="Q43" s="397" t="str">
        <f>IF(O43="","",HLOOKUP(O43,名簿!$AB$8:$BG$58,38,FALSE))</f>
        <v/>
      </c>
      <c r="R43" s="393">
        <v>0</v>
      </c>
      <c r="S43" s="401">
        <v>2</v>
      </c>
      <c r="T43" s="195"/>
      <c r="U43" s="187" t="str">
        <f>IF(T43="","",IF(I43=1,VLOOKUP(T43,男子種目コード!$A$1:$B$33,2,FALSE),IF(I43=2,VLOOKUP(T43,女子種目コード!$A$1:$B$28,2,FALSE))))</f>
        <v/>
      </c>
      <c r="V43" s="397" t="str">
        <f>IF(T43="","",HLOOKUP(T43,名簿!$AB$8:$BG$58,38,FALSE))</f>
        <v/>
      </c>
      <c r="W43" s="393">
        <v>0</v>
      </c>
      <c r="X43" s="401">
        <v>2</v>
      </c>
      <c r="Y43" s="404"/>
      <c r="Z43" s="7" t="str">
        <f>IF(Y43="","",IF(I43=1,VLOOKUP(Y43,男子種目コード!$A$1:$B$29,2,FALSE),IF(I43=2,VLOOKUP(Y43,女子種目コード!$A$1:$B$30,2,FALSE))))</f>
        <v/>
      </c>
      <c r="AA43" s="15"/>
      <c r="AB43" s="393">
        <v>0</v>
      </c>
      <c r="AC43" s="362">
        <v>2</v>
      </c>
      <c r="AD43" s="365"/>
      <c r="AE43" s="7" t="str">
        <f>IF(AD43="","",IF(I43=1,VLOOKUP(AD43,男子種目コード!$A$78:$B$80,2,FALSE),IF(I43=2,VLOOKUP(AD43,女子種目コード!$A$78:$B$80,2,FALSE))))</f>
        <v/>
      </c>
      <c r="AF43" s="364"/>
      <c r="AG43" s="362">
        <v>0</v>
      </c>
      <c r="AH43" s="362">
        <v>2</v>
      </c>
      <c r="AI43" s="363"/>
      <c r="AJ43" s="321" t="str">
        <f>IF(AI43="","",IF(I43=1,VLOOKUP(AI43,男子種目コード!$A$1:$B$29,2,FALSE),IF(I43=2,VLOOKUP(AI43,女子種目コード!$A$1:$B$30,2,FALSE))))</f>
        <v/>
      </c>
      <c r="AK43" s="58"/>
      <c r="AL43" s="345">
        <v>0</v>
      </c>
      <c r="AM43" s="345">
        <v>2</v>
      </c>
      <c r="AN43" s="6"/>
      <c r="AO43" s="6"/>
      <c r="AP43" s="4"/>
      <c r="AQ43" s="73"/>
      <c r="AR43" s="87" t="str">
        <f t="shared" si="1"/>
        <v/>
      </c>
      <c r="AS43" s="240">
        <f t="shared" si="8"/>
        <v>0</v>
      </c>
      <c r="AT43" s="240">
        <f t="shared" si="9"/>
        <v>0</v>
      </c>
      <c r="AU43" s="87" t="str">
        <f t="shared" si="4"/>
        <v/>
      </c>
      <c r="AV43" s="268" t="s">
        <v>279</v>
      </c>
      <c r="AW43" s="102">
        <f>COUNTIF($P$7:$P$56,48)+COUNTIF($U$7:$U$56,48)</f>
        <v>0</v>
      </c>
      <c r="AX43" s="146"/>
      <c r="AY43" s="146"/>
      <c r="BB43" s="99"/>
      <c r="BC43" s="99"/>
      <c r="BD43" s="146"/>
      <c r="BE43" s="146"/>
      <c r="BF43" s="146"/>
      <c r="BG43" s="4">
        <f t="shared" si="7"/>
        <v>0</v>
      </c>
      <c r="BH43" s="4" t="str">
        <f t="shared" si="10"/>
        <v/>
      </c>
      <c r="BI43" s="4" t="str">
        <f t="shared" si="11"/>
        <v/>
      </c>
      <c r="BJ43" s="694"/>
      <c r="BK43" s="694"/>
      <c r="BL43" s="694"/>
      <c r="BM43" s="694"/>
    </row>
    <row r="44" spans="2:65">
      <c r="B44" s="360" t="str">
        <f>名簿!Q46</f>
        <v/>
      </c>
      <c r="C44" s="389"/>
      <c r="D44" s="799">
        <f>名簿!D46</f>
        <v>0</v>
      </c>
      <c r="E44" s="19">
        <f>名簿!E46</f>
        <v>0</v>
      </c>
      <c r="F44" s="205" t="str">
        <f>名簿!BN46</f>
        <v/>
      </c>
      <c r="G44" s="105" t="str">
        <f>名簿!Z46</f>
        <v/>
      </c>
      <c r="H44" s="122" t="str">
        <f t="shared" si="0"/>
        <v/>
      </c>
      <c r="I44" s="361" t="str">
        <f>名簿!O46</f>
        <v/>
      </c>
      <c r="J44" s="361">
        <f>名簿!I46</f>
        <v>0</v>
      </c>
      <c r="K44" s="361">
        <f>名簿!K46</f>
        <v>0</v>
      </c>
      <c r="L44" s="385" t="str">
        <f>名簿!BQ46</f>
        <v>00</v>
      </c>
      <c r="M44" s="383" t="str">
        <f>名簿!R46</f>
        <v/>
      </c>
      <c r="N44" s="388">
        <f>名簿!C46</f>
        <v>0</v>
      </c>
      <c r="O44" s="202"/>
      <c r="P44" s="187" t="str">
        <f>IF(O44="","",IF(I44=1,VLOOKUP(O44,男子種目コード!$A$1:$B$33,2,FALSE),IF(I44=2,VLOOKUP(O44,女子種目コード!$A$1:$B$28,2,FALSE))))</f>
        <v/>
      </c>
      <c r="Q44" s="397" t="str">
        <f>IF(O44="","",HLOOKUP(O44,名簿!$AB$8:$BG$58,39,FALSE))</f>
        <v/>
      </c>
      <c r="R44" s="393">
        <v>0</v>
      </c>
      <c r="S44" s="401">
        <v>2</v>
      </c>
      <c r="T44" s="195"/>
      <c r="U44" s="187" t="str">
        <f>IF(T44="","",IF(I44=1,VLOOKUP(T44,男子種目コード!$A$1:$B$33,2,FALSE),IF(I44=2,VLOOKUP(T44,女子種目コード!$A$1:$B$28,2,FALSE))))</f>
        <v/>
      </c>
      <c r="V44" s="397" t="str">
        <f>IF(T44="","",HLOOKUP(T44,名簿!$AB$8:$BG$58,39,FALSE))</f>
        <v/>
      </c>
      <c r="W44" s="393">
        <v>0</v>
      </c>
      <c r="X44" s="401">
        <v>2</v>
      </c>
      <c r="Y44" s="404"/>
      <c r="Z44" s="7" t="str">
        <f>IF(Y44="","",IF(I44=1,VLOOKUP(Y44,男子種目コード!$A$1:$B$29,2,FALSE),IF(I44=2,VLOOKUP(Y44,女子種目コード!$A$1:$B$30,2,FALSE))))</f>
        <v/>
      </c>
      <c r="AA44" s="15"/>
      <c r="AB44" s="393">
        <v>0</v>
      </c>
      <c r="AC44" s="362">
        <v>2</v>
      </c>
      <c r="AD44" s="365"/>
      <c r="AE44" s="7" t="str">
        <f>IF(AD44="","",IF(I44=1,VLOOKUP(AD44,男子種目コード!$A$78:$B$80,2,FALSE),IF(I44=2,VLOOKUP(AD44,女子種目コード!$A$78:$B$80,2,FALSE))))</f>
        <v/>
      </c>
      <c r="AF44" s="364"/>
      <c r="AG44" s="362">
        <v>0</v>
      </c>
      <c r="AH44" s="362">
        <v>2</v>
      </c>
      <c r="AI44" s="363"/>
      <c r="AJ44" s="321" t="str">
        <f>IF(AI44="","",IF(I44=1,VLOOKUP(AI44,男子種目コード!$A$1:$B$29,2,FALSE),IF(I44=2,VLOOKUP(AI44,女子種目コード!$A$1:$B$30,2,FALSE))))</f>
        <v/>
      </c>
      <c r="AK44" s="58"/>
      <c r="AL44" s="345">
        <v>0</v>
      </c>
      <c r="AM44" s="345">
        <v>2</v>
      </c>
      <c r="AN44" s="6"/>
      <c r="AO44" s="6"/>
      <c r="AP44" s="4"/>
      <c r="AQ44" s="73"/>
      <c r="AR44" s="87" t="str">
        <f t="shared" si="1"/>
        <v/>
      </c>
      <c r="AS44" s="240">
        <f t="shared" si="8"/>
        <v>0</v>
      </c>
      <c r="AT44" s="240">
        <f t="shared" si="9"/>
        <v>0</v>
      </c>
      <c r="AU44" s="87" t="str">
        <f t="shared" si="4"/>
        <v/>
      </c>
      <c r="AV44" s="269"/>
      <c r="AW44" s="102">
        <f>COUNTIF($P$7:$P$56,65)+COUNTIF($U$7:$U$56,65)</f>
        <v>0</v>
      </c>
      <c r="AX44" s="146"/>
      <c r="AY44" s="146"/>
      <c r="BB44" s="99"/>
      <c r="BC44" s="99"/>
      <c r="BD44" s="146"/>
      <c r="BE44" s="146"/>
      <c r="BF44" s="146"/>
      <c r="BG44" s="4">
        <f t="shared" si="7"/>
        <v>0</v>
      </c>
      <c r="BH44" s="4" t="str">
        <f t="shared" si="10"/>
        <v/>
      </c>
      <c r="BI44" s="4" t="str">
        <f t="shared" si="11"/>
        <v/>
      </c>
      <c r="BJ44" s="694"/>
      <c r="BK44" s="694"/>
      <c r="BL44" s="694"/>
      <c r="BM44" s="694"/>
    </row>
    <row r="45" spans="2:65">
      <c r="B45" s="360" t="str">
        <f>名簿!Q47</f>
        <v/>
      </c>
      <c r="C45" s="389"/>
      <c r="D45" s="799">
        <f>名簿!D47</f>
        <v>0</v>
      </c>
      <c r="E45" s="19">
        <f>名簿!E47</f>
        <v>0</v>
      </c>
      <c r="F45" s="205" t="str">
        <f>名簿!BN47</f>
        <v/>
      </c>
      <c r="G45" s="105" t="str">
        <f>名簿!Z47</f>
        <v/>
      </c>
      <c r="H45" s="122" t="str">
        <f t="shared" si="0"/>
        <v/>
      </c>
      <c r="I45" s="361" t="str">
        <f>名簿!O47</f>
        <v/>
      </c>
      <c r="J45" s="361">
        <f>名簿!I47</f>
        <v>0</v>
      </c>
      <c r="K45" s="361">
        <f>名簿!K47</f>
        <v>0</v>
      </c>
      <c r="L45" s="385" t="str">
        <f>名簿!BQ47</f>
        <v>00</v>
      </c>
      <c r="M45" s="383" t="str">
        <f>名簿!R47</f>
        <v/>
      </c>
      <c r="N45" s="388">
        <f>名簿!C47</f>
        <v>0</v>
      </c>
      <c r="O45" s="202"/>
      <c r="P45" s="187" t="str">
        <f>IF(O45="","",IF(I45=1,VLOOKUP(O45,男子種目コード!$A$1:$B$33,2,FALSE),IF(I45=2,VLOOKUP(O45,女子種目コード!$A$1:$B$28,2,FALSE))))</f>
        <v/>
      </c>
      <c r="Q45" s="397" t="str">
        <f>IF(O45="","",HLOOKUP(O45,名簿!$AB$8:$BG$58,40,FALSE))</f>
        <v/>
      </c>
      <c r="R45" s="393">
        <v>0</v>
      </c>
      <c r="S45" s="401">
        <v>2</v>
      </c>
      <c r="T45" s="195"/>
      <c r="U45" s="187" t="str">
        <f>IF(T45="","",IF(I45=1,VLOOKUP(T45,男子種目コード!$A$1:$B$33,2,FALSE),IF(I45=2,VLOOKUP(T45,女子種目コード!$A$1:$B$28,2,FALSE))))</f>
        <v/>
      </c>
      <c r="V45" s="397" t="str">
        <f>IF(T45="","",HLOOKUP(T45,名簿!$AB$8:$BG$58,40,FALSE))</f>
        <v/>
      </c>
      <c r="W45" s="393">
        <v>0</v>
      </c>
      <c r="X45" s="401">
        <v>2</v>
      </c>
      <c r="Y45" s="404"/>
      <c r="Z45" s="7" t="str">
        <f>IF(Y45="","",IF(I45=1,VLOOKUP(Y45,男子種目コード!$A$1:$B$29,2,FALSE),IF(I45=2,VLOOKUP(Y45,女子種目コード!$A$1:$B$30,2,FALSE))))</f>
        <v/>
      </c>
      <c r="AA45" s="15"/>
      <c r="AB45" s="393">
        <v>0</v>
      </c>
      <c r="AC45" s="362">
        <v>2</v>
      </c>
      <c r="AD45" s="365"/>
      <c r="AE45" s="7" t="str">
        <f>IF(AD45="","",IF(I45=1,VLOOKUP(AD45,男子種目コード!$A$78:$B$80,2,FALSE),IF(I45=2,VLOOKUP(AD45,女子種目コード!$A$78:$B$80,2,FALSE))))</f>
        <v/>
      </c>
      <c r="AF45" s="364"/>
      <c r="AG45" s="362">
        <v>0</v>
      </c>
      <c r="AH45" s="362">
        <v>2</v>
      </c>
      <c r="AI45" s="363"/>
      <c r="AJ45" s="321" t="str">
        <f>IF(AI45="","",IF(I45=1,VLOOKUP(AI45,男子種目コード!$A$1:$B$29,2,FALSE),IF(I45=2,VLOOKUP(AI45,女子種目コード!$A$1:$B$30,2,FALSE))))</f>
        <v/>
      </c>
      <c r="AK45" s="58"/>
      <c r="AL45" s="345">
        <v>0</v>
      </c>
      <c r="AM45" s="345">
        <v>2</v>
      </c>
      <c r="AN45" s="6"/>
      <c r="AO45" s="6"/>
      <c r="AP45" s="4"/>
      <c r="AQ45" s="73"/>
      <c r="AR45" s="87" t="str">
        <f t="shared" si="1"/>
        <v/>
      </c>
      <c r="AS45" s="240">
        <f t="shared" si="8"/>
        <v>0</v>
      </c>
      <c r="AT45" s="240">
        <f t="shared" si="9"/>
        <v>0</v>
      </c>
      <c r="AU45" s="87" t="str">
        <f t="shared" si="4"/>
        <v/>
      </c>
      <c r="AV45" s="269" t="s">
        <v>281</v>
      </c>
      <c r="AW45" s="102">
        <f>COUNTIF($P$7:$P$56,49)+COUNTIF($U$7:$U$56,49)</f>
        <v>0</v>
      </c>
      <c r="AX45" s="146"/>
      <c r="AY45" s="146"/>
      <c r="BB45" s="99"/>
      <c r="BC45" s="99"/>
      <c r="BD45" s="146"/>
      <c r="BE45" s="146"/>
      <c r="BF45" s="146"/>
      <c r="BG45" s="4">
        <f t="shared" si="7"/>
        <v>0</v>
      </c>
      <c r="BH45" s="4" t="str">
        <f t="shared" si="10"/>
        <v/>
      </c>
      <c r="BI45" s="4" t="str">
        <f t="shared" si="11"/>
        <v/>
      </c>
      <c r="BJ45" s="694"/>
      <c r="BK45" s="694"/>
      <c r="BL45" s="694"/>
      <c r="BM45" s="694"/>
    </row>
    <row r="46" spans="2:65">
      <c r="B46" s="360" t="str">
        <f>名簿!Q48</f>
        <v/>
      </c>
      <c r="C46" s="389"/>
      <c r="D46" s="799">
        <f>名簿!D48</f>
        <v>0</v>
      </c>
      <c r="E46" s="19">
        <f>名簿!E48</f>
        <v>0</v>
      </c>
      <c r="F46" s="205" t="str">
        <f>名簿!BN48</f>
        <v/>
      </c>
      <c r="G46" s="105" t="str">
        <f>名簿!Z48</f>
        <v/>
      </c>
      <c r="H46" s="122" t="str">
        <f t="shared" si="0"/>
        <v/>
      </c>
      <c r="I46" s="361" t="str">
        <f>名簿!O48</f>
        <v/>
      </c>
      <c r="J46" s="361">
        <f>名簿!I48</f>
        <v>0</v>
      </c>
      <c r="K46" s="361">
        <f>名簿!K48</f>
        <v>0</v>
      </c>
      <c r="L46" s="385" t="str">
        <f>名簿!BQ48</f>
        <v>00</v>
      </c>
      <c r="M46" s="383" t="str">
        <f>名簿!R48</f>
        <v/>
      </c>
      <c r="N46" s="388">
        <f>名簿!C48</f>
        <v>0</v>
      </c>
      <c r="O46" s="202"/>
      <c r="P46" s="187" t="str">
        <f>IF(O46="","",IF(I46=1,VLOOKUP(O46,男子種目コード!$A$1:$B$33,2,FALSE),IF(I46=2,VLOOKUP(O46,女子種目コード!$A$1:$B$28,2,FALSE))))</f>
        <v/>
      </c>
      <c r="Q46" s="397" t="str">
        <f>IF(O46="","",HLOOKUP(O46,名簿!$AB$8:$BG$58,41,FALSE))</f>
        <v/>
      </c>
      <c r="R46" s="393">
        <v>0</v>
      </c>
      <c r="S46" s="401">
        <v>2</v>
      </c>
      <c r="T46" s="195"/>
      <c r="U46" s="187" t="str">
        <f>IF(T46="","",IF(I46=1,VLOOKUP(T46,男子種目コード!$A$1:$B$33,2,FALSE),IF(I46=2,VLOOKUP(T46,女子種目コード!$A$1:$B$28,2,FALSE))))</f>
        <v/>
      </c>
      <c r="V46" s="397" t="str">
        <f>IF(T46="","",HLOOKUP(T46,名簿!$AB$8:$BG$58,41,FALSE))</f>
        <v/>
      </c>
      <c r="W46" s="393">
        <v>0</v>
      </c>
      <c r="X46" s="401">
        <v>2</v>
      </c>
      <c r="Y46" s="404"/>
      <c r="Z46" s="7" t="str">
        <f>IF(Y46="","",IF(I46=1,VLOOKUP(Y46,男子種目コード!$A$1:$B$29,2,FALSE),IF(I46=2,VLOOKUP(Y46,女子種目コード!$A$1:$B$30,2,FALSE))))</f>
        <v/>
      </c>
      <c r="AA46" s="15"/>
      <c r="AB46" s="393">
        <v>0</v>
      </c>
      <c r="AC46" s="362">
        <v>2</v>
      </c>
      <c r="AD46" s="365"/>
      <c r="AE46" s="7" t="str">
        <f>IF(AD46="","",IF(I46=1,VLOOKUP(AD46,男子種目コード!$A$78:$B$80,2,FALSE),IF(I46=2,VLOOKUP(AD46,女子種目コード!$A$78:$B$80,2,FALSE))))</f>
        <v/>
      </c>
      <c r="AF46" s="364"/>
      <c r="AG46" s="362">
        <v>0</v>
      </c>
      <c r="AH46" s="362">
        <v>2</v>
      </c>
      <c r="AI46" s="363"/>
      <c r="AJ46" s="321" t="str">
        <f>IF(AI46="","",IF(I46=1,VLOOKUP(AI46,男子種目コード!$A$1:$B$29,2,FALSE),IF(I46=2,VLOOKUP(AI46,女子種目コード!$A$1:$B$30,2,FALSE))))</f>
        <v/>
      </c>
      <c r="AK46" s="58"/>
      <c r="AL46" s="345">
        <v>0</v>
      </c>
      <c r="AM46" s="345">
        <v>2</v>
      </c>
      <c r="AN46" s="6"/>
      <c r="AO46" s="6"/>
      <c r="AP46" s="4"/>
      <c r="AQ46" s="73"/>
      <c r="AR46" s="87" t="str">
        <f t="shared" si="1"/>
        <v/>
      </c>
      <c r="AS46" s="240">
        <f t="shared" si="8"/>
        <v>0</v>
      </c>
      <c r="AT46" s="240">
        <f t="shared" si="9"/>
        <v>0</v>
      </c>
      <c r="AU46" s="87" t="str">
        <f t="shared" si="4"/>
        <v/>
      </c>
      <c r="AV46" s="269" t="s">
        <v>283</v>
      </c>
      <c r="AW46" s="102">
        <f>COUNTIF($P$7:$P$56,52)+COUNTIF($U$7:$U$56,52)</f>
        <v>0</v>
      </c>
      <c r="AX46" s="146"/>
      <c r="AY46" s="146"/>
      <c r="BB46" s="99"/>
      <c r="BC46" s="99"/>
      <c r="BD46" s="146"/>
      <c r="BE46" s="146"/>
      <c r="BF46" s="146"/>
      <c r="BG46" s="4">
        <f t="shared" si="7"/>
        <v>0</v>
      </c>
      <c r="BH46" s="4" t="str">
        <f t="shared" si="10"/>
        <v/>
      </c>
      <c r="BI46" s="4" t="str">
        <f t="shared" si="11"/>
        <v/>
      </c>
      <c r="BJ46" s="694"/>
      <c r="BK46" s="694"/>
      <c r="BL46" s="694"/>
      <c r="BM46" s="694"/>
    </row>
    <row r="47" spans="2:65">
      <c r="B47" s="360" t="str">
        <f>名簿!Q49</f>
        <v/>
      </c>
      <c r="C47" s="389"/>
      <c r="D47" s="799">
        <f>名簿!D49</f>
        <v>0</v>
      </c>
      <c r="E47" s="19">
        <f>名簿!E49</f>
        <v>0</v>
      </c>
      <c r="F47" s="205" t="str">
        <f>名簿!BN49</f>
        <v/>
      </c>
      <c r="G47" s="105" t="str">
        <f>名簿!Z49</f>
        <v/>
      </c>
      <c r="H47" s="122" t="str">
        <f t="shared" si="0"/>
        <v/>
      </c>
      <c r="I47" s="361" t="str">
        <f>名簿!O49</f>
        <v/>
      </c>
      <c r="J47" s="361">
        <f>名簿!I49</f>
        <v>0</v>
      </c>
      <c r="K47" s="361">
        <f>名簿!K49</f>
        <v>0</v>
      </c>
      <c r="L47" s="385" t="str">
        <f>名簿!BQ49</f>
        <v>00</v>
      </c>
      <c r="M47" s="383" t="str">
        <f>名簿!R49</f>
        <v/>
      </c>
      <c r="N47" s="388">
        <f>名簿!C49</f>
        <v>0</v>
      </c>
      <c r="O47" s="202"/>
      <c r="P47" s="187" t="str">
        <f>IF(O47="","",IF(I47=1,VLOOKUP(O47,男子種目コード!$A$1:$B$33,2,FALSE),IF(I47=2,VLOOKUP(O47,女子種目コード!$A$1:$B$28,2,FALSE))))</f>
        <v/>
      </c>
      <c r="Q47" s="397" t="str">
        <f>IF(O47="","",HLOOKUP(O47,名簿!$AB$8:$BG$58,42,FALSE))</f>
        <v/>
      </c>
      <c r="R47" s="393">
        <v>0</v>
      </c>
      <c r="S47" s="401">
        <v>2</v>
      </c>
      <c r="T47" s="195"/>
      <c r="U47" s="187" t="str">
        <f>IF(T47="","",IF(I47=1,VLOOKUP(T47,男子種目コード!$A$1:$B$33,2,FALSE),IF(I47=2,VLOOKUP(T47,女子種目コード!$A$1:$B$28,2,FALSE))))</f>
        <v/>
      </c>
      <c r="V47" s="397" t="str">
        <f>IF(T47="","",HLOOKUP(T47,名簿!$AB$8:$BG$58,42,FALSE))</f>
        <v/>
      </c>
      <c r="W47" s="393">
        <v>0</v>
      </c>
      <c r="X47" s="401">
        <v>2</v>
      </c>
      <c r="Y47" s="404"/>
      <c r="Z47" s="7" t="str">
        <f>IF(Y47="","",IF(I47=1,VLOOKUP(Y47,男子種目コード!$A$1:$B$29,2,FALSE),IF(I47=2,VLOOKUP(Y47,女子種目コード!$A$1:$B$30,2,FALSE))))</f>
        <v/>
      </c>
      <c r="AA47" s="15"/>
      <c r="AB47" s="393">
        <v>0</v>
      </c>
      <c r="AC47" s="362">
        <v>2</v>
      </c>
      <c r="AD47" s="365"/>
      <c r="AE47" s="7" t="str">
        <f>IF(AD47="","",IF(I47=1,VLOOKUP(AD47,男子種目コード!$A$78:$B$80,2,FALSE),IF(I47=2,VLOOKUP(AD47,女子種目コード!$A$78:$B$80,2,FALSE))))</f>
        <v/>
      </c>
      <c r="AF47" s="364"/>
      <c r="AG47" s="362">
        <v>0</v>
      </c>
      <c r="AH47" s="362">
        <v>2</v>
      </c>
      <c r="AI47" s="363"/>
      <c r="AJ47" s="321" t="str">
        <f>IF(AI47="","",IF(I47=1,VLOOKUP(AI47,男子種目コード!$A$1:$B$29,2,FALSE),IF(I47=2,VLOOKUP(AI47,女子種目コード!$A$1:$B$30,2,FALSE))))</f>
        <v/>
      </c>
      <c r="AK47" s="58"/>
      <c r="AL47" s="345">
        <v>0</v>
      </c>
      <c r="AM47" s="345">
        <v>2</v>
      </c>
      <c r="AN47" s="6"/>
      <c r="AO47" s="6"/>
      <c r="AP47" s="4"/>
      <c r="AQ47" s="73"/>
      <c r="AR47" s="87" t="str">
        <f t="shared" si="1"/>
        <v/>
      </c>
      <c r="AS47" s="240">
        <f t="shared" si="8"/>
        <v>0</v>
      </c>
      <c r="AT47" s="240">
        <f t="shared" si="9"/>
        <v>0</v>
      </c>
      <c r="AU47" s="87" t="str">
        <f t="shared" si="4"/>
        <v/>
      </c>
      <c r="AV47" s="269" t="s">
        <v>35</v>
      </c>
      <c r="AW47" s="102">
        <f>COUNTIF($P$7:$P$56,55)+COUNTIF($U$7:$U$56,55)</f>
        <v>0</v>
      </c>
      <c r="AX47" s="146"/>
      <c r="AY47" s="146"/>
      <c r="BB47" s="99"/>
      <c r="BC47" s="99"/>
      <c r="BD47" s="146"/>
      <c r="BE47" s="146"/>
      <c r="BF47" s="146"/>
      <c r="BG47" s="4">
        <f t="shared" si="7"/>
        <v>0</v>
      </c>
      <c r="BH47" s="4" t="str">
        <f t="shared" si="10"/>
        <v/>
      </c>
      <c r="BI47" s="4" t="str">
        <f t="shared" si="11"/>
        <v/>
      </c>
      <c r="BJ47" s="694"/>
      <c r="BK47" s="694"/>
      <c r="BL47" s="694"/>
      <c r="BM47" s="694"/>
    </row>
    <row r="48" spans="2:65">
      <c r="B48" s="360" t="str">
        <f>名簿!Q50</f>
        <v/>
      </c>
      <c r="C48" s="389"/>
      <c r="D48" s="799">
        <f>名簿!D50</f>
        <v>0</v>
      </c>
      <c r="E48" s="19">
        <f>名簿!E50</f>
        <v>0</v>
      </c>
      <c r="F48" s="205" t="str">
        <f>名簿!BN50</f>
        <v/>
      </c>
      <c r="G48" s="105" t="str">
        <f>名簿!Z50</f>
        <v/>
      </c>
      <c r="H48" s="122" t="str">
        <f t="shared" si="0"/>
        <v/>
      </c>
      <c r="I48" s="361" t="str">
        <f>名簿!O50</f>
        <v/>
      </c>
      <c r="J48" s="361">
        <f>名簿!I50</f>
        <v>0</v>
      </c>
      <c r="K48" s="361">
        <f>名簿!K50</f>
        <v>0</v>
      </c>
      <c r="L48" s="385" t="str">
        <f>名簿!BQ50</f>
        <v>00</v>
      </c>
      <c r="M48" s="383" t="str">
        <f>名簿!R50</f>
        <v/>
      </c>
      <c r="N48" s="388">
        <f>名簿!C50</f>
        <v>0</v>
      </c>
      <c r="O48" s="202"/>
      <c r="P48" s="187" t="str">
        <f>IF(O48="","",IF(I48=1,VLOOKUP(O48,男子種目コード!$A$1:$B$33,2,FALSE),IF(I48=2,VLOOKUP(O48,女子種目コード!$A$1:$B$28,2,FALSE))))</f>
        <v/>
      </c>
      <c r="Q48" s="397" t="str">
        <f>IF(O48="","",HLOOKUP(O48,名簿!$AB$8:$BG$58,43,FALSE))</f>
        <v/>
      </c>
      <c r="R48" s="393">
        <v>0</v>
      </c>
      <c r="S48" s="401">
        <v>2</v>
      </c>
      <c r="T48" s="195"/>
      <c r="U48" s="187" t="str">
        <f>IF(T48="","",IF(I48=1,VLOOKUP(T48,男子種目コード!$A$1:$B$33,2,FALSE),IF(I48=2,VLOOKUP(T48,女子種目コード!$A$1:$B$28,2,FALSE))))</f>
        <v/>
      </c>
      <c r="V48" s="397" t="str">
        <f>IF(T48="","",HLOOKUP(T48,名簿!$AB$8:$BG$58,43,FALSE))</f>
        <v/>
      </c>
      <c r="W48" s="393">
        <v>0</v>
      </c>
      <c r="X48" s="401">
        <v>2</v>
      </c>
      <c r="Y48" s="404"/>
      <c r="Z48" s="7" t="str">
        <f>IF(Y48="","",IF(I48=1,VLOOKUP(Y48,男子種目コード!$A$1:$B$29,2,FALSE),IF(I48=2,VLOOKUP(Y48,女子種目コード!$A$1:$B$30,2,FALSE))))</f>
        <v/>
      </c>
      <c r="AA48" s="15"/>
      <c r="AB48" s="393">
        <v>0</v>
      </c>
      <c r="AC48" s="362">
        <v>2</v>
      </c>
      <c r="AD48" s="365"/>
      <c r="AE48" s="7" t="str">
        <f>IF(AD48="","",IF(I48=1,VLOOKUP(AD48,男子種目コード!$A$78:$B$80,2,FALSE),IF(I48=2,VLOOKUP(AD48,女子種目コード!$A$78:$B$80,2,FALSE))))</f>
        <v/>
      </c>
      <c r="AF48" s="364"/>
      <c r="AG48" s="362">
        <v>0</v>
      </c>
      <c r="AH48" s="362">
        <v>2</v>
      </c>
      <c r="AI48" s="363"/>
      <c r="AJ48" s="321" t="str">
        <f>IF(AI48="","",IF(I48=1,VLOOKUP(AI48,男子種目コード!$A$1:$B$29,2,FALSE),IF(I48=2,VLOOKUP(AI48,女子種目コード!$A$1:$B$30,2,FALSE))))</f>
        <v/>
      </c>
      <c r="AK48" s="58"/>
      <c r="AL48" s="345">
        <v>0</v>
      </c>
      <c r="AM48" s="345">
        <v>2</v>
      </c>
      <c r="AN48" s="6"/>
      <c r="AO48" s="6"/>
      <c r="AP48" s="4"/>
      <c r="AQ48" s="73"/>
      <c r="AR48" s="87" t="str">
        <f t="shared" si="1"/>
        <v/>
      </c>
      <c r="AS48" s="240">
        <f t="shared" si="8"/>
        <v>0</v>
      </c>
      <c r="AT48" s="240">
        <f t="shared" si="9"/>
        <v>0</v>
      </c>
      <c r="AU48" s="87" t="str">
        <f t="shared" si="4"/>
        <v/>
      </c>
      <c r="AV48" s="269" t="s">
        <v>137</v>
      </c>
      <c r="AW48" s="102">
        <f>COUNTIF($P$7:$P$56,56)+COUNTIF($U$7:$U$56,56)</f>
        <v>0</v>
      </c>
      <c r="AX48" s="146"/>
      <c r="AY48" s="146"/>
      <c r="BB48" s="99"/>
      <c r="BC48" s="99"/>
      <c r="BD48" s="146"/>
      <c r="BE48" s="146"/>
      <c r="BF48" s="146"/>
      <c r="BG48" s="4">
        <f t="shared" si="7"/>
        <v>0</v>
      </c>
      <c r="BH48" s="4" t="str">
        <f t="shared" si="10"/>
        <v/>
      </c>
      <c r="BI48" s="4" t="str">
        <f t="shared" si="11"/>
        <v/>
      </c>
      <c r="BJ48" s="694"/>
      <c r="BK48" s="694"/>
      <c r="BL48" s="694"/>
      <c r="BM48" s="694"/>
    </row>
    <row r="49" spans="1:65">
      <c r="B49" s="360" t="str">
        <f>名簿!Q51</f>
        <v/>
      </c>
      <c r="C49" s="389"/>
      <c r="D49" s="799">
        <f>名簿!D51</f>
        <v>0</v>
      </c>
      <c r="E49" s="19">
        <f>名簿!E51</f>
        <v>0</v>
      </c>
      <c r="F49" s="205" t="str">
        <f>名簿!BN51</f>
        <v/>
      </c>
      <c r="G49" s="105" t="str">
        <f>名簿!Z51</f>
        <v/>
      </c>
      <c r="H49" s="122" t="str">
        <f t="shared" si="0"/>
        <v/>
      </c>
      <c r="I49" s="361" t="str">
        <f>名簿!O51</f>
        <v/>
      </c>
      <c r="J49" s="361">
        <f>名簿!I51</f>
        <v>0</v>
      </c>
      <c r="K49" s="361">
        <f>名簿!K51</f>
        <v>0</v>
      </c>
      <c r="L49" s="385" t="str">
        <f>名簿!BQ51</f>
        <v>00</v>
      </c>
      <c r="M49" s="383" t="str">
        <f>名簿!R51</f>
        <v/>
      </c>
      <c r="N49" s="388">
        <f>名簿!C51</f>
        <v>0</v>
      </c>
      <c r="O49" s="202"/>
      <c r="P49" s="187" t="str">
        <f>IF(O49="","",IF(I49=1,VLOOKUP(O49,男子種目コード!$A$1:$B$33,2,FALSE),IF(I49=2,VLOOKUP(O49,女子種目コード!$A$1:$B$28,2,FALSE))))</f>
        <v/>
      </c>
      <c r="Q49" s="397" t="str">
        <f>IF(O49="","",HLOOKUP(O49,名簿!$AB$8:$BG$58,44,FALSE))</f>
        <v/>
      </c>
      <c r="R49" s="393">
        <v>0</v>
      </c>
      <c r="S49" s="401">
        <v>2</v>
      </c>
      <c r="T49" s="195"/>
      <c r="U49" s="187" t="str">
        <f>IF(T49="","",IF(I49=1,VLOOKUP(T49,男子種目コード!$A$1:$B$33,2,FALSE),IF(I49=2,VLOOKUP(T49,女子種目コード!$A$1:$B$28,2,FALSE))))</f>
        <v/>
      </c>
      <c r="V49" s="397" t="str">
        <f>IF(T49="","",HLOOKUP(T49,名簿!$AB$8:$BG$58,44,FALSE))</f>
        <v/>
      </c>
      <c r="W49" s="393">
        <v>0</v>
      </c>
      <c r="X49" s="401">
        <v>2</v>
      </c>
      <c r="Y49" s="404"/>
      <c r="Z49" s="7" t="str">
        <f>IF(Y49="","",IF(I49=1,VLOOKUP(Y49,男子種目コード!$A$1:$B$29,2,FALSE),IF(I49=2,VLOOKUP(Y49,女子種目コード!$A$1:$B$30,2,FALSE))))</f>
        <v/>
      </c>
      <c r="AA49" s="15"/>
      <c r="AB49" s="393">
        <v>0</v>
      </c>
      <c r="AC49" s="362">
        <v>2</v>
      </c>
      <c r="AD49" s="365"/>
      <c r="AE49" s="7" t="str">
        <f>IF(AD49="","",IF(I49=1,VLOOKUP(AD49,男子種目コード!$A$78:$B$80,2,FALSE),IF(I49=2,VLOOKUP(AD49,女子種目コード!$A$78:$B$80,2,FALSE))))</f>
        <v/>
      </c>
      <c r="AF49" s="364"/>
      <c r="AG49" s="362">
        <v>0</v>
      </c>
      <c r="AH49" s="362">
        <v>2</v>
      </c>
      <c r="AI49" s="363"/>
      <c r="AJ49" s="321" t="str">
        <f>IF(AI49="","",IF(I49=1,VLOOKUP(AI49,男子種目コード!$A$1:$B$29,2,FALSE),IF(I49=2,VLOOKUP(AI49,女子種目コード!$A$1:$B$30,2,FALSE))))</f>
        <v/>
      </c>
      <c r="AK49" s="58"/>
      <c r="AL49" s="345">
        <v>0</v>
      </c>
      <c r="AM49" s="345">
        <v>2</v>
      </c>
      <c r="AN49" s="6"/>
      <c r="AO49" s="6"/>
      <c r="AP49" s="4"/>
      <c r="AQ49" s="73"/>
      <c r="AR49" s="87" t="str">
        <f t="shared" si="1"/>
        <v/>
      </c>
      <c r="AS49" s="240">
        <f t="shared" si="8"/>
        <v>0</v>
      </c>
      <c r="AT49" s="240">
        <f t="shared" si="9"/>
        <v>0</v>
      </c>
      <c r="AU49" s="87" t="str">
        <f t="shared" si="4"/>
        <v/>
      </c>
      <c r="AV49" s="269" t="s">
        <v>136</v>
      </c>
      <c r="AW49" s="102">
        <f>COUNTIF($P$7:$P$56,57)+COUNTIF($U$7:$U$56,57)</f>
        <v>0</v>
      </c>
      <c r="AX49" s="146"/>
      <c r="AY49" s="146"/>
      <c r="BB49" s="99"/>
      <c r="BC49" s="99"/>
      <c r="BD49" s="146"/>
      <c r="BE49" s="146"/>
      <c r="BF49" s="146"/>
      <c r="BG49" s="4">
        <f t="shared" si="7"/>
        <v>0</v>
      </c>
      <c r="BH49" s="4" t="str">
        <f t="shared" si="10"/>
        <v/>
      </c>
      <c r="BI49" s="4" t="str">
        <f t="shared" si="11"/>
        <v/>
      </c>
      <c r="BJ49" s="694"/>
      <c r="BK49" s="694"/>
      <c r="BL49" s="694"/>
      <c r="BM49" s="694"/>
    </row>
    <row r="50" spans="1:65">
      <c r="B50" s="360" t="str">
        <f>名簿!Q52</f>
        <v/>
      </c>
      <c r="C50" s="389"/>
      <c r="D50" s="799">
        <f>名簿!D52</f>
        <v>0</v>
      </c>
      <c r="E50" s="19">
        <f>名簿!E52</f>
        <v>0</v>
      </c>
      <c r="F50" s="205" t="str">
        <f>名簿!BN52</f>
        <v/>
      </c>
      <c r="G50" s="105" t="str">
        <f>名簿!Z52</f>
        <v/>
      </c>
      <c r="H50" s="122" t="str">
        <f t="shared" si="0"/>
        <v/>
      </c>
      <c r="I50" s="361" t="str">
        <f>名簿!O52</f>
        <v/>
      </c>
      <c r="J50" s="361">
        <f>名簿!I52</f>
        <v>0</v>
      </c>
      <c r="K50" s="361">
        <f>名簿!K52</f>
        <v>0</v>
      </c>
      <c r="L50" s="385" t="str">
        <f>名簿!BQ52</f>
        <v>00</v>
      </c>
      <c r="M50" s="383" t="str">
        <f>名簿!R52</f>
        <v/>
      </c>
      <c r="N50" s="388">
        <f>名簿!C52</f>
        <v>0</v>
      </c>
      <c r="O50" s="202"/>
      <c r="P50" s="187" t="str">
        <f>IF(O50="","",IF(I50=1,VLOOKUP(O50,男子種目コード!$A$1:$B$33,2,FALSE),IF(I50=2,VLOOKUP(O50,女子種目コード!$A$1:$B$28,2,FALSE))))</f>
        <v/>
      </c>
      <c r="Q50" s="397" t="str">
        <f>IF(O50="","",HLOOKUP(O50,名簿!$AB$8:$BG$58,45,FALSE))</f>
        <v/>
      </c>
      <c r="R50" s="393">
        <v>0</v>
      </c>
      <c r="S50" s="401">
        <v>2</v>
      </c>
      <c r="T50" s="195"/>
      <c r="U50" s="187" t="str">
        <f>IF(T50="","",IF(I50=1,VLOOKUP(T50,男子種目コード!$A$1:$B$33,2,FALSE),IF(I50=2,VLOOKUP(T50,女子種目コード!$A$1:$B$28,2,FALSE))))</f>
        <v/>
      </c>
      <c r="V50" s="397" t="str">
        <f>IF(T50="","",HLOOKUP(T50,名簿!$AB$8:$BG$58,45,FALSE))</f>
        <v/>
      </c>
      <c r="W50" s="393">
        <v>0</v>
      </c>
      <c r="X50" s="401">
        <v>2</v>
      </c>
      <c r="Y50" s="404"/>
      <c r="Z50" s="7" t="str">
        <f>IF(Y50="","",IF(I50=1,VLOOKUP(Y50,男子種目コード!$A$1:$B$29,2,FALSE),IF(I50=2,VLOOKUP(Y50,女子種目コード!$A$1:$B$30,2,FALSE))))</f>
        <v/>
      </c>
      <c r="AA50" s="15"/>
      <c r="AB50" s="393">
        <v>0</v>
      </c>
      <c r="AC50" s="362">
        <v>2</v>
      </c>
      <c r="AD50" s="365"/>
      <c r="AE50" s="7" t="str">
        <f>IF(AD50="","",IF(I50=1,VLOOKUP(AD50,男子種目コード!$A$78:$B$80,2,FALSE),IF(I50=2,VLOOKUP(AD50,女子種目コード!$A$78:$B$80,2,FALSE))))</f>
        <v/>
      </c>
      <c r="AF50" s="364"/>
      <c r="AG50" s="362">
        <v>0</v>
      </c>
      <c r="AH50" s="362">
        <v>2</v>
      </c>
      <c r="AI50" s="363"/>
      <c r="AJ50" s="321" t="str">
        <f>IF(AI50="","",IF(I50=1,VLOOKUP(AI50,男子種目コード!$A$1:$B$29,2,FALSE),IF(I50=2,VLOOKUP(AI50,女子種目コード!$A$1:$B$30,2,FALSE))))</f>
        <v/>
      </c>
      <c r="AK50" s="58"/>
      <c r="AL50" s="345">
        <v>0</v>
      </c>
      <c r="AM50" s="345">
        <v>2</v>
      </c>
      <c r="AN50" s="6"/>
      <c r="AO50" s="6"/>
      <c r="AP50" s="4"/>
      <c r="AQ50" s="73"/>
      <c r="AR50" s="87" t="str">
        <f t="shared" si="1"/>
        <v/>
      </c>
      <c r="AS50" s="240">
        <f t="shared" si="8"/>
        <v>0</v>
      </c>
      <c r="AT50" s="240">
        <f t="shared" si="9"/>
        <v>0</v>
      </c>
      <c r="AU50" s="87" t="str">
        <f t="shared" si="4"/>
        <v/>
      </c>
      <c r="AV50" s="269" t="s">
        <v>141</v>
      </c>
      <c r="AW50" s="102">
        <f>COUNTIF($P$7:$P$56,58)+COUNTIF($U$7:$U$56,58)</f>
        <v>0</v>
      </c>
      <c r="AX50" s="146"/>
      <c r="AY50" s="146"/>
      <c r="BB50" s="99"/>
      <c r="BC50" s="99"/>
      <c r="BD50" s="146"/>
      <c r="BE50" s="146"/>
      <c r="BF50" s="146"/>
      <c r="BG50" s="4">
        <f t="shared" si="7"/>
        <v>0</v>
      </c>
      <c r="BH50" s="4" t="str">
        <f t="shared" si="10"/>
        <v/>
      </c>
      <c r="BI50" s="4" t="str">
        <f t="shared" si="11"/>
        <v/>
      </c>
      <c r="BJ50" s="694"/>
      <c r="BK50" s="694"/>
      <c r="BL50" s="694"/>
      <c r="BM50" s="694"/>
    </row>
    <row r="51" spans="1:65">
      <c r="B51" s="360" t="str">
        <f>名簿!Q53</f>
        <v/>
      </c>
      <c r="C51" s="389"/>
      <c r="D51" s="799">
        <f>名簿!D53</f>
        <v>0</v>
      </c>
      <c r="E51" s="19">
        <f>名簿!E53</f>
        <v>0</v>
      </c>
      <c r="F51" s="205" t="str">
        <f>名簿!BN53</f>
        <v/>
      </c>
      <c r="G51" s="105" t="str">
        <f>名簿!Z53</f>
        <v/>
      </c>
      <c r="H51" s="122" t="str">
        <f t="shared" si="0"/>
        <v/>
      </c>
      <c r="I51" s="361" t="str">
        <f>名簿!O53</f>
        <v/>
      </c>
      <c r="J51" s="361">
        <f>名簿!I53</f>
        <v>0</v>
      </c>
      <c r="K51" s="361">
        <f>名簿!K53</f>
        <v>0</v>
      </c>
      <c r="L51" s="385" t="str">
        <f>名簿!BQ53</f>
        <v>00</v>
      </c>
      <c r="M51" s="383" t="str">
        <f>名簿!R53</f>
        <v/>
      </c>
      <c r="N51" s="388">
        <f>名簿!C53</f>
        <v>0</v>
      </c>
      <c r="O51" s="202"/>
      <c r="P51" s="187" t="str">
        <f>IF(O51="","",IF(I51=1,VLOOKUP(O51,男子種目コード!$A$1:$B$33,2,FALSE),IF(I51=2,VLOOKUP(O51,女子種目コード!$A$1:$B$28,2,FALSE))))</f>
        <v/>
      </c>
      <c r="Q51" s="397" t="str">
        <f>IF(O51="","",HLOOKUP(O51,名簿!$AB$8:$BG$58,46,FALSE))</f>
        <v/>
      </c>
      <c r="R51" s="393">
        <v>0</v>
      </c>
      <c r="S51" s="401">
        <v>2</v>
      </c>
      <c r="T51" s="195"/>
      <c r="U51" s="187" t="str">
        <f>IF(T51="","",IF(I51=1,VLOOKUP(T51,男子種目コード!$A$1:$B$33,2,FALSE),IF(I51=2,VLOOKUP(T51,女子種目コード!$A$1:$B$28,2,FALSE))))</f>
        <v/>
      </c>
      <c r="V51" s="397" t="str">
        <f>IF(T51="","",HLOOKUP(T51,名簿!$AB$8:$BG$58,46,FALSE))</f>
        <v/>
      </c>
      <c r="W51" s="393">
        <v>0</v>
      </c>
      <c r="X51" s="401">
        <v>2</v>
      </c>
      <c r="Y51" s="404"/>
      <c r="Z51" s="7" t="str">
        <f>IF(Y51="","",IF(I51=1,VLOOKUP(Y51,男子種目コード!$A$1:$B$29,2,FALSE),IF(I51=2,VLOOKUP(Y51,女子種目コード!$A$1:$B$30,2,FALSE))))</f>
        <v/>
      </c>
      <c r="AA51" s="15"/>
      <c r="AB51" s="393">
        <v>0</v>
      </c>
      <c r="AC51" s="362">
        <v>2</v>
      </c>
      <c r="AD51" s="365"/>
      <c r="AE51" s="7" t="str">
        <f>IF(AD51="","",IF(I51=1,VLOOKUP(AD51,男子種目コード!$A$78:$B$80,2,FALSE),IF(I51=2,VLOOKUP(AD51,女子種目コード!$A$78:$B$80,2,FALSE))))</f>
        <v/>
      </c>
      <c r="AF51" s="364"/>
      <c r="AG51" s="362">
        <v>0</v>
      </c>
      <c r="AH51" s="362">
        <v>2</v>
      </c>
      <c r="AI51" s="363"/>
      <c r="AJ51" s="321" t="str">
        <f>IF(AI51="","",IF(I51=1,VLOOKUP(AI51,男子種目コード!$A$1:$B$29,2,FALSE),IF(I51=2,VLOOKUP(AI51,女子種目コード!$A$1:$B$30,2,FALSE))))</f>
        <v/>
      </c>
      <c r="AK51" s="58"/>
      <c r="AL51" s="345">
        <v>0</v>
      </c>
      <c r="AM51" s="345">
        <v>2</v>
      </c>
      <c r="AN51" s="6"/>
      <c r="AO51" s="6"/>
      <c r="AP51" s="4"/>
      <c r="AQ51" s="73"/>
      <c r="AR51" s="87" t="str">
        <f t="shared" si="1"/>
        <v/>
      </c>
      <c r="AS51" s="240">
        <f t="shared" si="8"/>
        <v>0</v>
      </c>
      <c r="AT51" s="240">
        <f t="shared" si="9"/>
        <v>0</v>
      </c>
      <c r="AU51" s="87" t="str">
        <f t="shared" si="4"/>
        <v/>
      </c>
      <c r="AV51" s="269" t="s">
        <v>142</v>
      </c>
      <c r="AW51" s="102">
        <f>COUNTIF($P$7:$P$56,59)+COUNTIF($U$7:$U$56,59)</f>
        <v>0</v>
      </c>
      <c r="AX51" s="146"/>
      <c r="AY51" s="146"/>
      <c r="BB51" s="99"/>
      <c r="BC51" s="99"/>
      <c r="BD51" s="146"/>
      <c r="BE51" s="146"/>
      <c r="BF51" s="146"/>
      <c r="BG51" s="4">
        <f t="shared" si="7"/>
        <v>0</v>
      </c>
      <c r="BH51" s="4" t="str">
        <f t="shared" si="10"/>
        <v/>
      </c>
      <c r="BI51" s="4" t="str">
        <f t="shared" si="11"/>
        <v/>
      </c>
      <c r="BJ51" s="694"/>
      <c r="BK51" s="694"/>
      <c r="BL51" s="694"/>
      <c r="BM51" s="694"/>
    </row>
    <row r="52" spans="1:65">
      <c r="B52" s="360" t="str">
        <f>名簿!Q54</f>
        <v/>
      </c>
      <c r="C52" s="389"/>
      <c r="D52" s="799">
        <f>名簿!D54</f>
        <v>0</v>
      </c>
      <c r="E52" s="19">
        <f>名簿!E54</f>
        <v>0</v>
      </c>
      <c r="F52" s="205" t="str">
        <f>名簿!BN54</f>
        <v/>
      </c>
      <c r="G52" s="105" t="str">
        <f>名簿!Z54</f>
        <v/>
      </c>
      <c r="H52" s="122" t="str">
        <f t="shared" si="0"/>
        <v/>
      </c>
      <c r="I52" s="361" t="str">
        <f>名簿!O54</f>
        <v/>
      </c>
      <c r="J52" s="361">
        <f>名簿!I54</f>
        <v>0</v>
      </c>
      <c r="K52" s="361">
        <f>名簿!K54</f>
        <v>0</v>
      </c>
      <c r="L52" s="385" t="str">
        <f>名簿!BQ54</f>
        <v>00</v>
      </c>
      <c r="M52" s="383" t="str">
        <f>名簿!R54</f>
        <v/>
      </c>
      <c r="N52" s="388">
        <f>名簿!C54</f>
        <v>0</v>
      </c>
      <c r="O52" s="202"/>
      <c r="P52" s="187" t="str">
        <f>IF(O52="","",IF(I52=1,VLOOKUP(O52,男子種目コード!$A$1:$B$33,2,FALSE),IF(I52=2,VLOOKUP(O52,女子種目コード!$A$1:$B$28,2,FALSE))))</f>
        <v/>
      </c>
      <c r="Q52" s="397" t="str">
        <f>IF(O52="","",HLOOKUP(O52,名簿!$AB$8:$BG$58,47,FALSE))</f>
        <v/>
      </c>
      <c r="R52" s="393">
        <v>0</v>
      </c>
      <c r="S52" s="401">
        <v>2</v>
      </c>
      <c r="T52" s="195"/>
      <c r="U52" s="187" t="str">
        <f>IF(T52="","",IF(I52=1,VLOOKUP(T52,男子種目コード!$A$1:$B$33,2,FALSE),IF(I52=2,VLOOKUP(T52,女子種目コード!$A$1:$B$28,2,FALSE))))</f>
        <v/>
      </c>
      <c r="V52" s="397" t="str">
        <f>IF(T52="","",HLOOKUP(T52,名簿!$AB$8:$BG$58,47,FALSE))</f>
        <v/>
      </c>
      <c r="W52" s="393">
        <v>0</v>
      </c>
      <c r="X52" s="401">
        <v>2</v>
      </c>
      <c r="Y52" s="404"/>
      <c r="Z52" s="7" t="str">
        <f>IF(Y52="","",IF(I52=1,VLOOKUP(Y52,男子種目コード!$A$1:$B$29,2,FALSE),IF(I52=2,VLOOKUP(Y52,女子種目コード!$A$1:$B$30,2,FALSE))))</f>
        <v/>
      </c>
      <c r="AA52" s="15"/>
      <c r="AB52" s="393">
        <v>0</v>
      </c>
      <c r="AC52" s="362">
        <v>2</v>
      </c>
      <c r="AD52" s="365"/>
      <c r="AE52" s="7" t="str">
        <f>IF(AD52="","",IF(I52=1,VLOOKUP(AD52,男子種目コード!$A$78:$B$80,2,FALSE),IF(I52=2,VLOOKUP(AD52,女子種目コード!$A$78:$B$80,2,FALSE))))</f>
        <v/>
      </c>
      <c r="AF52" s="364"/>
      <c r="AG52" s="362">
        <v>0</v>
      </c>
      <c r="AH52" s="362">
        <v>2</v>
      </c>
      <c r="AI52" s="363"/>
      <c r="AJ52" s="321" t="str">
        <f>IF(AI52="","",IF(I52=1,VLOOKUP(AI52,男子種目コード!$A$1:$B$29,2,FALSE),IF(I52=2,VLOOKUP(AI52,女子種目コード!$A$1:$B$30,2,FALSE))))</f>
        <v/>
      </c>
      <c r="AK52" s="58"/>
      <c r="AL52" s="345">
        <v>0</v>
      </c>
      <c r="AM52" s="345">
        <v>2</v>
      </c>
      <c r="AN52" s="6"/>
      <c r="AO52" s="6"/>
      <c r="AP52" s="4"/>
      <c r="AQ52" s="73"/>
      <c r="AR52" s="87" t="str">
        <f t="shared" si="1"/>
        <v/>
      </c>
      <c r="AS52" s="240">
        <f t="shared" si="8"/>
        <v>0</v>
      </c>
      <c r="AT52" s="240">
        <f t="shared" si="9"/>
        <v>0</v>
      </c>
      <c r="AU52" s="87" t="str">
        <f t="shared" si="4"/>
        <v/>
      </c>
      <c r="AV52" s="269" t="s">
        <v>138</v>
      </c>
      <c r="AW52" s="102">
        <f>COUNTIF($P$7:$P$56,60)+COUNTIF($U$7:$U$56,60)</f>
        <v>0</v>
      </c>
      <c r="AX52" s="146"/>
      <c r="AY52" s="146"/>
      <c r="BB52" s="99"/>
      <c r="BC52" s="99"/>
      <c r="BD52" s="146"/>
      <c r="BE52" s="146"/>
      <c r="BF52" s="146"/>
      <c r="BG52" s="4">
        <f t="shared" si="7"/>
        <v>0</v>
      </c>
      <c r="BH52" s="4" t="str">
        <f t="shared" si="10"/>
        <v/>
      </c>
      <c r="BI52" s="4" t="str">
        <f t="shared" si="11"/>
        <v/>
      </c>
      <c r="BJ52" s="694"/>
      <c r="BK52" s="694"/>
      <c r="BL52" s="694"/>
      <c r="BM52" s="694"/>
    </row>
    <row r="53" spans="1:65">
      <c r="B53" s="360" t="str">
        <f>名簿!Q55</f>
        <v/>
      </c>
      <c r="C53" s="389"/>
      <c r="D53" s="799">
        <f>名簿!D55</f>
        <v>0</v>
      </c>
      <c r="E53" s="19">
        <f>名簿!E55</f>
        <v>0</v>
      </c>
      <c r="F53" s="205" t="str">
        <f>名簿!BN55</f>
        <v/>
      </c>
      <c r="G53" s="105" t="str">
        <f>名簿!Z55</f>
        <v/>
      </c>
      <c r="H53" s="122" t="str">
        <f t="shared" si="0"/>
        <v/>
      </c>
      <c r="I53" s="361" t="str">
        <f>名簿!O55</f>
        <v/>
      </c>
      <c r="J53" s="361">
        <f>名簿!I55</f>
        <v>0</v>
      </c>
      <c r="K53" s="361">
        <f>名簿!K55</f>
        <v>0</v>
      </c>
      <c r="L53" s="385" t="str">
        <f>名簿!BQ55</f>
        <v>00</v>
      </c>
      <c r="M53" s="383" t="str">
        <f>名簿!R55</f>
        <v/>
      </c>
      <c r="N53" s="388">
        <f>名簿!C55</f>
        <v>0</v>
      </c>
      <c r="O53" s="202"/>
      <c r="P53" s="187" t="str">
        <f>IF(O53="","",IF(I53=1,VLOOKUP(O53,男子種目コード!$A$1:$B$33,2,FALSE),IF(I53=2,VLOOKUP(O53,女子種目コード!$A$1:$B$28,2,FALSE))))</f>
        <v/>
      </c>
      <c r="Q53" s="397" t="str">
        <f>IF(O53="","",HLOOKUP(O53,名簿!$AB$8:$BG$58,48,FALSE))</f>
        <v/>
      </c>
      <c r="R53" s="393">
        <v>0</v>
      </c>
      <c r="S53" s="401">
        <v>2</v>
      </c>
      <c r="T53" s="195"/>
      <c r="U53" s="187" t="str">
        <f>IF(T53="","",IF(I53=1,VLOOKUP(T53,男子種目コード!$A$1:$B$33,2,FALSE),IF(I53=2,VLOOKUP(T53,女子種目コード!$A$1:$B$28,2,FALSE))))</f>
        <v/>
      </c>
      <c r="V53" s="397" t="str">
        <f>IF(T53="","",HLOOKUP(T53,名簿!$AB$8:$BG$58,48,FALSE))</f>
        <v/>
      </c>
      <c r="W53" s="393">
        <v>0</v>
      </c>
      <c r="X53" s="401">
        <v>2</v>
      </c>
      <c r="Y53" s="404"/>
      <c r="Z53" s="7" t="str">
        <f>IF(Y53="","",IF(I53=1,VLOOKUP(Y53,男子種目コード!$A$1:$B$29,2,FALSE),IF(I53=2,VLOOKUP(Y53,女子種目コード!$A$1:$B$30,2,FALSE))))</f>
        <v/>
      </c>
      <c r="AA53" s="15"/>
      <c r="AB53" s="393">
        <v>0</v>
      </c>
      <c r="AC53" s="362">
        <v>2</v>
      </c>
      <c r="AD53" s="365"/>
      <c r="AE53" s="7" t="str">
        <f>IF(AD53="","",IF(I53=1,VLOOKUP(AD53,男子種目コード!$A$78:$B$80,2,FALSE),IF(I53=2,VLOOKUP(AD53,女子種目コード!$A$78:$B$80,2,FALSE))))</f>
        <v/>
      </c>
      <c r="AF53" s="364"/>
      <c r="AG53" s="362">
        <v>0</v>
      </c>
      <c r="AH53" s="362">
        <v>2</v>
      </c>
      <c r="AI53" s="363"/>
      <c r="AJ53" s="321" t="str">
        <f>IF(AI53="","",IF(I53=1,VLOOKUP(AI53,男子種目コード!$A$1:$B$29,2,FALSE),IF(I53=2,VLOOKUP(AI53,女子種目コード!$A$1:$B$30,2,FALSE))))</f>
        <v/>
      </c>
      <c r="AK53" s="58"/>
      <c r="AL53" s="345">
        <v>0</v>
      </c>
      <c r="AM53" s="345">
        <v>2</v>
      </c>
      <c r="AN53" s="6"/>
      <c r="AO53" s="6"/>
      <c r="AP53" s="4"/>
      <c r="AQ53" s="73"/>
      <c r="AR53" s="87" t="str">
        <f t="shared" si="1"/>
        <v/>
      </c>
      <c r="AS53" s="240">
        <f t="shared" si="8"/>
        <v>0</v>
      </c>
      <c r="AT53" s="240">
        <f t="shared" si="9"/>
        <v>0</v>
      </c>
      <c r="AU53" s="87" t="str">
        <f t="shared" si="4"/>
        <v/>
      </c>
      <c r="AV53" s="269" t="s">
        <v>140</v>
      </c>
      <c r="AW53" s="102">
        <f>COUNTIF($P$7:$P$56,61)+COUNTIF($U$7:$U$56,61)</f>
        <v>0</v>
      </c>
      <c r="AX53" s="146"/>
      <c r="AY53" s="146"/>
      <c r="BB53" s="99"/>
      <c r="BC53" s="99"/>
      <c r="BD53" s="146"/>
      <c r="BE53" s="146"/>
      <c r="BF53" s="146"/>
      <c r="BG53" s="4">
        <f t="shared" si="7"/>
        <v>0</v>
      </c>
      <c r="BH53" s="4" t="str">
        <f t="shared" si="10"/>
        <v/>
      </c>
      <c r="BI53" s="4" t="str">
        <f t="shared" si="11"/>
        <v/>
      </c>
      <c r="BJ53" s="694"/>
      <c r="BK53" s="694"/>
      <c r="BL53" s="694"/>
      <c r="BM53" s="694"/>
    </row>
    <row r="54" spans="1:65">
      <c r="B54" s="360" t="str">
        <f>名簿!Q56</f>
        <v/>
      </c>
      <c r="C54" s="389"/>
      <c r="D54" s="799">
        <f>名簿!D56</f>
        <v>0</v>
      </c>
      <c r="E54" s="19">
        <f>名簿!E56</f>
        <v>0</v>
      </c>
      <c r="F54" s="205" t="str">
        <f>名簿!BN56</f>
        <v/>
      </c>
      <c r="G54" s="105" t="str">
        <f>名簿!Z56</f>
        <v/>
      </c>
      <c r="H54" s="122" t="str">
        <f t="shared" si="0"/>
        <v/>
      </c>
      <c r="I54" s="361" t="str">
        <f>名簿!O56</f>
        <v/>
      </c>
      <c r="J54" s="361">
        <f>名簿!I56</f>
        <v>0</v>
      </c>
      <c r="K54" s="361">
        <f>名簿!K56</f>
        <v>0</v>
      </c>
      <c r="L54" s="385" t="str">
        <f>名簿!BQ56</f>
        <v>00</v>
      </c>
      <c r="M54" s="383" t="str">
        <f>名簿!R56</f>
        <v/>
      </c>
      <c r="N54" s="388">
        <f>名簿!C56</f>
        <v>0</v>
      </c>
      <c r="O54" s="202"/>
      <c r="P54" s="187" t="str">
        <f>IF(O54="","",IF(I54=1,VLOOKUP(O54,男子種目コード!$A$1:$B$33,2,FALSE),IF(I54=2,VLOOKUP(O54,女子種目コード!$A$1:$B$28,2,FALSE))))</f>
        <v/>
      </c>
      <c r="Q54" s="397" t="str">
        <f>IF(O54="","",HLOOKUP(O54,名簿!$AB$8:$BG$58,49,FALSE))</f>
        <v/>
      </c>
      <c r="R54" s="393">
        <v>0</v>
      </c>
      <c r="S54" s="401">
        <v>2</v>
      </c>
      <c r="T54" s="195"/>
      <c r="U54" s="187" t="str">
        <f>IF(T54="","",IF(I54=1,VLOOKUP(T54,男子種目コード!$A$1:$B$33,2,FALSE),IF(I54=2,VLOOKUP(T54,女子種目コード!$A$1:$B$28,2,FALSE))))</f>
        <v/>
      </c>
      <c r="V54" s="397" t="str">
        <f>IF(T54="","",HLOOKUP(T54,名簿!$AB$8:$BG$58,49,FALSE))</f>
        <v/>
      </c>
      <c r="W54" s="393">
        <v>0</v>
      </c>
      <c r="X54" s="401">
        <v>2</v>
      </c>
      <c r="Y54" s="404"/>
      <c r="Z54" s="7" t="str">
        <f>IF(Y54="","",IF(I54=1,VLOOKUP(Y54,男子種目コード!$A$1:$B$29,2,FALSE),IF(I54=2,VLOOKUP(Y54,女子種目コード!$A$1:$B$30,2,FALSE))))</f>
        <v/>
      </c>
      <c r="AA54" s="15"/>
      <c r="AB54" s="393">
        <v>0</v>
      </c>
      <c r="AC54" s="362">
        <v>2</v>
      </c>
      <c r="AD54" s="365"/>
      <c r="AE54" s="7" t="str">
        <f>IF(AD54="","",IF(I54=1,VLOOKUP(AD54,男子種目コード!$A$78:$B$80,2,FALSE),IF(I54=2,VLOOKUP(AD54,女子種目コード!$A$78:$B$80,2,FALSE))))</f>
        <v/>
      </c>
      <c r="AF54" s="364"/>
      <c r="AG54" s="362">
        <v>0</v>
      </c>
      <c r="AH54" s="362">
        <v>2</v>
      </c>
      <c r="AI54" s="363"/>
      <c r="AJ54" s="321" t="str">
        <f>IF(AI54="","",IF(I54=1,VLOOKUP(AI54,男子種目コード!$A$1:$B$29,2,FALSE),IF(I54=2,VLOOKUP(AI54,女子種目コード!$A$1:$B$30,2,FALSE))))</f>
        <v/>
      </c>
      <c r="AK54" s="58"/>
      <c r="AL54" s="345">
        <v>0</v>
      </c>
      <c r="AM54" s="345">
        <v>2</v>
      </c>
      <c r="AN54" s="6"/>
      <c r="AO54" s="6"/>
      <c r="AP54" s="4"/>
      <c r="AQ54" s="73"/>
      <c r="AR54" s="87" t="str">
        <f t="shared" si="1"/>
        <v/>
      </c>
      <c r="AS54" s="240">
        <f t="shared" si="8"/>
        <v>0</v>
      </c>
      <c r="AT54" s="240">
        <f t="shared" si="9"/>
        <v>0</v>
      </c>
      <c r="AU54" s="87" t="str">
        <f t="shared" si="4"/>
        <v/>
      </c>
      <c r="AV54" s="270" t="s">
        <v>139</v>
      </c>
      <c r="AW54" s="130">
        <f>COUNTIF($P$7:$P$56,62)+COUNTIF($U$7:$U$56,62)</f>
        <v>0</v>
      </c>
      <c r="AX54" s="146"/>
      <c r="AY54" s="146"/>
      <c r="BB54" s="99"/>
      <c r="BC54" s="99"/>
      <c r="BD54" s="146"/>
      <c r="BE54" s="146"/>
      <c r="BF54" s="146"/>
      <c r="BG54" s="4">
        <f t="shared" si="7"/>
        <v>0</v>
      </c>
      <c r="BH54" s="4" t="str">
        <f t="shared" si="10"/>
        <v/>
      </c>
      <c r="BI54" s="4" t="str">
        <f t="shared" si="11"/>
        <v/>
      </c>
      <c r="BJ54" s="694"/>
      <c r="BK54" s="694"/>
      <c r="BL54" s="694"/>
      <c r="BM54" s="694"/>
    </row>
    <row r="55" spans="1:65" ht="14.25" thickBot="1">
      <c r="B55" s="360" t="str">
        <f>名簿!Q57</f>
        <v/>
      </c>
      <c r="C55" s="389"/>
      <c r="D55" s="799">
        <f>名簿!D57</f>
        <v>0</v>
      </c>
      <c r="E55" s="19">
        <f>名簿!E57</f>
        <v>0</v>
      </c>
      <c r="F55" s="205" t="str">
        <f>名簿!BN57</f>
        <v/>
      </c>
      <c r="G55" s="105" t="str">
        <f>名簿!Z57</f>
        <v/>
      </c>
      <c r="H55" s="122" t="str">
        <f t="shared" si="0"/>
        <v/>
      </c>
      <c r="I55" s="361" t="str">
        <f>名簿!O57</f>
        <v/>
      </c>
      <c r="J55" s="361">
        <f>名簿!I57</f>
        <v>0</v>
      </c>
      <c r="K55" s="361">
        <f>名簿!K57</f>
        <v>0</v>
      </c>
      <c r="L55" s="385" t="str">
        <f>名簿!BQ57</f>
        <v>00</v>
      </c>
      <c r="M55" s="383" t="str">
        <f>名簿!R57</f>
        <v/>
      </c>
      <c r="N55" s="388">
        <f>名簿!C57</f>
        <v>0</v>
      </c>
      <c r="O55" s="202"/>
      <c r="P55" s="187" t="str">
        <f>IF(O55="","",IF(I55=1,VLOOKUP(O55,男子種目コード!$A$1:$B$33,2,FALSE),IF(I55=2,VLOOKUP(O55,女子種目コード!$A$1:$B$28,2,FALSE))))</f>
        <v/>
      </c>
      <c r="Q55" s="397" t="str">
        <f>IF(O55="","",HLOOKUP(O55,名簿!$AB$8:$BG$58,50,FALSE))</f>
        <v/>
      </c>
      <c r="R55" s="393">
        <v>0</v>
      </c>
      <c r="S55" s="401">
        <v>2</v>
      </c>
      <c r="T55" s="195"/>
      <c r="U55" s="187" t="str">
        <f>IF(T55="","",IF(I55=1,VLOOKUP(T55,男子種目コード!$A$1:$B$33,2,FALSE),IF(I55=2,VLOOKUP(T55,女子種目コード!$A$1:$B$28,2,FALSE))))</f>
        <v/>
      </c>
      <c r="V55" s="397" t="str">
        <f>IF(T55="","",HLOOKUP(T55,名簿!$AB$8:$BG$58,50,FALSE))</f>
        <v/>
      </c>
      <c r="W55" s="393">
        <v>0</v>
      </c>
      <c r="X55" s="401">
        <v>2</v>
      </c>
      <c r="Y55" s="404"/>
      <c r="Z55" s="7" t="str">
        <f>IF(Y55="","",IF(I55=1,VLOOKUP(Y55,男子種目コード!$A$1:$B$29,2,FALSE),IF(I55=2,VLOOKUP(Y55,女子種目コード!$A$1:$B$30,2,FALSE))))</f>
        <v/>
      </c>
      <c r="AA55" s="15"/>
      <c r="AB55" s="393">
        <v>0</v>
      </c>
      <c r="AC55" s="362">
        <v>2</v>
      </c>
      <c r="AD55" s="365"/>
      <c r="AE55" s="7" t="str">
        <f>IF(AD55="","",IF(I55=1,VLOOKUP(AD55,男子種目コード!$A$78:$B$80,2,FALSE),IF(I55=2,VLOOKUP(AD55,女子種目コード!$A$78:$B$80,2,FALSE))))</f>
        <v/>
      </c>
      <c r="AF55" s="364"/>
      <c r="AG55" s="362">
        <v>0</v>
      </c>
      <c r="AH55" s="362">
        <v>2</v>
      </c>
      <c r="AI55" s="363"/>
      <c r="AJ55" s="321" t="str">
        <f>IF(AI55="","",IF(I55=1,VLOOKUP(AI55,男子種目コード!$A$1:$B$29,2,FALSE),IF(I55=2,VLOOKUP(AI55,女子種目コード!$A$1:$B$30,2,FALSE))))</f>
        <v/>
      </c>
      <c r="AK55" s="58"/>
      <c r="AL55" s="345">
        <v>0</v>
      </c>
      <c r="AM55" s="345">
        <v>2</v>
      </c>
      <c r="AN55" s="6"/>
      <c r="AO55" s="6"/>
      <c r="AP55" s="4"/>
      <c r="AQ55" s="73"/>
      <c r="AR55" s="87" t="str">
        <f t="shared" si="1"/>
        <v/>
      </c>
      <c r="AS55" s="240">
        <f t="shared" si="8"/>
        <v>0</v>
      </c>
      <c r="AT55" s="240">
        <f t="shared" si="9"/>
        <v>0</v>
      </c>
      <c r="AU55" s="87" t="str">
        <f t="shared" si="4"/>
        <v/>
      </c>
      <c r="AV55" s="273" t="s">
        <v>241</v>
      </c>
      <c r="AW55" s="131">
        <f>SUM($AW$35:$AW$54)</f>
        <v>0</v>
      </c>
      <c r="AX55" s="146"/>
      <c r="AY55" s="146"/>
      <c r="BB55" s="99"/>
      <c r="BC55" s="99"/>
      <c r="BD55" s="146"/>
      <c r="BE55" s="146"/>
      <c r="BF55" s="146"/>
      <c r="BG55" s="4">
        <f t="shared" si="7"/>
        <v>0</v>
      </c>
      <c r="BH55" s="4" t="str">
        <f t="shared" si="10"/>
        <v/>
      </c>
      <c r="BI55" s="4" t="str">
        <f t="shared" si="11"/>
        <v/>
      </c>
      <c r="BJ55" s="694"/>
      <c r="BK55" s="694"/>
      <c r="BL55" s="694"/>
      <c r="BM55" s="694"/>
    </row>
    <row r="56" spans="1:65" ht="14.25" thickBot="1">
      <c r="B56" s="360" t="str">
        <f>名簿!Q58</f>
        <v/>
      </c>
      <c r="C56" s="389"/>
      <c r="D56" s="800">
        <f>名簿!D58</f>
        <v>0</v>
      </c>
      <c r="E56" s="20">
        <f>名簿!E58</f>
        <v>0</v>
      </c>
      <c r="F56" s="208" t="str">
        <f>名簿!BN58</f>
        <v/>
      </c>
      <c r="G56" s="106" t="str">
        <f>名簿!Z58</f>
        <v/>
      </c>
      <c r="H56" s="123" t="str">
        <f t="shared" si="0"/>
        <v/>
      </c>
      <c r="I56" s="366" t="str">
        <f>名簿!O58</f>
        <v/>
      </c>
      <c r="J56" s="366">
        <f>名簿!I58</f>
        <v>0</v>
      </c>
      <c r="K56" s="366">
        <f>名簿!K58</f>
        <v>0</v>
      </c>
      <c r="L56" s="386" t="str">
        <f>名簿!BQ58</f>
        <v>00</v>
      </c>
      <c r="M56" s="384" t="str">
        <f>名簿!R58</f>
        <v/>
      </c>
      <c r="N56" s="801">
        <f>名簿!C58</f>
        <v>0</v>
      </c>
      <c r="O56" s="478"/>
      <c r="P56" s="189" t="str">
        <f>IF(O56="","",IF(I56=1,VLOOKUP(O56,男子種目コード!$A$1:$B$33,2,FALSE),IF(I56=2,VLOOKUP(O56,女子種目コード!$A$1:$B$28,2,FALSE))))</f>
        <v/>
      </c>
      <c r="Q56" s="398" t="str">
        <f>IF(O56="","",HLOOKUP(O56,名簿!$AB$8:$BG$58,51,FALSE))</f>
        <v/>
      </c>
      <c r="R56" s="394">
        <v>0</v>
      </c>
      <c r="S56" s="402">
        <v>2</v>
      </c>
      <c r="T56" s="196"/>
      <c r="U56" s="189" t="str">
        <f>IF(T56="","",IF(I56=1,VLOOKUP(T56,男子種目コード!$A$1:$B$33,2,FALSE),IF(I56=2,VLOOKUP(T56,女子種目コード!$A$1:$B$28,2,FALSE))))</f>
        <v/>
      </c>
      <c r="V56" s="398" t="str">
        <f>IF(T56="","",HLOOKUP(T56,名簿!$AB$8:$BG$58,51,FALSE))</f>
        <v/>
      </c>
      <c r="W56" s="394">
        <v>0</v>
      </c>
      <c r="X56" s="402">
        <v>2</v>
      </c>
      <c r="Y56" s="405"/>
      <c r="Z56" s="8" t="str">
        <f>IF(Y56="","",IF(I56=1,VLOOKUP(Y56,男子種目コード!$A$1:$B$29,2,FALSE),IF(I56=2,VLOOKUP(Y56,女子種目コード!$A$1:$B$30,2,FALSE))))</f>
        <v/>
      </c>
      <c r="AA56" s="406"/>
      <c r="AB56" s="394">
        <v>0</v>
      </c>
      <c r="AC56" s="367">
        <v>2</v>
      </c>
      <c r="AD56" s="370"/>
      <c r="AE56" s="8" t="str">
        <f>IF(AD56="","",IF(I56=1,VLOOKUP(AD56,男子種目コード!$A$78:$B$80,2,FALSE),IF(I56=2,VLOOKUP(AD56,女子種目コード!$A$78:$B$80,2,FALSE))))</f>
        <v/>
      </c>
      <c r="AF56" s="369"/>
      <c r="AG56" s="367">
        <v>0</v>
      </c>
      <c r="AH56" s="367">
        <v>2</v>
      </c>
      <c r="AI56" s="368"/>
      <c r="AJ56" s="322" t="str">
        <f>IF(AI56="","",IF(I56=1,VLOOKUP(AI56,男子種目コード!$A$1:$B$29,2,FALSE),IF(I56=2,VLOOKUP(AI56,女子種目コード!$A$1:$B$30,2,FALSE))))</f>
        <v/>
      </c>
      <c r="AK56" s="568"/>
      <c r="AL56" s="416">
        <v>0</v>
      </c>
      <c r="AM56" s="416">
        <v>2</v>
      </c>
      <c r="AN56" s="569"/>
      <c r="AO56" s="569"/>
      <c r="AP56" s="570"/>
      <c r="AQ56" s="571"/>
      <c r="AR56" s="572" t="str">
        <f t="shared" si="1"/>
        <v/>
      </c>
      <c r="AS56" s="573">
        <f t="shared" si="8"/>
        <v>0</v>
      </c>
      <c r="AT56" s="573">
        <f t="shared" si="9"/>
        <v>0</v>
      </c>
      <c r="AU56" s="572" t="str">
        <f t="shared" si="4"/>
        <v/>
      </c>
      <c r="AV56" s="414" t="s">
        <v>242</v>
      </c>
      <c r="AW56" s="415">
        <f>AW33+AW55</f>
        <v>0</v>
      </c>
      <c r="AX56" s="146"/>
      <c r="AY56" s="146"/>
      <c r="BB56" s="99"/>
      <c r="BC56" s="99"/>
      <c r="BD56" s="146"/>
      <c r="BE56" s="146"/>
      <c r="BF56" s="146"/>
      <c r="BG56" s="4">
        <f t="shared" si="7"/>
        <v>0</v>
      </c>
      <c r="BH56" s="4" t="str">
        <f t="shared" si="10"/>
        <v/>
      </c>
      <c r="BI56" s="4" t="str">
        <f t="shared" si="11"/>
        <v/>
      </c>
      <c r="BJ56" s="694"/>
      <c r="BK56" s="694"/>
      <c r="BL56" s="694"/>
      <c r="BM56" s="694"/>
    </row>
    <row r="57" spans="1:65" hidden="1">
      <c r="B57" s="146"/>
      <c r="C57" s="146"/>
      <c r="D57" s="773">
        <f>名簿!D59</f>
        <v>0</v>
      </c>
      <c r="E57" s="146"/>
      <c r="F57" s="146"/>
      <c r="G57" s="147"/>
      <c r="H57" s="148"/>
      <c r="I57" s="148"/>
      <c r="J57" s="154"/>
      <c r="K57" s="154"/>
      <c r="L57" s="146"/>
      <c r="M57" s="200"/>
      <c r="N57" s="388">
        <v>23</v>
      </c>
      <c r="O57" s="150"/>
      <c r="P57" s="151"/>
      <c r="Q57" s="149"/>
      <c r="R57" s="150"/>
      <c r="S57" s="346">
        <v>0</v>
      </c>
      <c r="T57" s="346">
        <v>2</v>
      </c>
      <c r="U57" s="150"/>
      <c r="V57" s="153"/>
      <c r="W57" s="152"/>
      <c r="X57" s="150"/>
      <c r="Y57" s="151"/>
      <c r="Z57" s="152"/>
      <c r="AA57" s="150"/>
      <c r="AB57" s="154"/>
      <c r="AC57" s="154"/>
      <c r="AD57" s="146"/>
      <c r="AE57" s="155"/>
      <c r="AF57" s="185">
        <f>SUM(AR7:AR56)</f>
        <v>0</v>
      </c>
      <c r="AG57" s="185">
        <f>SUM(AS7:AS56)</f>
        <v>0</v>
      </c>
      <c r="AH57" s="185">
        <f>SUM(AT7:AT56)</f>
        <v>0</v>
      </c>
      <c r="AI57" s="146">
        <f>SUM(AU7:AU56)</f>
        <v>0</v>
      </c>
      <c r="AJ57" s="146"/>
      <c r="AK57" s="146"/>
      <c r="AL57" s="146"/>
      <c r="AM57" s="146"/>
      <c r="AN57" s="146"/>
      <c r="AO57" s="146"/>
      <c r="AP57" s="157"/>
      <c r="AQ57" s="157"/>
      <c r="AR57" s="146"/>
      <c r="AS57" s="146"/>
      <c r="AT57" s="146"/>
      <c r="AX57" s="146"/>
      <c r="AY57" s="146"/>
      <c r="BJ57" s="694"/>
      <c r="BK57" s="694"/>
      <c r="BL57" s="694"/>
      <c r="BM57" s="694"/>
    </row>
    <row r="58" spans="1:65" ht="14.25" hidden="1" thickBot="1">
      <c r="B58" s="146"/>
      <c r="C58" s="146"/>
      <c r="D58" s="773">
        <f>名簿!D60</f>
        <v>0</v>
      </c>
      <c r="E58" s="146"/>
      <c r="F58" s="146"/>
      <c r="G58" s="147"/>
      <c r="H58" s="148"/>
      <c r="I58" s="148"/>
      <c r="J58" s="154"/>
      <c r="K58" s="154"/>
      <c r="L58" s="146"/>
      <c r="M58" s="188"/>
      <c r="N58" s="390">
        <v>23</v>
      </c>
      <c r="O58" s="150"/>
      <c r="P58" s="151"/>
      <c r="Q58" s="149"/>
      <c r="R58" s="150"/>
      <c r="S58" s="345">
        <v>0</v>
      </c>
      <c r="T58" s="345">
        <v>2</v>
      </c>
      <c r="U58" s="150"/>
      <c r="V58" s="153"/>
      <c r="W58" s="152"/>
      <c r="X58" s="150"/>
      <c r="Y58" s="151"/>
      <c r="Z58" s="152"/>
      <c r="AA58" s="150"/>
      <c r="AB58" s="154"/>
      <c r="AC58" s="154"/>
      <c r="AD58" s="146"/>
      <c r="AE58" s="155"/>
      <c r="AF58" s="185">
        <f>SUM(AF57:AH57)</f>
        <v>0</v>
      </c>
      <c r="AG58" s="185"/>
      <c r="AH58" s="185"/>
      <c r="AI58" s="146">
        <f>(AF57+AI57)</f>
        <v>0</v>
      </c>
      <c r="AJ58" s="146"/>
      <c r="AK58" s="146"/>
      <c r="AL58" s="146"/>
      <c r="AM58" s="146"/>
      <c r="AN58" s="146"/>
      <c r="AO58" s="146"/>
      <c r="AP58" s="157"/>
      <c r="AQ58" s="157"/>
      <c r="AR58" s="146"/>
      <c r="AS58" s="146"/>
      <c r="AT58" s="146"/>
      <c r="AX58" s="146"/>
      <c r="AY58" s="146"/>
      <c r="BJ58" s="694"/>
      <c r="BK58" s="694"/>
      <c r="BL58" s="694"/>
      <c r="BM58" s="694"/>
    </row>
    <row r="59" spans="1:65">
      <c r="B59" s="146"/>
      <c r="C59" s="146"/>
      <c r="D59" s="146"/>
      <c r="E59" s="146"/>
      <c r="F59" s="146"/>
      <c r="G59" s="147"/>
      <c r="H59" s="148"/>
      <c r="I59" s="148"/>
      <c r="J59" s="154"/>
      <c r="K59" s="154"/>
      <c r="L59" s="146"/>
      <c r="M59" s="151"/>
      <c r="N59" s="149"/>
      <c r="O59" s="150"/>
      <c r="P59" s="151"/>
      <c r="Q59" s="149"/>
      <c r="R59" s="150"/>
      <c r="S59" s="151"/>
      <c r="T59" s="152"/>
      <c r="U59" s="150"/>
      <c r="V59" s="153"/>
      <c r="W59" s="152"/>
      <c r="X59" s="150"/>
      <c r="Y59" s="151"/>
      <c r="Z59" s="152"/>
      <c r="AA59" s="150"/>
      <c r="AB59" s="154"/>
      <c r="AC59" s="154"/>
      <c r="AD59" s="146"/>
      <c r="AE59" s="155"/>
      <c r="AF59" s="185"/>
      <c r="AG59" s="185"/>
      <c r="AH59" s="185"/>
      <c r="AI59" s="146"/>
      <c r="AJ59" s="146"/>
      <c r="AK59" s="146"/>
      <c r="AL59" s="146"/>
      <c r="AM59" s="146"/>
      <c r="AN59" s="146"/>
      <c r="AO59" s="146"/>
      <c r="AP59" s="157"/>
      <c r="AQ59" s="157"/>
      <c r="AR59" s="146"/>
      <c r="AS59" s="146"/>
      <c r="AT59" s="146"/>
      <c r="AU59" s="146"/>
      <c r="AV59" s="146"/>
      <c r="AW59" s="146"/>
      <c r="AX59" s="146"/>
      <c r="AY59" s="146"/>
      <c r="BJ59" s="694"/>
      <c r="BK59" s="694"/>
      <c r="BL59" s="694"/>
      <c r="BM59" s="694"/>
    </row>
    <row r="60" spans="1:65">
      <c r="B60" s="146"/>
      <c r="C60" s="146"/>
      <c r="D60" s="146"/>
      <c r="E60" s="146"/>
      <c r="F60" s="146"/>
      <c r="G60" s="147"/>
      <c r="H60" s="148"/>
      <c r="I60" s="148"/>
      <c r="J60" s="154"/>
      <c r="K60" s="154"/>
      <c r="L60" s="146"/>
      <c r="M60" s="151"/>
      <c r="N60" s="149"/>
      <c r="O60" s="150"/>
      <c r="P60" s="151"/>
      <c r="Q60" s="149"/>
      <c r="R60" s="150"/>
      <c r="S60" s="151"/>
      <c r="T60" s="152"/>
      <c r="U60" s="150"/>
      <c r="V60" s="153"/>
      <c r="W60" s="152"/>
      <c r="X60" s="150"/>
      <c r="Y60" s="151"/>
      <c r="Z60" s="152"/>
      <c r="AA60" s="150"/>
      <c r="AB60" s="154"/>
      <c r="AC60" s="154"/>
      <c r="AD60" s="146"/>
      <c r="AE60" s="155"/>
      <c r="AF60" s="185"/>
      <c r="AG60" s="185"/>
      <c r="AH60" s="185"/>
      <c r="AI60" s="146"/>
      <c r="AJ60" s="146"/>
      <c r="AK60" s="146"/>
      <c r="AL60" s="146"/>
      <c r="AM60" s="146"/>
      <c r="AN60" s="146"/>
      <c r="AO60" s="146"/>
      <c r="AP60" s="157"/>
      <c r="AQ60" s="157"/>
      <c r="AR60" s="146"/>
      <c r="AS60" s="146"/>
      <c r="AT60" s="146"/>
      <c r="AU60" s="146"/>
      <c r="AV60" s="146"/>
      <c r="AW60" s="146"/>
      <c r="AX60" s="146"/>
      <c r="AY60" s="146"/>
      <c r="BJ60" s="694"/>
      <c r="BK60" s="694"/>
      <c r="BL60" s="694"/>
      <c r="BM60" s="694"/>
    </row>
    <row r="61" spans="1:65">
      <c r="B61" s="146"/>
      <c r="C61" s="146"/>
      <c r="D61" s="146"/>
      <c r="E61" s="146"/>
      <c r="F61" s="146"/>
      <c r="G61" s="147"/>
      <c r="H61" s="148"/>
      <c r="I61" s="148"/>
      <c r="J61" s="154"/>
      <c r="K61" s="154"/>
      <c r="L61" s="146"/>
      <c r="M61" s="151"/>
      <c r="N61" s="149"/>
      <c r="O61" s="150"/>
      <c r="P61" s="151"/>
      <c r="Q61" s="149"/>
      <c r="R61" s="150"/>
      <c r="S61" s="151"/>
      <c r="T61" s="152"/>
      <c r="U61" s="150"/>
      <c r="V61" s="153"/>
      <c r="W61" s="152"/>
      <c r="X61" s="150"/>
      <c r="Y61" s="151"/>
      <c r="Z61" s="152"/>
      <c r="AA61" s="150"/>
      <c r="AB61" s="154"/>
      <c r="AC61" s="154"/>
      <c r="AD61" s="146"/>
      <c r="AE61" s="155"/>
      <c r="AF61" s="185"/>
      <c r="AG61" s="185"/>
      <c r="AH61" s="185"/>
      <c r="AI61" s="146"/>
      <c r="AJ61" s="146"/>
      <c r="AK61" s="146"/>
      <c r="AL61" s="146"/>
      <c r="AM61" s="146"/>
      <c r="AN61" s="146"/>
      <c r="AO61" s="146"/>
      <c r="AP61" s="157"/>
      <c r="AQ61" s="157"/>
      <c r="AR61" s="146"/>
      <c r="AS61" s="146"/>
      <c r="AT61" s="146"/>
      <c r="AU61" s="146"/>
      <c r="AV61" s="146"/>
      <c r="AW61" s="146"/>
      <c r="AX61" s="694"/>
      <c r="AY61" s="146"/>
      <c r="BJ61" s="694"/>
      <c r="BK61" s="694"/>
      <c r="BL61" s="694"/>
      <c r="BM61" s="694"/>
    </row>
    <row r="62" spans="1:65">
      <c r="B62" s="146"/>
      <c r="C62" s="146"/>
      <c r="D62" s="146"/>
      <c r="E62" s="146"/>
      <c r="F62" s="146"/>
      <c r="G62" s="147"/>
      <c r="H62" s="148"/>
      <c r="I62" s="148"/>
      <c r="J62" s="154"/>
      <c r="K62" s="154"/>
      <c r="L62" s="146"/>
      <c r="M62" s="151"/>
      <c r="N62" s="149"/>
      <c r="O62" s="150"/>
      <c r="P62" s="151"/>
      <c r="Q62" s="149"/>
      <c r="R62" s="150"/>
      <c r="S62" s="151"/>
      <c r="T62" s="152"/>
      <c r="U62" s="150"/>
      <c r="V62" s="153"/>
      <c r="W62" s="152"/>
      <c r="X62" s="150"/>
      <c r="Y62" s="151"/>
      <c r="Z62" s="152"/>
      <c r="AA62" s="150"/>
      <c r="AB62" s="154"/>
      <c r="AC62" s="154"/>
      <c r="AD62" s="146"/>
      <c r="AE62" s="155"/>
      <c r="AF62" s="185"/>
      <c r="AG62" s="185"/>
      <c r="AH62" s="185"/>
      <c r="AI62" s="146"/>
      <c r="AJ62" s="146"/>
      <c r="AK62" s="146"/>
      <c r="AL62" s="146"/>
      <c r="AM62" s="146"/>
      <c r="AN62" s="146"/>
      <c r="AO62" s="146"/>
      <c r="AP62" s="157"/>
      <c r="AQ62" s="157"/>
      <c r="AR62" s="146"/>
      <c r="AS62" s="146"/>
      <c r="AT62" s="146"/>
      <c r="AU62" s="146"/>
      <c r="AV62" s="146"/>
      <c r="AW62" s="146"/>
      <c r="AX62" s="146"/>
      <c r="AY62" s="146"/>
      <c r="BJ62" s="694"/>
      <c r="BK62" s="694"/>
      <c r="BL62" s="694"/>
      <c r="BM62" s="694"/>
    </row>
    <row r="63" spans="1:65" s="103" customFormat="1">
      <c r="A63" s="694"/>
      <c r="B63" s="694"/>
      <c r="C63" s="694"/>
      <c r="D63" s="694"/>
      <c r="E63" s="694"/>
      <c r="F63" s="694"/>
      <c r="G63" s="697"/>
      <c r="H63" s="698"/>
      <c r="I63" s="698"/>
      <c r="J63" s="699"/>
      <c r="K63" s="699"/>
      <c r="L63" s="694"/>
      <c r="M63" s="700"/>
      <c r="N63" s="701"/>
      <c r="O63" s="702"/>
      <c r="P63" s="700"/>
      <c r="Q63" s="701"/>
      <c r="R63" s="702"/>
      <c r="S63" s="700"/>
      <c r="T63" s="703"/>
      <c r="U63" s="702"/>
      <c r="V63" s="704"/>
      <c r="W63" s="703"/>
      <c r="X63" s="702"/>
      <c r="Y63" s="700"/>
      <c r="Z63" s="703"/>
      <c r="AA63" s="702"/>
      <c r="AB63" s="699"/>
      <c r="AC63" s="699"/>
      <c r="AD63" s="694"/>
      <c r="AE63" s="705"/>
      <c r="AF63" s="706"/>
      <c r="AG63" s="706"/>
      <c r="AH63" s="706"/>
      <c r="AI63" s="694"/>
      <c r="AJ63" s="694"/>
      <c r="AK63" s="694"/>
      <c r="AL63" s="694"/>
      <c r="AM63" s="694"/>
      <c r="AN63" s="694"/>
      <c r="AO63" s="694"/>
      <c r="AP63" s="707"/>
      <c r="AQ63" s="707"/>
      <c r="AR63" s="694"/>
      <c r="AS63" s="694"/>
      <c r="AT63" s="694"/>
      <c r="AU63" s="694"/>
      <c r="AV63" s="694"/>
      <c r="AW63" s="694"/>
      <c r="AX63" s="694"/>
      <c r="AY63" s="694"/>
      <c r="BJ63" s="694"/>
      <c r="BK63" s="694"/>
      <c r="BL63" s="694"/>
      <c r="BM63" s="694"/>
    </row>
    <row r="64" spans="1:65" s="103" customFormat="1">
      <c r="A64" s="694"/>
      <c r="B64" s="694"/>
      <c r="C64" s="694"/>
      <c r="D64" s="694"/>
      <c r="E64" s="694"/>
      <c r="F64" s="694"/>
      <c r="G64" s="697"/>
      <c r="H64" s="698"/>
      <c r="I64" s="698"/>
      <c r="J64" s="699"/>
      <c r="K64" s="699"/>
      <c r="L64" s="694"/>
      <c r="M64" s="700"/>
      <c r="N64" s="701"/>
      <c r="O64" s="702"/>
      <c r="P64" s="700"/>
      <c r="Q64" s="701"/>
      <c r="R64" s="702"/>
      <c r="S64" s="700"/>
      <c r="T64" s="703"/>
      <c r="U64" s="702"/>
      <c r="V64" s="704"/>
      <c r="W64" s="703"/>
      <c r="X64" s="702"/>
      <c r="Y64" s="700"/>
      <c r="Z64" s="703"/>
      <c r="AA64" s="702"/>
      <c r="AB64" s="699"/>
      <c r="AC64" s="699"/>
      <c r="AD64" s="694"/>
      <c r="AE64" s="705"/>
      <c r="AF64" s="706"/>
      <c r="AG64" s="706"/>
      <c r="AH64" s="706"/>
      <c r="AI64" s="694"/>
      <c r="AJ64" s="694"/>
      <c r="AK64" s="694"/>
      <c r="AL64" s="694"/>
      <c r="AM64" s="694"/>
      <c r="AN64" s="694"/>
      <c r="AO64" s="694"/>
      <c r="AP64" s="707"/>
      <c r="AQ64" s="707"/>
      <c r="AR64" s="694"/>
      <c r="AS64" s="694"/>
      <c r="AT64" s="694"/>
      <c r="AU64" s="694"/>
      <c r="AV64" s="694"/>
      <c r="AW64" s="694"/>
      <c r="AX64" s="694"/>
      <c r="AY64" s="694"/>
      <c r="BJ64" s="694"/>
      <c r="BK64" s="694"/>
      <c r="BL64" s="694"/>
      <c r="BM64" s="694"/>
    </row>
    <row r="65" spans="1:65" s="103" customFormat="1">
      <c r="A65" s="694"/>
      <c r="B65" s="694"/>
      <c r="C65" s="694"/>
      <c r="D65" s="694"/>
      <c r="E65" s="694"/>
      <c r="F65" s="694"/>
      <c r="G65" s="697"/>
      <c r="H65" s="698"/>
      <c r="I65" s="698"/>
      <c r="J65" s="699"/>
      <c r="K65" s="699"/>
      <c r="L65" s="694"/>
      <c r="M65" s="700"/>
      <c r="N65" s="701"/>
      <c r="O65" s="702"/>
      <c r="P65" s="700"/>
      <c r="Q65" s="701"/>
      <c r="R65" s="702"/>
      <c r="S65" s="700"/>
      <c r="T65" s="703"/>
      <c r="U65" s="702"/>
      <c r="V65" s="704"/>
      <c r="W65" s="703"/>
      <c r="X65" s="702"/>
      <c r="Y65" s="700"/>
      <c r="Z65" s="703"/>
      <c r="AA65" s="702"/>
      <c r="AB65" s="699"/>
      <c r="AC65" s="699"/>
      <c r="AD65" s="694"/>
      <c r="AE65" s="705"/>
      <c r="AF65" s="706"/>
      <c r="AG65" s="706"/>
      <c r="AH65" s="706"/>
      <c r="AI65" s="694"/>
      <c r="AJ65" s="694"/>
      <c r="AK65" s="694"/>
      <c r="AL65" s="694"/>
      <c r="AM65" s="694"/>
      <c r="AN65" s="694"/>
      <c r="AO65" s="694"/>
      <c r="AP65" s="707"/>
      <c r="AQ65" s="707"/>
      <c r="AR65" s="694"/>
      <c r="AS65" s="694"/>
      <c r="AT65" s="694"/>
      <c r="AU65" s="694"/>
      <c r="AV65" s="694"/>
      <c r="AW65" s="694"/>
      <c r="AX65" s="694"/>
      <c r="AY65" s="694"/>
      <c r="BJ65" s="694"/>
      <c r="BK65" s="694"/>
      <c r="BL65" s="694"/>
      <c r="BM65" s="694"/>
    </row>
    <row r="66" spans="1:65" s="103" customFormat="1">
      <c r="A66" s="694"/>
      <c r="B66" s="694"/>
      <c r="C66" s="694"/>
      <c r="D66" s="694"/>
      <c r="E66" s="694"/>
      <c r="F66" s="694"/>
      <c r="G66" s="697"/>
      <c r="H66" s="698"/>
      <c r="I66" s="698"/>
      <c r="J66" s="699"/>
      <c r="K66" s="699"/>
      <c r="L66" s="694"/>
      <c r="M66" s="700"/>
      <c r="N66" s="701"/>
      <c r="O66" s="702"/>
      <c r="P66" s="700"/>
      <c r="Q66" s="701"/>
      <c r="R66" s="702"/>
      <c r="S66" s="700"/>
      <c r="T66" s="703"/>
      <c r="U66" s="702"/>
      <c r="V66" s="704"/>
      <c r="W66" s="703"/>
      <c r="X66" s="702"/>
      <c r="Y66" s="700"/>
      <c r="Z66" s="703"/>
      <c r="AA66" s="702"/>
      <c r="AB66" s="699"/>
      <c r="AC66" s="699"/>
      <c r="AD66" s="694"/>
      <c r="AE66" s="705"/>
      <c r="AF66" s="706"/>
      <c r="AG66" s="706"/>
      <c r="AH66" s="706"/>
      <c r="AI66" s="694"/>
      <c r="AJ66" s="694"/>
      <c r="AK66" s="694"/>
      <c r="AL66" s="694"/>
      <c r="AM66" s="694"/>
      <c r="AN66" s="694"/>
      <c r="AO66" s="694"/>
      <c r="AP66" s="707"/>
      <c r="AQ66" s="707"/>
      <c r="AR66" s="694"/>
      <c r="AS66" s="694"/>
      <c r="AT66" s="694"/>
      <c r="AU66" s="694"/>
      <c r="AV66" s="694"/>
      <c r="AW66" s="694"/>
      <c r="AX66" s="694"/>
      <c r="AY66" s="694"/>
      <c r="BJ66" s="694"/>
      <c r="BK66" s="694"/>
      <c r="BL66" s="694"/>
      <c r="BM66" s="694"/>
    </row>
    <row r="67" spans="1:65" s="103" customFormat="1">
      <c r="A67" s="694"/>
      <c r="B67" s="694"/>
      <c r="C67" s="694"/>
      <c r="D67" s="694"/>
      <c r="E67" s="694"/>
      <c r="F67" s="694"/>
      <c r="G67" s="697"/>
      <c r="H67" s="698"/>
      <c r="I67" s="698"/>
      <c r="J67" s="699"/>
      <c r="K67" s="699"/>
      <c r="L67" s="694"/>
      <c r="M67" s="700"/>
      <c r="N67" s="701"/>
      <c r="O67" s="702"/>
      <c r="P67" s="700"/>
      <c r="Q67" s="701"/>
      <c r="R67" s="702"/>
      <c r="S67" s="700"/>
      <c r="T67" s="703"/>
      <c r="U67" s="702"/>
      <c r="V67" s="704"/>
      <c r="W67" s="703"/>
      <c r="X67" s="702"/>
      <c r="Y67" s="700"/>
      <c r="Z67" s="703"/>
      <c r="AA67" s="702"/>
      <c r="AB67" s="699"/>
      <c r="AC67" s="699"/>
      <c r="AD67" s="694"/>
      <c r="AE67" s="705"/>
      <c r="AF67" s="706"/>
      <c r="AG67" s="706"/>
      <c r="AH67" s="706"/>
      <c r="AI67" s="694"/>
      <c r="AJ67" s="694"/>
      <c r="AK67" s="694"/>
      <c r="AL67" s="694"/>
      <c r="AM67" s="694"/>
      <c r="AN67" s="694"/>
      <c r="AO67" s="694"/>
      <c r="AP67" s="707"/>
      <c r="AQ67" s="707"/>
      <c r="AR67" s="694"/>
      <c r="AS67" s="694"/>
      <c r="AT67" s="694"/>
      <c r="AU67" s="694"/>
      <c r="AV67" s="694"/>
      <c r="AW67" s="694"/>
      <c r="AX67" s="694"/>
      <c r="AY67" s="694"/>
      <c r="BJ67" s="694"/>
      <c r="BK67" s="694"/>
      <c r="BL67" s="694"/>
      <c r="BM67" s="694"/>
    </row>
    <row r="68" spans="1:65" s="103" customFormat="1">
      <c r="A68" s="694"/>
      <c r="B68" s="694"/>
      <c r="C68" s="694"/>
      <c r="D68" s="694"/>
      <c r="E68" s="694"/>
      <c r="F68" s="694"/>
      <c r="G68" s="697"/>
      <c r="H68" s="698"/>
      <c r="I68" s="698"/>
      <c r="J68" s="699"/>
      <c r="K68" s="699"/>
      <c r="L68" s="694"/>
      <c r="M68" s="700"/>
      <c r="N68" s="701"/>
      <c r="O68" s="702"/>
      <c r="P68" s="700"/>
      <c r="Q68" s="701"/>
      <c r="R68" s="702"/>
      <c r="S68" s="700"/>
      <c r="T68" s="703"/>
      <c r="U68" s="702"/>
      <c r="V68" s="704"/>
      <c r="W68" s="703"/>
      <c r="X68" s="702"/>
      <c r="Y68" s="700"/>
      <c r="Z68" s="703"/>
      <c r="AA68" s="702"/>
      <c r="AB68" s="699"/>
      <c r="AC68" s="699"/>
      <c r="AD68" s="694"/>
      <c r="AE68" s="705"/>
      <c r="AF68" s="706"/>
      <c r="AG68" s="706"/>
      <c r="AH68" s="706"/>
      <c r="AI68" s="694"/>
      <c r="AJ68" s="694"/>
      <c r="AK68" s="694"/>
      <c r="AL68" s="694"/>
      <c r="AM68" s="694"/>
      <c r="AN68" s="694"/>
      <c r="AO68" s="694"/>
      <c r="AP68" s="707"/>
      <c r="AQ68" s="707"/>
      <c r="AR68" s="694"/>
      <c r="AS68" s="694"/>
      <c r="AT68" s="694"/>
      <c r="AU68" s="694"/>
      <c r="AV68" s="694"/>
      <c r="AW68" s="694"/>
      <c r="AX68" s="694"/>
      <c r="AY68" s="694"/>
      <c r="BJ68" s="694"/>
      <c r="BK68" s="694"/>
      <c r="BL68" s="694"/>
      <c r="BM68" s="694"/>
    </row>
    <row r="69" spans="1:65" s="103" customFormat="1">
      <c r="A69" s="694"/>
      <c r="B69" s="694"/>
      <c r="C69" s="694"/>
      <c r="D69" s="694"/>
      <c r="E69" s="694"/>
      <c r="F69" s="694"/>
      <c r="G69" s="697"/>
      <c r="H69" s="698"/>
      <c r="I69" s="698"/>
      <c r="J69" s="699"/>
      <c r="K69" s="699"/>
      <c r="L69" s="694"/>
      <c r="M69" s="700"/>
      <c r="N69" s="701"/>
      <c r="O69" s="702"/>
      <c r="P69" s="700"/>
      <c r="Q69" s="701"/>
      <c r="R69" s="702"/>
      <c r="S69" s="700"/>
      <c r="T69" s="703"/>
      <c r="U69" s="702"/>
      <c r="V69" s="704"/>
      <c r="W69" s="703"/>
      <c r="X69" s="702"/>
      <c r="Y69" s="700"/>
      <c r="Z69" s="703"/>
      <c r="AA69" s="702"/>
      <c r="AB69" s="699"/>
      <c r="AC69" s="699"/>
      <c r="AD69" s="694"/>
      <c r="AE69" s="705"/>
      <c r="AF69" s="706"/>
      <c r="AG69" s="706"/>
      <c r="AH69" s="706"/>
      <c r="AI69" s="694"/>
      <c r="AJ69" s="694"/>
      <c r="AK69" s="694"/>
      <c r="AL69" s="694"/>
      <c r="AM69" s="694"/>
      <c r="AN69" s="694"/>
      <c r="AO69" s="694"/>
      <c r="AP69" s="707"/>
      <c r="AQ69" s="707"/>
      <c r="AR69" s="694"/>
      <c r="AS69" s="694"/>
      <c r="AT69" s="694"/>
      <c r="AU69" s="694"/>
      <c r="AV69" s="694"/>
      <c r="AW69" s="694"/>
      <c r="AX69" s="694"/>
      <c r="AY69" s="694"/>
      <c r="BJ69" s="694"/>
      <c r="BK69" s="694"/>
      <c r="BL69" s="694"/>
      <c r="BM69" s="694"/>
    </row>
    <row r="70" spans="1:65" s="103" customFormat="1">
      <c r="A70" s="694"/>
      <c r="B70" s="694"/>
      <c r="C70" s="694"/>
      <c r="D70" s="694"/>
      <c r="E70" s="694"/>
      <c r="F70" s="694"/>
      <c r="G70" s="697"/>
      <c r="H70" s="698"/>
      <c r="I70" s="698"/>
      <c r="J70" s="699"/>
      <c r="K70" s="699"/>
      <c r="L70" s="694"/>
      <c r="M70" s="700"/>
      <c r="N70" s="701"/>
      <c r="O70" s="702"/>
      <c r="P70" s="700"/>
      <c r="Q70" s="701"/>
      <c r="R70" s="702"/>
      <c r="S70" s="700"/>
      <c r="T70" s="703"/>
      <c r="U70" s="702"/>
      <c r="V70" s="704"/>
      <c r="W70" s="703"/>
      <c r="X70" s="702"/>
      <c r="Y70" s="700"/>
      <c r="Z70" s="703"/>
      <c r="AA70" s="702"/>
      <c r="AB70" s="699"/>
      <c r="AC70" s="699"/>
      <c r="AD70" s="694"/>
      <c r="AE70" s="705"/>
      <c r="AF70" s="706"/>
      <c r="AG70" s="706"/>
      <c r="AH70" s="706"/>
      <c r="AI70" s="694"/>
      <c r="AJ70" s="694"/>
      <c r="AK70" s="694"/>
      <c r="AL70" s="694"/>
      <c r="AM70" s="694"/>
      <c r="AN70" s="694"/>
      <c r="AO70" s="694"/>
      <c r="AP70" s="707"/>
      <c r="AQ70" s="707"/>
      <c r="AR70" s="694"/>
      <c r="AS70" s="694"/>
      <c r="AT70" s="694"/>
      <c r="AU70" s="694"/>
      <c r="AV70" s="694"/>
      <c r="AW70" s="694"/>
      <c r="AX70" s="694"/>
      <c r="AY70" s="694"/>
      <c r="BJ70" s="694"/>
      <c r="BK70" s="694"/>
      <c r="BL70" s="694"/>
      <c r="BM70" s="694"/>
    </row>
    <row r="71" spans="1:65" s="103" customFormat="1">
      <c r="A71" s="694"/>
      <c r="B71" s="694"/>
      <c r="C71" s="694"/>
      <c r="D71" s="694"/>
      <c r="E71" s="694"/>
      <c r="F71" s="694"/>
      <c r="G71" s="697"/>
      <c r="H71" s="698"/>
      <c r="I71" s="698"/>
      <c r="J71" s="699"/>
      <c r="K71" s="699"/>
      <c r="L71" s="694"/>
      <c r="M71" s="700"/>
      <c r="N71" s="701"/>
      <c r="O71" s="702"/>
      <c r="P71" s="700"/>
      <c r="Q71" s="701"/>
      <c r="R71" s="702"/>
      <c r="S71" s="700"/>
      <c r="T71" s="703"/>
      <c r="U71" s="702"/>
      <c r="V71" s="704"/>
      <c r="W71" s="703"/>
      <c r="X71" s="702"/>
      <c r="Y71" s="700"/>
      <c r="Z71" s="703"/>
      <c r="AA71" s="702"/>
      <c r="AB71" s="699"/>
      <c r="AC71" s="699"/>
      <c r="AD71" s="694"/>
      <c r="AE71" s="705"/>
      <c r="AF71" s="706"/>
      <c r="AG71" s="706"/>
      <c r="AH71" s="706"/>
      <c r="AI71" s="694"/>
      <c r="AJ71" s="694"/>
      <c r="AK71" s="694"/>
      <c r="AL71" s="694"/>
      <c r="AM71" s="694"/>
      <c r="AN71" s="694"/>
      <c r="AO71" s="694"/>
      <c r="AP71" s="707"/>
      <c r="AQ71" s="707"/>
      <c r="AR71" s="694"/>
      <c r="AS71" s="694"/>
      <c r="AT71" s="694"/>
      <c r="AU71" s="694"/>
      <c r="AV71" s="694"/>
      <c r="AW71" s="694"/>
      <c r="AX71" s="694"/>
      <c r="AY71" s="694"/>
      <c r="BJ71" s="694"/>
      <c r="BK71" s="694"/>
      <c r="BL71" s="694"/>
      <c r="BM71" s="694"/>
    </row>
    <row r="72" spans="1:65" s="103" customFormat="1">
      <c r="A72" s="694"/>
      <c r="B72" s="694"/>
      <c r="C72" s="694"/>
      <c r="D72" s="694"/>
      <c r="E72" s="694"/>
      <c r="F72" s="694"/>
      <c r="G72" s="697"/>
      <c r="H72" s="698"/>
      <c r="I72" s="698"/>
      <c r="J72" s="699"/>
      <c r="K72" s="699"/>
      <c r="L72" s="694"/>
      <c r="M72" s="700"/>
      <c r="N72" s="701"/>
      <c r="O72" s="702"/>
      <c r="P72" s="700"/>
      <c r="Q72" s="701"/>
      <c r="R72" s="702"/>
      <c r="S72" s="700"/>
      <c r="T72" s="703"/>
      <c r="U72" s="702"/>
      <c r="V72" s="704"/>
      <c r="W72" s="703"/>
      <c r="X72" s="702"/>
      <c r="Y72" s="700"/>
      <c r="Z72" s="703"/>
      <c r="AA72" s="702"/>
      <c r="AB72" s="699"/>
      <c r="AC72" s="699"/>
      <c r="AD72" s="694"/>
      <c r="AE72" s="705"/>
      <c r="AF72" s="706"/>
      <c r="AG72" s="706"/>
      <c r="AH72" s="706"/>
      <c r="AI72" s="694"/>
      <c r="AJ72" s="694"/>
      <c r="AK72" s="694"/>
      <c r="AL72" s="694"/>
      <c r="AM72" s="694"/>
      <c r="AN72" s="694"/>
      <c r="AO72" s="694"/>
      <c r="AP72" s="707"/>
      <c r="AQ72" s="707"/>
      <c r="AR72" s="694"/>
      <c r="AS72" s="694"/>
      <c r="AT72" s="694"/>
      <c r="AU72" s="694"/>
      <c r="AV72" s="694"/>
      <c r="AW72" s="694"/>
      <c r="AX72" s="694"/>
      <c r="AY72" s="694"/>
      <c r="BJ72" s="694"/>
      <c r="BK72" s="694"/>
      <c r="BL72" s="694"/>
      <c r="BM72" s="694"/>
    </row>
    <row r="73" spans="1:65" s="103" customFormat="1">
      <c r="A73" s="694"/>
      <c r="B73" s="694"/>
      <c r="C73" s="694"/>
      <c r="D73" s="694"/>
      <c r="E73" s="694"/>
      <c r="F73" s="694"/>
      <c r="G73" s="697"/>
      <c r="H73" s="698"/>
      <c r="I73" s="698"/>
      <c r="J73" s="699"/>
      <c r="K73" s="699"/>
      <c r="L73" s="694"/>
      <c r="M73" s="700"/>
      <c r="N73" s="701"/>
      <c r="O73" s="702"/>
      <c r="P73" s="700"/>
      <c r="Q73" s="701"/>
      <c r="R73" s="702"/>
      <c r="S73" s="700"/>
      <c r="T73" s="703"/>
      <c r="U73" s="702"/>
      <c r="V73" s="704"/>
      <c r="W73" s="703"/>
      <c r="X73" s="702"/>
      <c r="Y73" s="700"/>
      <c r="Z73" s="703"/>
      <c r="AA73" s="702"/>
      <c r="AB73" s="699"/>
      <c r="AC73" s="699"/>
      <c r="AD73" s="694"/>
      <c r="AE73" s="705"/>
      <c r="AF73" s="706"/>
      <c r="AG73" s="706"/>
      <c r="AH73" s="706"/>
      <c r="AI73" s="694"/>
      <c r="AJ73" s="694"/>
      <c r="AK73" s="694"/>
      <c r="AL73" s="694"/>
      <c r="AM73" s="694"/>
      <c r="AN73" s="694"/>
      <c r="AO73" s="694"/>
      <c r="AP73" s="707"/>
      <c r="AQ73" s="707"/>
      <c r="AR73" s="694"/>
      <c r="AS73" s="694"/>
      <c r="AT73" s="694"/>
      <c r="AU73" s="694"/>
      <c r="AV73" s="694"/>
      <c r="AW73" s="694"/>
      <c r="AX73" s="694"/>
      <c r="AY73" s="694"/>
      <c r="BJ73" s="694"/>
      <c r="BK73" s="694"/>
      <c r="BL73" s="694"/>
      <c r="BM73" s="694"/>
    </row>
    <row r="74" spans="1:65" s="103" customFormat="1">
      <c r="A74" s="694"/>
      <c r="B74" s="694"/>
      <c r="C74" s="694"/>
      <c r="D74" s="694"/>
      <c r="E74" s="694"/>
      <c r="F74" s="694"/>
      <c r="G74" s="697"/>
      <c r="H74" s="698"/>
      <c r="I74" s="698"/>
      <c r="J74" s="699"/>
      <c r="K74" s="699"/>
      <c r="L74" s="694"/>
      <c r="M74" s="700"/>
      <c r="N74" s="701"/>
      <c r="O74" s="702"/>
      <c r="P74" s="700"/>
      <c r="Q74" s="701"/>
      <c r="R74" s="702"/>
      <c r="S74" s="700"/>
      <c r="T74" s="703"/>
      <c r="U74" s="702"/>
      <c r="V74" s="704"/>
      <c r="W74" s="703"/>
      <c r="X74" s="702"/>
      <c r="Y74" s="700"/>
      <c r="Z74" s="703"/>
      <c r="AA74" s="702"/>
      <c r="AB74" s="699"/>
      <c r="AC74" s="699"/>
      <c r="AD74" s="694"/>
      <c r="AE74" s="705"/>
      <c r="AF74" s="706"/>
      <c r="AG74" s="706"/>
      <c r="AH74" s="706"/>
      <c r="AI74" s="694"/>
      <c r="AJ74" s="694"/>
      <c r="AK74" s="694"/>
      <c r="AL74" s="694"/>
      <c r="AM74" s="694"/>
      <c r="AN74" s="694"/>
      <c r="AO74" s="694"/>
      <c r="AP74" s="707"/>
      <c r="AQ74" s="707"/>
      <c r="AR74" s="694"/>
      <c r="AS74" s="694"/>
      <c r="AT74" s="694"/>
      <c r="AU74" s="694"/>
      <c r="AV74" s="694"/>
      <c r="AW74" s="694"/>
      <c r="AX74" s="694"/>
      <c r="AY74" s="694"/>
      <c r="BJ74" s="694"/>
      <c r="BK74" s="694"/>
      <c r="BL74" s="694"/>
      <c r="BM74" s="694"/>
    </row>
    <row r="75" spans="1:65" s="103" customFormat="1">
      <c r="A75" s="694"/>
      <c r="B75" s="694"/>
      <c r="C75" s="694"/>
      <c r="D75" s="694"/>
      <c r="E75" s="694"/>
      <c r="F75" s="694"/>
      <c r="G75" s="697"/>
      <c r="H75" s="698"/>
      <c r="I75" s="698"/>
      <c r="J75" s="699"/>
      <c r="K75" s="699"/>
      <c r="L75" s="694"/>
      <c r="M75" s="700"/>
      <c r="N75" s="701"/>
      <c r="O75" s="702"/>
      <c r="P75" s="700"/>
      <c r="Q75" s="701"/>
      <c r="R75" s="702"/>
      <c r="S75" s="700"/>
      <c r="T75" s="703"/>
      <c r="U75" s="702"/>
      <c r="V75" s="704"/>
      <c r="W75" s="703"/>
      <c r="X75" s="702"/>
      <c r="Y75" s="700"/>
      <c r="Z75" s="703"/>
      <c r="AA75" s="702"/>
      <c r="AB75" s="699"/>
      <c r="AC75" s="699"/>
      <c r="AD75" s="694"/>
      <c r="AE75" s="705"/>
      <c r="AF75" s="706"/>
      <c r="AG75" s="706"/>
      <c r="AH75" s="706"/>
      <c r="AI75" s="694"/>
      <c r="AJ75" s="694"/>
      <c r="AK75" s="694"/>
      <c r="AL75" s="694"/>
      <c r="AM75" s="694"/>
      <c r="AN75" s="694"/>
      <c r="AO75" s="694"/>
      <c r="AP75" s="707"/>
      <c r="AQ75" s="707"/>
      <c r="AR75" s="694"/>
      <c r="AS75" s="694"/>
      <c r="AT75" s="694"/>
      <c r="AU75" s="694"/>
      <c r="AV75" s="694"/>
      <c r="AW75" s="694"/>
      <c r="AX75" s="694"/>
      <c r="AY75" s="694"/>
      <c r="BJ75" s="694"/>
      <c r="BK75" s="694"/>
      <c r="BL75" s="694"/>
      <c r="BM75" s="694"/>
    </row>
    <row r="76" spans="1:65" s="103" customFormat="1">
      <c r="A76" s="694"/>
      <c r="B76" s="694"/>
      <c r="C76" s="694"/>
      <c r="D76" s="694"/>
      <c r="E76" s="694"/>
      <c r="F76" s="694"/>
      <c r="G76" s="697"/>
      <c r="H76" s="698"/>
      <c r="I76" s="698"/>
      <c r="J76" s="699"/>
      <c r="K76" s="699"/>
      <c r="L76" s="694"/>
      <c r="M76" s="700"/>
      <c r="N76" s="701"/>
      <c r="O76" s="702"/>
      <c r="P76" s="700"/>
      <c r="Q76" s="701"/>
      <c r="R76" s="702"/>
      <c r="S76" s="700"/>
      <c r="T76" s="703"/>
      <c r="U76" s="702"/>
      <c r="V76" s="704"/>
      <c r="W76" s="703"/>
      <c r="X76" s="702"/>
      <c r="Y76" s="700"/>
      <c r="Z76" s="703"/>
      <c r="AA76" s="702"/>
      <c r="AB76" s="699"/>
      <c r="AC76" s="699"/>
      <c r="AD76" s="694"/>
      <c r="AE76" s="705"/>
      <c r="AF76" s="706"/>
      <c r="AG76" s="706"/>
      <c r="AH76" s="706"/>
      <c r="AI76" s="694"/>
      <c r="AJ76" s="694"/>
      <c r="AK76" s="694"/>
      <c r="AL76" s="694"/>
      <c r="AM76" s="694"/>
      <c r="AN76" s="694"/>
      <c r="AO76" s="694"/>
      <c r="AP76" s="707"/>
      <c r="AQ76" s="707"/>
      <c r="AR76" s="694"/>
      <c r="AS76" s="694"/>
      <c r="AT76" s="694"/>
      <c r="AU76" s="694"/>
      <c r="AV76" s="694"/>
      <c r="AW76" s="694"/>
      <c r="AX76" s="694"/>
      <c r="AY76" s="694"/>
      <c r="BJ76" s="694"/>
      <c r="BK76" s="694"/>
      <c r="BL76" s="694"/>
      <c r="BM76" s="694"/>
    </row>
    <row r="77" spans="1:65" s="103" customFormat="1">
      <c r="A77" s="694"/>
      <c r="B77" s="694"/>
      <c r="C77" s="694"/>
      <c r="D77" s="694"/>
      <c r="E77" s="694"/>
      <c r="F77" s="694"/>
      <c r="G77" s="697"/>
      <c r="H77" s="698"/>
      <c r="I77" s="698"/>
      <c r="J77" s="699"/>
      <c r="K77" s="699"/>
      <c r="L77" s="694"/>
      <c r="M77" s="700"/>
      <c r="N77" s="701"/>
      <c r="O77" s="702"/>
      <c r="P77" s="700"/>
      <c r="Q77" s="701"/>
      <c r="R77" s="702"/>
      <c r="S77" s="700"/>
      <c r="T77" s="703"/>
      <c r="U77" s="702"/>
      <c r="V77" s="704"/>
      <c r="W77" s="703"/>
      <c r="X77" s="702"/>
      <c r="Y77" s="700"/>
      <c r="Z77" s="703"/>
      <c r="AA77" s="702"/>
      <c r="AB77" s="699"/>
      <c r="AC77" s="699"/>
      <c r="AD77" s="694"/>
      <c r="AE77" s="705"/>
      <c r="AF77" s="706"/>
      <c r="AG77" s="706"/>
      <c r="AH77" s="706"/>
      <c r="AI77" s="694"/>
      <c r="AJ77" s="694"/>
      <c r="AK77" s="694"/>
      <c r="AL77" s="694"/>
      <c r="AM77" s="694"/>
      <c r="AN77" s="694"/>
      <c r="AO77" s="694"/>
      <c r="AP77" s="707"/>
      <c r="AQ77" s="707"/>
      <c r="AR77" s="694"/>
      <c r="AS77" s="694"/>
      <c r="AT77" s="694"/>
      <c r="AU77" s="694"/>
      <c r="AV77" s="694"/>
      <c r="AW77" s="694"/>
      <c r="AX77" s="694"/>
      <c r="AY77" s="694"/>
      <c r="BJ77" s="694"/>
      <c r="BK77" s="694"/>
      <c r="BL77" s="694"/>
      <c r="BM77" s="694"/>
    </row>
    <row r="78" spans="1:65" s="103" customFormat="1">
      <c r="G78" s="352"/>
      <c r="H78" s="353"/>
      <c r="I78" s="353"/>
      <c r="J78" s="354"/>
      <c r="K78" s="354"/>
      <c r="M78" s="9"/>
      <c r="N78" s="355"/>
      <c r="O78" s="356"/>
      <c r="P78" s="9"/>
      <c r="Q78" s="355"/>
      <c r="R78" s="356"/>
      <c r="S78" s="9"/>
      <c r="T78" s="357"/>
      <c r="U78" s="356"/>
      <c r="V78" s="98"/>
      <c r="W78" s="357"/>
      <c r="X78" s="356"/>
      <c r="Y78" s="9"/>
      <c r="Z78" s="357"/>
      <c r="AA78" s="356"/>
      <c r="AB78" s="354"/>
      <c r="AC78" s="354"/>
      <c r="AE78" s="358"/>
      <c r="AF78" s="359"/>
      <c r="AG78" s="359"/>
      <c r="AH78" s="359"/>
      <c r="AP78" s="351"/>
      <c r="AQ78" s="351"/>
    </row>
    <row r="79" spans="1:65" s="103" customFormat="1">
      <c r="G79" s="352"/>
      <c r="H79" s="353"/>
      <c r="I79" s="353"/>
      <c r="J79" s="354"/>
      <c r="K79" s="354"/>
      <c r="M79" s="9"/>
      <c r="N79" s="355"/>
      <c r="O79" s="356"/>
      <c r="P79" s="9"/>
      <c r="Q79" s="355"/>
      <c r="R79" s="356"/>
      <c r="S79" s="9"/>
      <c r="T79" s="357"/>
      <c r="U79" s="356"/>
      <c r="V79" s="98"/>
      <c r="W79" s="357"/>
      <c r="X79" s="356"/>
      <c r="Y79" s="9"/>
      <c r="Z79" s="357"/>
      <c r="AA79" s="356"/>
      <c r="AB79" s="354"/>
      <c r="AC79" s="354"/>
      <c r="AE79" s="358"/>
      <c r="AF79" s="359"/>
      <c r="AG79" s="359"/>
      <c r="AH79" s="359"/>
      <c r="AP79" s="351"/>
      <c r="AQ79" s="351"/>
    </row>
    <row r="80" spans="1:65" s="103" customFormat="1">
      <c r="G80" s="352"/>
      <c r="H80" s="353"/>
      <c r="I80" s="353"/>
      <c r="J80" s="354"/>
      <c r="K80" s="354"/>
      <c r="M80" s="9"/>
      <c r="N80" s="355"/>
      <c r="O80" s="356"/>
      <c r="P80" s="9"/>
      <c r="Q80" s="355"/>
      <c r="R80" s="356"/>
      <c r="S80" s="9"/>
      <c r="T80" s="357"/>
      <c r="U80" s="356"/>
      <c r="V80" s="98"/>
      <c r="W80" s="357"/>
      <c r="X80" s="356"/>
      <c r="Y80" s="9"/>
      <c r="Z80" s="357"/>
      <c r="AA80" s="356"/>
      <c r="AB80" s="354"/>
      <c r="AC80" s="354"/>
      <c r="AE80" s="358"/>
      <c r="AF80" s="359"/>
      <c r="AG80" s="359"/>
      <c r="AH80" s="359"/>
      <c r="AP80" s="351"/>
      <c r="AQ80" s="351"/>
    </row>
    <row r="81" spans="7:43" s="103" customFormat="1">
      <c r="G81" s="352"/>
      <c r="H81" s="353"/>
      <c r="I81" s="353"/>
      <c r="J81" s="354"/>
      <c r="K81" s="354"/>
      <c r="M81" s="9"/>
      <c r="N81" s="355"/>
      <c r="O81" s="356"/>
      <c r="P81" s="9"/>
      <c r="Q81" s="355"/>
      <c r="R81" s="356"/>
      <c r="S81" s="9"/>
      <c r="T81" s="357"/>
      <c r="U81" s="356"/>
      <c r="V81" s="98"/>
      <c r="W81" s="357"/>
      <c r="X81" s="356"/>
      <c r="Y81" s="9"/>
      <c r="Z81" s="357"/>
      <c r="AA81" s="356"/>
      <c r="AB81" s="354"/>
      <c r="AC81" s="354"/>
      <c r="AE81" s="358"/>
      <c r="AF81" s="359"/>
      <c r="AG81" s="359"/>
      <c r="AH81" s="359"/>
      <c r="AP81" s="351"/>
      <c r="AQ81" s="351"/>
    </row>
  </sheetData>
  <sheetProtection password="83D4" sheet="1" objects="1" scenarios="1"/>
  <mergeCells count="9">
    <mergeCell ref="I2:J2"/>
    <mergeCell ref="Q2:R2"/>
    <mergeCell ref="V2:W2"/>
    <mergeCell ref="AJ2:AM2"/>
    <mergeCell ref="AV6:AW6"/>
    <mergeCell ref="I4:J4"/>
    <mergeCell ref="I3:J3"/>
    <mergeCell ref="I5:J5"/>
    <mergeCell ref="K6:L6"/>
  </mergeCells>
  <phoneticPr fontId="5"/>
  <conditionalFormatting sqref="M57:M58">
    <cfRule type="expression" dxfId="183" priority="344" stopIfTrue="1">
      <formula>ISNA(N57)</formula>
    </cfRule>
    <cfRule type="expression" dxfId="182" priority="345" stopIfTrue="1">
      <formula>H57=""</formula>
    </cfRule>
  </conditionalFormatting>
  <conditionalFormatting sqref="T57:T58">
    <cfRule type="expression" dxfId="181" priority="601" stopIfTrue="1">
      <formula>J57=""</formula>
    </cfRule>
  </conditionalFormatting>
  <conditionalFormatting sqref="AD7:AD56">
    <cfRule type="expression" dxfId="180" priority="342" stopIfTrue="1">
      <formula>ISNA(AE7)</formula>
    </cfRule>
  </conditionalFormatting>
  <conditionalFormatting sqref="I7:I56 N7:N58">
    <cfRule type="cellIs" dxfId="179" priority="349" stopIfTrue="1" operator="equal">
      <formula>2</formula>
    </cfRule>
  </conditionalFormatting>
  <conditionalFormatting sqref="F7:F56">
    <cfRule type="expression" dxfId="178" priority="460" stopIfTrue="1">
      <formula>I7=2</formula>
    </cfRule>
  </conditionalFormatting>
  <conditionalFormatting sqref="G7:G56">
    <cfRule type="expression" dxfId="177" priority="461" stopIfTrue="1">
      <formula>I7=2</formula>
    </cfRule>
  </conditionalFormatting>
  <conditionalFormatting sqref="Q7:R56">
    <cfRule type="expression" dxfId="176" priority="464" stopIfTrue="1">
      <formula>I7=""</formula>
    </cfRule>
  </conditionalFormatting>
  <conditionalFormatting sqref="S7:S58">
    <cfRule type="expression" dxfId="175" priority="606" stopIfTrue="1">
      <formula>J7=""</formula>
    </cfRule>
  </conditionalFormatting>
  <conditionalFormatting sqref="O7:O56">
    <cfRule type="expression" dxfId="174" priority="608" stopIfTrue="1">
      <formula>ISNA(P7)</formula>
    </cfRule>
    <cfRule type="expression" dxfId="173" priority="609" stopIfTrue="1">
      <formula>I7=""</formula>
    </cfRule>
  </conditionalFormatting>
  <conditionalFormatting sqref="T7:T56">
    <cfRule type="expression" dxfId="172" priority="612" stopIfTrue="1">
      <formula>ISNA(U7)</formula>
    </cfRule>
    <cfRule type="expression" dxfId="171" priority="613" stopIfTrue="1">
      <formula>I7=""</formula>
    </cfRule>
  </conditionalFormatting>
  <conditionalFormatting sqref="V7:V56">
    <cfRule type="expression" dxfId="170" priority="1" stopIfTrue="1">
      <formula>I7=""</formula>
    </cfRule>
  </conditionalFormatting>
  <dataValidations xWindow="368" yWindow="242" count="12">
    <dataValidation type="list" allowBlank="1" showErrorMessage="1" prompt="種目を選択して下さい_x000a_" sqref="M57:M58">
      <formula1>IF(H57=1,IF(I57=1,$BD$6:$BD$30,$BB$6:$BB$28),IF(I57=1,$BE$6:$BE$26,$BC$6:$BC$25))</formula1>
    </dataValidation>
    <dataValidation imeMode="disabled" allowBlank="1" prompt="記録は半角英数字で_x000a_例_x000a_11秒11→11.11_x000a_1分50秒00→1.50.00_x000a_15m50→15m50_x000a__x000a_" sqref="O57:O65536 R57:R65536 O1:O5 L3:L4 R1 Q6 V6"/>
    <dataValidation type="list" allowBlank="1" showErrorMessage="1" prompt="種目を選択して下さい" sqref="T7:T56">
      <formula1>IF(I7=1,IF(J7=1,$BD$6:$BD$30,$BB$6:$BB$28),IF(J7=1,$BE$6:$BE$26,$BC$6:$BC$25 ))</formula1>
    </dataValidation>
    <dataValidation allowBlank="1" showInputMessage="1" showErrorMessage="1" prompt="記録は半角英数字で_x000a_例_x000a_11秒11→11.11_x000a_1分50秒00→1.50.00_x000a_15m50→15m50_x000a__x000a_" sqref="AA7:AA56 AF7:AF56 AK7:AK56"/>
    <dataValidation type="list" allowBlank="1" showInputMessage="1" showErrorMessage="1" prompt="リレー種目を選択して下さい_x000a_ここではABは必要ありません" sqref="AI7:AI56">
      <formula1>$AQ$11:$AQ$11</formula1>
    </dataValidation>
    <dataValidation type="list" allowBlank="1" showInputMessage="1" showErrorMessage="1" prompt="種目を選択して下さい" sqref="Y7:Y56">
      <formula1>$AQ$6:$AQ$23</formula1>
    </dataValidation>
    <dataValidation allowBlank="1" showInputMessage="1" showErrorMessage="1" prompt="#N/Aは種目選択ミスです" sqref="U7:U56"/>
    <dataValidation type="list" allowBlank="1" showInputMessage="1" showErrorMessage="1" prompt="リレー選択して下さい_x000a_" sqref="AD7:AD56">
      <formula1>$AQ$31:$AQ$36</formula1>
    </dataValidation>
    <dataValidation allowBlank="1" showInputMessage="1" showErrorMessage="1" prompt="コードが#N/Aと表示された時は種目選択ミスです" sqref="AE7:AE56"/>
    <dataValidation imeMode="disabled" allowBlank="1" showInputMessage="1" prompt="トラックはドットで区切り_x000a_フィールドはmで区切って下さい_x000a_11秒11→11.11_x000a_1分50秒00→1.50.00_x000a_15m50→15m50_x000a__x000a_" sqref="Q7:Q56 V7:V56"/>
    <dataValidation imeMode="hiragana" allowBlank="1" prompt="記録は半角英数字で_x000a_例_x000a_11秒11→11.11_x000a_1分50秒00→1.50.00_x000a_15m50→15m50_x000a__x000a_" sqref="P2:P5"/>
    <dataValidation type="list" allowBlank="1" prompt="種目を選択して下さい_x000a_" sqref="O7:O56">
      <formula1>IF(I7=1,IF(J7=1,$BD$6:$BD$30,$BB$6:$BB$28),IF(J7=1,$BE$6:$BE$26,$BC$6:$BC$25))</formula1>
    </dataValidation>
  </dataValidations>
  <printOptions horizontalCentered="1"/>
  <pageMargins left="0.51181102362204722" right="0.19685039370078741" top="0.98425196850393704" bottom="0.98425196850393704" header="0.51181102362204722" footer="0.51181102362204722"/>
  <pageSetup paperSize="9" scale="84" orientation="portrait" verticalDpi="300" r:id="rId1"/>
  <headerFooter alignWithMargins="0">
    <oddHeader>&amp;R&amp;D　&amp;T</oddHeader>
    <oddFooter>&amp;C&amp;P/&amp;N&amp;R三重陸上競技協会</oddFooter>
  </headerFooter>
  <legacyDrawing r:id="rId2"/>
</worksheet>
</file>

<file path=xl/worksheets/sheet7.xml><?xml version="1.0" encoding="utf-8"?>
<worksheet xmlns="http://schemas.openxmlformats.org/spreadsheetml/2006/main" xmlns:r="http://schemas.openxmlformats.org/officeDocument/2006/relationships">
  <sheetPr codeName="Sheet13" enableFormatConditionsCalculation="0">
    <tabColor indexed="47"/>
    <pageSetUpPr fitToPage="1"/>
  </sheetPr>
  <dimension ref="A1:CR74"/>
  <sheetViews>
    <sheetView showGridLines="0" showZeros="0" topLeftCell="D1" zoomScale="90" workbookViewId="0">
      <pane xSplit="11" topLeftCell="O1" activePane="topRight" state="frozen"/>
      <selection activeCell="E1" sqref="E1"/>
      <selection pane="topRight" activeCell="BG3" sqref="BG3"/>
    </sheetView>
  </sheetViews>
  <sheetFormatPr defaultColWidth="8.625" defaultRowHeight="13.5"/>
  <cols>
    <col min="1" max="1" width="12.375" style="430" hidden="1" customWidth="1"/>
    <col min="2" max="2" width="10" style="4" hidden="1" customWidth="1"/>
    <col min="3" max="3" width="15.25" style="430" hidden="1" customWidth="1"/>
    <col min="4" max="4" width="9.875" style="4" customWidth="1"/>
    <col min="5" max="5" width="11.375" style="4" customWidth="1"/>
    <col min="6" max="6" width="15.125" style="4" customWidth="1"/>
    <col min="7" max="7" width="15.125" style="5" customWidth="1"/>
    <col min="8" max="8" width="15.125" style="26" hidden="1" customWidth="1"/>
    <col min="9" max="9" width="4.75" style="26" customWidth="1"/>
    <col min="10" max="10" width="5.75" style="6" customWidth="1"/>
    <col min="11" max="11" width="5.5" style="6" hidden="1" customWidth="1"/>
    <col min="12" max="12" width="5" style="4" hidden="1" customWidth="1"/>
    <col min="13" max="13" width="16.375" style="11" hidden="1" customWidth="1"/>
    <col min="14" max="14" width="10.375" style="115" bestFit="1" customWidth="1"/>
    <col min="15" max="15" width="15.875" style="21" customWidth="1"/>
    <col min="16" max="16" width="0.125" style="11" customWidth="1"/>
    <col min="17" max="17" width="9.125" style="115" customWidth="1"/>
    <col min="18" max="18" width="8.5" style="21" hidden="1" customWidth="1"/>
    <col min="19" max="19" width="5.875" style="11" hidden="1" customWidth="1"/>
    <col min="20" max="20" width="16.125" style="10" customWidth="1"/>
    <col min="21" max="21" width="7.125" style="21" hidden="1" customWidth="1"/>
    <col min="22" max="22" width="7.875" style="11" customWidth="1"/>
    <col min="23" max="23" width="6.375" style="10" hidden="1" customWidth="1"/>
    <col min="24" max="24" width="5" style="21" hidden="1" customWidth="1"/>
    <col min="25" max="25" width="10.5" style="11" hidden="1" customWidth="1"/>
    <col min="26" max="26" width="7.5" style="10" hidden="1" customWidth="1"/>
    <col min="27" max="27" width="10.5" style="21" hidden="1" customWidth="1"/>
    <col min="28" max="28" width="7.875" style="6" customWidth="1"/>
    <col min="29" max="29" width="7.5" style="6" hidden="1" customWidth="1"/>
    <col min="30" max="30" width="6.125" style="4" hidden="1" customWidth="1"/>
    <col min="31" max="31" width="6.25" style="73" hidden="1" customWidth="1"/>
    <col min="32" max="32" width="6.5" style="4" hidden="1" customWidth="1"/>
    <col min="33" max="33" width="7.875" style="4" customWidth="1"/>
    <col min="34" max="34" width="5.875" style="4" hidden="1" customWidth="1"/>
    <col min="35" max="35" width="9.25" style="4" hidden="1" customWidth="1"/>
    <col min="36" max="36" width="9.875" style="4" hidden="1" customWidth="1"/>
    <col min="37" max="37" width="11.25" style="4" hidden="1" customWidth="1"/>
    <col min="38" max="38" width="8.5" style="4" hidden="1" customWidth="1"/>
    <col min="39" max="39" width="12.875" style="4" hidden="1" customWidth="1"/>
    <col min="40" max="40" width="12.25" style="4" hidden="1" customWidth="1"/>
    <col min="41" max="41" width="5.5" style="4" hidden="1" customWidth="1"/>
    <col min="42" max="42" width="13.875" style="4" hidden="1" customWidth="1"/>
    <col min="43" max="43" width="10.5" style="4" hidden="1" customWidth="1"/>
    <col min="44" max="44" width="12.125" style="4" hidden="1" customWidth="1"/>
    <col min="45" max="45" width="15.75" style="4" hidden="1" customWidth="1"/>
    <col min="46" max="46" width="9.875" style="4" hidden="1" customWidth="1"/>
    <col min="47" max="47" width="12.25" style="59" hidden="1" customWidth="1"/>
    <col min="48" max="48" width="11.375" style="4" hidden="1" customWidth="1"/>
    <col min="49" max="49" width="7.875" style="59" hidden="1" customWidth="1"/>
    <col min="50" max="50" width="7.75" style="4" hidden="1" customWidth="1"/>
    <col min="51" max="51" width="16.375" style="59" hidden="1" customWidth="1"/>
    <col min="52" max="52" width="11.875" style="4" hidden="1" customWidth="1"/>
    <col min="53" max="53" width="6.75" style="59" hidden="1" customWidth="1"/>
    <col min="54" max="54" width="8.25" style="59" hidden="1" customWidth="1"/>
    <col min="55" max="55" width="7.625" style="4" hidden="1" customWidth="1"/>
    <col min="56" max="56" width="5.875" style="4" hidden="1" customWidth="1"/>
    <col min="57" max="57" width="5.75" style="4" hidden="1" customWidth="1"/>
    <col min="58" max="58" width="12" style="4" customWidth="1"/>
    <col min="59" max="59" width="8.125" style="4" customWidth="1"/>
    <col min="60" max="60" width="7.625" style="4" customWidth="1"/>
    <col min="61" max="61" width="11.125" style="4" customWidth="1"/>
    <col min="62" max="62" width="8.875" style="4" customWidth="1"/>
    <col min="63" max="63" width="11.125" style="4" customWidth="1"/>
    <col min="64" max="64" width="7.625" style="4" customWidth="1"/>
    <col min="65" max="65" width="11" style="4" customWidth="1"/>
    <col min="66" max="66" width="7.625" style="4" customWidth="1"/>
    <col min="67" max="67" width="9.375" style="4" customWidth="1"/>
    <col min="68" max="68" width="12.25" style="4" hidden="1" customWidth="1"/>
    <col min="69" max="69" width="10.25" style="4" hidden="1" customWidth="1"/>
    <col min="70" max="70" width="8" style="4" hidden="1" customWidth="1"/>
    <col min="71" max="71" width="10.5" style="4" hidden="1" customWidth="1"/>
    <col min="72" max="72" width="8.375" style="4" hidden="1" customWidth="1"/>
    <col min="73" max="74" width="9" style="4" hidden="1" customWidth="1"/>
    <col min="75" max="75" width="15.875" style="4" hidden="1" customWidth="1"/>
    <col min="76" max="76" width="18" style="4" hidden="1" customWidth="1"/>
    <col min="77" max="77" width="14.875" style="4" hidden="1" customWidth="1"/>
    <col min="78" max="78" width="11.5" style="4" hidden="1" customWidth="1"/>
    <col min="79" max="79" width="14.75" style="4" hidden="1" customWidth="1"/>
    <col min="80" max="80" width="9.125" style="4" hidden="1" customWidth="1"/>
    <col min="81" max="81" width="8.375" style="4" hidden="1" customWidth="1"/>
    <col min="82" max="82" width="8.625" style="103" hidden="1" customWidth="1"/>
    <col min="83" max="83" width="8.625" style="4" hidden="1" customWidth="1"/>
    <col min="84" max="16384" width="8.625" style="4"/>
  </cols>
  <sheetData>
    <row r="1" spans="1:96" ht="27" customHeight="1" thickBot="1">
      <c r="B1" s="417"/>
      <c r="C1" s="425"/>
      <c r="D1" s="694"/>
      <c r="E1" s="144" t="s">
        <v>259</v>
      </c>
      <c r="F1" s="145" t="str">
        <f>IF(名簿!$P$9="","",名簿!$P$9)</f>
        <v/>
      </c>
      <c r="G1" s="408"/>
      <c r="H1" s="408"/>
      <c r="I1" s="408" t="s">
        <v>441</v>
      </c>
      <c r="J1" s="155"/>
      <c r="K1" s="155"/>
      <c r="L1" s="155"/>
      <c r="M1" s="155"/>
      <c r="N1" s="149"/>
      <c r="O1" s="581"/>
      <c r="P1" s="582"/>
      <c r="Q1" s="555"/>
      <c r="R1" s="579"/>
      <c r="S1" s="574"/>
      <c r="T1" s="859" t="s">
        <v>354</v>
      </c>
      <c r="U1" s="859"/>
      <c r="V1" s="859"/>
      <c r="W1" s="152"/>
      <c r="X1" s="197"/>
      <c r="Y1" s="198"/>
      <c r="Z1" s="152"/>
      <c r="AA1" s="197"/>
      <c r="AB1" s="154"/>
      <c r="AC1" s="154"/>
      <c r="AD1" s="146"/>
      <c r="AE1" s="155"/>
      <c r="AF1" s="146"/>
      <c r="AG1" s="146"/>
      <c r="AH1" s="146"/>
      <c r="AI1" s="146"/>
      <c r="AJ1" s="146"/>
      <c r="AK1" s="146"/>
      <c r="AL1" s="146"/>
      <c r="AM1" s="146"/>
      <c r="AN1" s="146"/>
      <c r="AO1" s="146"/>
      <c r="AP1" s="146"/>
      <c r="AQ1" s="146"/>
      <c r="AR1" s="146"/>
      <c r="AS1" s="146"/>
      <c r="AT1" s="146"/>
      <c r="AU1" s="412"/>
      <c r="AV1" s="146"/>
      <c r="AW1" s="412"/>
      <c r="AX1" s="146"/>
      <c r="AY1" s="412"/>
      <c r="AZ1" s="146"/>
      <c r="BA1" s="412"/>
      <c r="BB1" s="412"/>
      <c r="BC1" s="146"/>
      <c r="BD1" s="146"/>
      <c r="BE1" s="146"/>
      <c r="BF1" s="146"/>
      <c r="BG1" s="146"/>
      <c r="BH1" s="146"/>
      <c r="BI1" s="146"/>
      <c r="BJ1" s="146"/>
      <c r="BK1" s="146"/>
      <c r="BL1" s="146"/>
      <c r="BM1" s="146"/>
      <c r="BN1" s="146"/>
      <c r="BO1" s="146"/>
    </row>
    <row r="2" spans="1:96" ht="27.75" customHeight="1">
      <c r="B2" s="417"/>
      <c r="C2" s="426"/>
      <c r="D2" s="694"/>
      <c r="E2" s="144" t="s">
        <v>260</v>
      </c>
      <c r="F2" s="155" t="str">
        <f>名簿!$Q$9</f>
        <v/>
      </c>
      <c r="G2" s="159"/>
      <c r="H2" s="160"/>
      <c r="I2" s="209" t="s">
        <v>355</v>
      </c>
      <c r="J2" s="324"/>
      <c r="K2" s="324"/>
      <c r="L2" s="324"/>
      <c r="M2" s="324"/>
      <c r="N2" s="324"/>
      <c r="O2" s="583">
        <f>$BB$57</f>
        <v>0</v>
      </c>
      <c r="P2" s="318"/>
      <c r="Q2" s="576"/>
      <c r="R2" s="580"/>
      <c r="S2" s="575"/>
      <c r="T2" s="576" t="s">
        <v>208</v>
      </c>
      <c r="U2" s="158"/>
      <c r="V2" s="577">
        <f>COUNTIF($I$7:$I$56,1)-COUNTIF($BD$7:$BD$56,0)</f>
        <v>0</v>
      </c>
      <c r="W2" s="164"/>
      <c r="X2" s="165"/>
      <c r="Y2" s="166"/>
      <c r="Z2" s="167"/>
      <c r="AA2" s="150"/>
      <c r="AB2" s="154"/>
      <c r="AC2" s="154"/>
      <c r="AD2" s="146"/>
      <c r="AE2" s="155"/>
      <c r="AF2" s="146"/>
      <c r="AG2" s="146"/>
      <c r="AH2" s="146"/>
      <c r="AI2" s="146"/>
      <c r="AJ2" s="146"/>
      <c r="AK2" s="146"/>
      <c r="AL2" s="146"/>
      <c r="AM2" s="146"/>
      <c r="AN2" s="146"/>
      <c r="AO2" s="146"/>
      <c r="AP2" s="146"/>
      <c r="AQ2" s="146"/>
      <c r="AR2" s="146"/>
      <c r="AS2" s="146"/>
      <c r="AT2" s="146"/>
      <c r="AU2" s="412"/>
      <c r="AV2" s="146"/>
      <c r="AW2" s="412"/>
      <c r="AX2" s="146"/>
      <c r="AY2" s="412"/>
      <c r="AZ2" s="146"/>
      <c r="BA2" s="412"/>
      <c r="BB2" s="412"/>
      <c r="BC2" s="146"/>
      <c r="BD2" s="146"/>
      <c r="BE2" s="146"/>
      <c r="BF2" s="146"/>
      <c r="BG2" s="789" t="s">
        <v>565</v>
      </c>
      <c r="BH2" s="790"/>
      <c r="BI2" s="790"/>
      <c r="BJ2" s="790"/>
      <c r="BK2" s="790"/>
      <c r="BL2" s="791"/>
      <c r="BM2" s="146"/>
      <c r="BN2" s="146"/>
      <c r="BO2" s="146"/>
    </row>
    <row r="3" spans="1:96" ht="27.75" customHeight="1">
      <c r="B3" s="418"/>
      <c r="C3" s="427"/>
      <c r="D3" s="707"/>
      <c r="E3" s="171" t="s">
        <v>386</v>
      </c>
      <c r="F3" s="157" t="str">
        <f>IF(名簿!$E$5="","",名簿!$E$5)</f>
        <v/>
      </c>
      <c r="G3" s="159"/>
      <c r="H3" s="160"/>
      <c r="I3" s="209" t="s">
        <v>152</v>
      </c>
      <c r="J3" s="324"/>
      <c r="K3" s="324"/>
      <c r="L3" s="324"/>
      <c r="M3" s="324"/>
      <c r="N3" s="324"/>
      <c r="O3" s="583">
        <f ca="1">$CB$38</f>
        <v>0</v>
      </c>
      <c r="P3" s="318"/>
      <c r="Q3" s="576"/>
      <c r="R3" s="580"/>
      <c r="S3" s="575"/>
      <c r="T3" s="576" t="s">
        <v>209</v>
      </c>
      <c r="U3" s="158"/>
      <c r="V3" s="577">
        <f>COUNTIF($I$7:$I$56,2)-COUNTIF($BE$7:$BE$56,0)</f>
        <v>0</v>
      </c>
      <c r="W3" s="164"/>
      <c r="X3" s="165"/>
      <c r="Y3" s="166"/>
      <c r="Z3" s="167"/>
      <c r="AA3" s="150"/>
      <c r="AB3" s="154"/>
      <c r="AC3" s="154"/>
      <c r="AD3" s="146"/>
      <c r="AE3" s="155"/>
      <c r="AF3" s="146"/>
      <c r="AG3" s="146"/>
      <c r="AH3" s="146"/>
      <c r="AI3" s="146"/>
      <c r="AJ3" s="146"/>
      <c r="AK3" s="146"/>
      <c r="AL3" s="146"/>
      <c r="AM3" s="146"/>
      <c r="AN3" s="146"/>
      <c r="AO3" s="146"/>
      <c r="AP3" s="146"/>
      <c r="AQ3" s="146"/>
      <c r="AR3" s="146"/>
      <c r="AS3" s="146"/>
      <c r="AT3" s="146"/>
      <c r="AU3" s="412"/>
      <c r="AV3" s="146"/>
      <c r="AW3" s="412"/>
      <c r="AX3" s="146"/>
      <c r="AY3" s="412"/>
      <c r="AZ3" s="146"/>
      <c r="BA3" s="412"/>
      <c r="BB3" s="412"/>
      <c r="BC3" s="146"/>
      <c r="BD3" s="146"/>
      <c r="BE3" s="146"/>
      <c r="BF3" s="146"/>
      <c r="BG3" s="792"/>
      <c r="BH3" s="340"/>
      <c r="BI3" s="340"/>
      <c r="BJ3" s="340"/>
      <c r="BK3" s="340"/>
      <c r="BL3" s="793"/>
      <c r="BM3" s="146"/>
      <c r="BN3" s="146"/>
      <c r="BO3" s="146"/>
    </row>
    <row r="4" spans="1:96" ht="27.75" customHeight="1" thickBot="1">
      <c r="B4" s="418"/>
      <c r="C4" s="427"/>
      <c r="D4" s="707"/>
      <c r="E4" s="171" t="s">
        <v>387</v>
      </c>
      <c r="F4" s="157" t="str">
        <f>IF(名簿!$I$5="","",名簿!$I$5)</f>
        <v/>
      </c>
      <c r="G4" s="159"/>
      <c r="H4" s="160"/>
      <c r="I4" s="209" t="s">
        <v>153</v>
      </c>
      <c r="J4" s="512"/>
      <c r="K4" s="512"/>
      <c r="L4" s="512"/>
      <c r="M4" s="512"/>
      <c r="N4" s="512"/>
      <c r="O4" s="862">
        <f ca="1">O2*1000+O3*2000+Q5*800</f>
        <v>0</v>
      </c>
      <c r="P4" s="862"/>
      <c r="Q4" s="862"/>
      <c r="R4" s="580"/>
      <c r="S4" s="575"/>
      <c r="T4" s="578" t="s">
        <v>241</v>
      </c>
      <c r="U4" s="158"/>
      <c r="V4" s="577">
        <f>V2+V3</f>
        <v>0</v>
      </c>
      <c r="W4" s="164"/>
      <c r="X4" s="165"/>
      <c r="Y4" s="166"/>
      <c r="Z4" s="167"/>
      <c r="AA4" s="150"/>
      <c r="AB4" s="154"/>
      <c r="AC4" s="154"/>
      <c r="AD4" s="146"/>
      <c r="AE4" s="155"/>
      <c r="AF4" s="146"/>
      <c r="AG4" s="146"/>
      <c r="AH4" s="146"/>
      <c r="AI4" s="146"/>
      <c r="AJ4" s="146"/>
      <c r="AK4" s="146"/>
      <c r="AL4" s="146"/>
      <c r="AM4" s="146"/>
      <c r="AN4" s="146"/>
      <c r="AO4" s="146"/>
      <c r="AP4" s="146"/>
      <c r="AQ4" s="146"/>
      <c r="AR4" s="146"/>
      <c r="AS4" s="146"/>
      <c r="AT4" s="146"/>
      <c r="AU4" s="412"/>
      <c r="AV4" s="146"/>
      <c r="AW4" s="412"/>
      <c r="AX4" s="146"/>
      <c r="AY4" s="412"/>
      <c r="AZ4" s="146"/>
      <c r="BA4" s="412"/>
      <c r="BB4" s="412"/>
      <c r="BC4" s="146"/>
      <c r="BD4" s="146"/>
      <c r="BE4" s="146"/>
      <c r="BF4" s="146"/>
      <c r="BG4" s="794" t="s">
        <v>566</v>
      </c>
      <c r="BH4" s="795"/>
      <c r="BI4" s="795"/>
      <c r="BJ4" s="795"/>
      <c r="BK4" s="795"/>
      <c r="BL4" s="796"/>
      <c r="BM4" s="146"/>
      <c r="BN4" s="146"/>
      <c r="BO4" s="146"/>
    </row>
    <row r="5" spans="1:96" ht="27.75" customHeight="1" thickBot="1">
      <c r="B5" s="353"/>
      <c r="C5" s="428"/>
      <c r="D5" s="694"/>
      <c r="E5" s="685" t="s">
        <v>455</v>
      </c>
      <c r="F5" s="686"/>
      <c r="G5" s="687"/>
      <c r="H5" s="160"/>
      <c r="I5" s="160"/>
      <c r="J5" s="161"/>
      <c r="K5" s="161"/>
      <c r="L5" s="162"/>
      <c r="M5" s="210"/>
      <c r="N5" s="210"/>
      <c r="O5" s="210" t="s">
        <v>491</v>
      </c>
      <c r="P5" s="210"/>
      <c r="Q5" s="787"/>
      <c r="R5" s="163"/>
      <c r="S5" s="164"/>
      <c r="T5" s="755" t="s">
        <v>488</v>
      </c>
      <c r="U5" s="165"/>
      <c r="V5" s="211"/>
      <c r="W5" s="164"/>
      <c r="X5" s="165"/>
      <c r="Y5" s="166"/>
      <c r="Z5" s="167"/>
      <c r="AA5" s="150"/>
      <c r="AB5" s="154"/>
      <c r="AC5" s="154"/>
      <c r="AD5" s="146"/>
      <c r="AE5" s="155"/>
      <c r="AF5" s="146"/>
      <c r="AG5" s="146"/>
      <c r="AH5" s="146"/>
      <c r="AI5" s="146"/>
      <c r="AJ5" s="146"/>
      <c r="AK5" s="146"/>
      <c r="AL5" s="146"/>
      <c r="AM5" s="146"/>
      <c r="AN5" s="146"/>
      <c r="AO5" s="146"/>
      <c r="AP5" s="146"/>
      <c r="AQ5" s="146"/>
      <c r="AR5" s="146"/>
      <c r="AS5" s="146"/>
      <c r="AT5" s="146"/>
      <c r="AU5" s="412"/>
      <c r="AV5" s="146"/>
      <c r="AW5" s="412"/>
      <c r="AX5" s="146"/>
      <c r="AY5" s="412"/>
      <c r="AZ5" s="146"/>
      <c r="BA5" s="412"/>
      <c r="BB5" s="412"/>
      <c r="BC5" s="146"/>
      <c r="BD5" s="146"/>
      <c r="BE5" s="146"/>
      <c r="BF5" s="146"/>
      <c r="BG5" s="146"/>
      <c r="BH5" s="146"/>
      <c r="BI5" s="146"/>
      <c r="BJ5" s="146"/>
      <c r="BK5" s="146"/>
      <c r="BL5" s="146"/>
      <c r="BM5" s="146"/>
      <c r="BN5" s="146"/>
      <c r="BO5" s="146"/>
    </row>
    <row r="6" spans="1:96" s="90" customFormat="1" ht="26.25" customHeight="1" thickBot="1">
      <c r="A6" s="429" t="s">
        <v>14</v>
      </c>
      <c r="B6" s="93" t="s">
        <v>7</v>
      </c>
      <c r="C6" s="429" t="s">
        <v>353</v>
      </c>
      <c r="D6" s="772" t="s">
        <v>561</v>
      </c>
      <c r="E6" s="772" t="s">
        <v>560</v>
      </c>
      <c r="F6" s="142" t="s">
        <v>150</v>
      </c>
      <c r="G6" s="142" t="s">
        <v>11</v>
      </c>
      <c r="H6" s="142" t="s">
        <v>15</v>
      </c>
      <c r="I6" s="142" t="s">
        <v>12</v>
      </c>
      <c r="J6" s="809" t="s">
        <v>399</v>
      </c>
      <c r="K6" s="411" t="s">
        <v>350</v>
      </c>
      <c r="L6" s="377" t="s">
        <v>351</v>
      </c>
      <c r="M6" s="143" t="s">
        <v>13</v>
      </c>
      <c r="N6" s="805" t="s">
        <v>675</v>
      </c>
      <c r="O6" s="127" t="s">
        <v>237</v>
      </c>
      <c r="P6" s="125" t="s">
        <v>146</v>
      </c>
      <c r="Q6" s="797" t="s">
        <v>567</v>
      </c>
      <c r="R6" s="378"/>
      <c r="S6" s="399"/>
      <c r="T6" s="124" t="s">
        <v>238</v>
      </c>
      <c r="U6" s="125" t="s">
        <v>146</v>
      </c>
      <c r="V6" s="797" t="s">
        <v>567</v>
      </c>
      <c r="W6" s="127" t="s">
        <v>145</v>
      </c>
      <c r="X6" s="125" t="s">
        <v>146</v>
      </c>
      <c r="Y6" s="378" t="s">
        <v>147</v>
      </c>
      <c r="Z6" s="378"/>
      <c r="AA6" s="378"/>
      <c r="AB6" s="466" t="s">
        <v>287</v>
      </c>
      <c r="AC6" s="462" t="s">
        <v>146</v>
      </c>
      <c r="AD6" s="379" t="s">
        <v>276</v>
      </c>
      <c r="AE6" s="378"/>
      <c r="AF6" s="378"/>
      <c r="AG6" s="460" t="s">
        <v>278</v>
      </c>
      <c r="AH6" s="92" t="s">
        <v>146</v>
      </c>
      <c r="AI6" s="29" t="s">
        <v>276</v>
      </c>
      <c r="AJ6" s="343"/>
      <c r="AK6" s="343"/>
      <c r="AL6" s="16"/>
      <c r="AM6" s="16"/>
      <c r="AO6" s="239">
        <v>100</v>
      </c>
      <c r="AT6" s="13"/>
      <c r="AU6" s="13"/>
      <c r="AV6" s="13"/>
      <c r="AW6" s="13"/>
      <c r="AX6" s="13"/>
      <c r="AY6" s="237">
        <v>100</v>
      </c>
      <c r="AZ6" s="237">
        <v>100</v>
      </c>
      <c r="BA6" s="238" t="s">
        <v>210</v>
      </c>
      <c r="BB6" s="238" t="s">
        <v>356</v>
      </c>
      <c r="BC6" s="90" t="s">
        <v>236</v>
      </c>
      <c r="BD6" s="90" t="s">
        <v>208</v>
      </c>
      <c r="BE6" s="90" t="s">
        <v>209</v>
      </c>
      <c r="BF6" s="860" t="s">
        <v>218</v>
      </c>
      <c r="BG6" s="861"/>
      <c r="BH6" s="435" t="s">
        <v>362</v>
      </c>
      <c r="BI6" s="447"/>
      <c r="BJ6" s="448" t="s">
        <v>366</v>
      </c>
      <c r="BK6" s="447"/>
      <c r="BL6" s="449" t="s">
        <v>370</v>
      </c>
      <c r="BM6" s="450"/>
      <c r="BN6" s="449" t="s">
        <v>374</v>
      </c>
      <c r="BO6" s="436"/>
      <c r="BP6" s="4"/>
      <c r="BQ6" s="4"/>
      <c r="BR6" s="4"/>
      <c r="BS6" s="4"/>
      <c r="BT6" s="4"/>
      <c r="BU6" s="4"/>
      <c r="BV6" s="4"/>
      <c r="BW6" s="4"/>
      <c r="BX6" s="4"/>
      <c r="BY6" s="4"/>
      <c r="BZ6" s="4"/>
      <c r="CA6" s="4"/>
      <c r="CB6" s="4"/>
      <c r="CC6" s="4"/>
      <c r="CD6" s="103"/>
      <c r="CE6" s="4"/>
      <c r="CF6" s="4"/>
      <c r="CG6" s="4"/>
      <c r="CH6" s="4"/>
      <c r="CI6" s="4"/>
      <c r="CJ6" s="4"/>
      <c r="CK6" s="4"/>
      <c r="CL6" s="4"/>
      <c r="CM6" s="4"/>
      <c r="CN6" s="4"/>
      <c r="CO6" s="4"/>
      <c r="CP6" s="4"/>
      <c r="CQ6" s="4"/>
      <c r="CR6" s="4"/>
    </row>
    <row r="7" spans="1:96" ht="13.5" customHeight="1" thickBot="1">
      <c r="A7" s="5">
        <f>AB7</f>
        <v>0</v>
      </c>
      <c r="B7" s="89" t="str">
        <f>名簿!Q9</f>
        <v/>
      </c>
      <c r="C7" s="5">
        <f>AG7</f>
        <v>0</v>
      </c>
      <c r="D7" s="774">
        <f>名簿!D9</f>
        <v>0</v>
      </c>
      <c r="E7" s="775">
        <f>名簿!E9</f>
        <v>0</v>
      </c>
      <c r="F7" s="25" t="str">
        <f>名簿!BN9</f>
        <v/>
      </c>
      <c r="G7" s="18" t="str">
        <f>名簿!Z9</f>
        <v/>
      </c>
      <c r="H7" s="199" t="str">
        <f t="shared" ref="H7:H38" si="0">F7</f>
        <v/>
      </c>
      <c r="I7" s="27" t="str">
        <f>名簿!O9</f>
        <v/>
      </c>
      <c r="J7" s="27">
        <f>名簿!I9</f>
        <v>0</v>
      </c>
      <c r="K7" s="806">
        <f>名簿!K9</f>
        <v>0</v>
      </c>
      <c r="L7" s="480" t="str">
        <f>名簿!BQ9</f>
        <v>00</v>
      </c>
      <c r="M7" s="89" t="str">
        <f>名簿!R9</f>
        <v/>
      </c>
      <c r="N7" s="688">
        <f>名簿!C9</f>
        <v>0</v>
      </c>
      <c r="O7" s="461"/>
      <c r="P7" s="201" t="str">
        <f>IF(O7="","",IF(I7=1,VLOOKUP(O7,男子種目コード!$A$1:$B$33,2,FALSE),IF(I7=2,VLOOKUP(O7,女子種目コード!$A$1:$B$28,2,FALSE))))</f>
        <v/>
      </c>
      <c r="Q7" s="296" t="str">
        <f>IF(O7="","",HLOOKUP(O7,名簿!$AB$8:$BG$58,2,FALSE))</f>
        <v/>
      </c>
      <c r="R7" s="372">
        <v>0</v>
      </c>
      <c r="S7" s="400">
        <v>2</v>
      </c>
      <c r="T7" s="200"/>
      <c r="U7" s="201" t="str">
        <f>IF(T7="","",IF(I7=1,VLOOKUP(T7,男子種目コード!$A$1:$B$33,2,FALSE),IF(I7=2,VLOOKUP(T7,女子種目コード!$A$1:$B$28,2,FALSE))))</f>
        <v/>
      </c>
      <c r="V7" s="296" t="str">
        <f>IF(T7="","",HLOOKUP(T7,名簿!$AB$8:$BG$58,2,FALSE))</f>
        <v/>
      </c>
      <c r="W7" s="461"/>
      <c r="X7" s="25" t="str">
        <f>IF(W7="","",IF(I7=1,VLOOKUP(W7,男子種目コード!$D$2:$E$30,2,FALSE),IF(I7=2,VLOOKUP(W7,女子種目コード!$D$2:$E$30,2,FALSE))))</f>
        <v/>
      </c>
      <c r="Y7" s="458"/>
      <c r="Z7" s="372"/>
      <c r="AA7" s="372"/>
      <c r="AB7" s="467"/>
      <c r="AC7" s="463" t="str">
        <f>IF(AB7="","",IF(I7=1,VLOOKUP(AB7,男子種目コード!$A$82:$B$85,2,FALSE),IF(I7=2,VLOOKUP(AB7,女子種目コード!$A$82:$B$85,2,FALSE))))</f>
        <v/>
      </c>
      <c r="AD7" s="458"/>
      <c r="AE7" s="372">
        <v>0</v>
      </c>
      <c r="AF7" s="372">
        <v>2</v>
      </c>
      <c r="AG7" s="459"/>
      <c r="AH7" s="104" t="str">
        <f>IF(AG7="","",IF(I7=1,VLOOKUP(AG7,男子種目コード!$A$78:$B$81,2,FALSE),IF(I7=2,VLOOKUP(AG7,女子種目コード!$A$78:$B$81,2,FALSE))))</f>
        <v/>
      </c>
      <c r="AI7" s="420"/>
      <c r="AJ7" s="344">
        <v>0</v>
      </c>
      <c r="AK7" s="344">
        <v>2</v>
      </c>
      <c r="AL7" s="354">
        <v>0</v>
      </c>
      <c r="AM7" s="354"/>
      <c r="AN7" s="103"/>
      <c r="AO7" s="421">
        <v>200</v>
      </c>
      <c r="AP7" s="103" t="str">
        <f>IF(O7="","",1)</f>
        <v/>
      </c>
      <c r="AQ7" s="103" t="str">
        <f>IF(T7="","",1)</f>
        <v/>
      </c>
      <c r="AR7" s="103"/>
      <c r="AS7" s="103"/>
      <c r="AT7" s="240" t="str">
        <f>IF(O7="","",1)</f>
        <v/>
      </c>
      <c r="AU7" s="240">
        <f t="shared" ref="AU7:AU38" si="1">IF(OR(AT7=1,T7=""),0,1)</f>
        <v>0</v>
      </c>
      <c r="AV7" s="240">
        <f t="shared" ref="AV7:AV38" si="2">IF(OR(AT7=1,AU7=1,AB7=""),0,1)</f>
        <v>0</v>
      </c>
      <c r="AW7" s="240">
        <f t="shared" ref="AW7:AW38" si="3">IF(OR(AT7=1,AU7=1,AV7=1,AG7=""),0,1)</f>
        <v>0</v>
      </c>
      <c r="AX7" s="240">
        <f>SUM(AT7:AW7)</f>
        <v>0</v>
      </c>
      <c r="AY7" s="237">
        <v>200</v>
      </c>
      <c r="AZ7" s="237">
        <v>200</v>
      </c>
      <c r="BA7" s="238" t="s">
        <v>211</v>
      </c>
      <c r="BB7" s="4">
        <f>COUNT(P7,U7)</f>
        <v>0</v>
      </c>
      <c r="BC7" s="4">
        <f>COUNT(P7,U7,AC7,AH7)</f>
        <v>0</v>
      </c>
      <c r="BD7" s="4" t="str">
        <f>IF(I7=1,BC7,"")</f>
        <v/>
      </c>
      <c r="BE7" s="4" t="str">
        <f>IF(I7=2,BC7,"")</f>
        <v/>
      </c>
      <c r="BF7" s="317" t="s">
        <v>208</v>
      </c>
      <c r="BG7" s="317"/>
      <c r="BH7" s="451" t="s">
        <v>239</v>
      </c>
      <c r="BI7" s="589"/>
      <c r="BJ7" s="446" t="s">
        <v>239</v>
      </c>
      <c r="BK7" s="589"/>
      <c r="BL7" s="446" t="s">
        <v>239</v>
      </c>
      <c r="BM7" s="589"/>
      <c r="BN7" s="446" t="s">
        <v>239</v>
      </c>
      <c r="BO7" s="590"/>
    </row>
    <row r="8" spans="1:96" ht="14.25" customHeight="1" thickBot="1">
      <c r="A8" s="5">
        <f t="shared" ref="A8:A56" si="4">AB8</f>
        <v>0</v>
      </c>
      <c r="B8" s="18" t="str">
        <f>名簿!Q10</f>
        <v/>
      </c>
      <c r="C8" s="5">
        <f t="shared" ref="C8:C56" si="5">AG8</f>
        <v>0</v>
      </c>
      <c r="D8" s="776">
        <f>名簿!D10</f>
        <v>0</v>
      </c>
      <c r="E8" s="19">
        <f>名簿!E10</f>
        <v>0</v>
      </c>
      <c r="F8" s="205" t="str">
        <f>名簿!BN10</f>
        <v/>
      </c>
      <c r="G8" s="19" t="str">
        <f>名簿!Z10</f>
        <v/>
      </c>
      <c r="H8" s="122" t="str">
        <f t="shared" si="0"/>
        <v/>
      </c>
      <c r="I8" s="361" t="str">
        <f>名簿!O10</f>
        <v/>
      </c>
      <c r="J8" s="361">
        <f>名簿!I10</f>
        <v>0</v>
      </c>
      <c r="K8" s="807">
        <f>名簿!K10</f>
        <v>0</v>
      </c>
      <c r="L8" s="409" t="str">
        <f>名簿!BQ10</f>
        <v>00</v>
      </c>
      <c r="M8" s="19" t="str">
        <f>名簿!R10</f>
        <v/>
      </c>
      <c r="N8" s="689">
        <f>名簿!C10</f>
        <v>0</v>
      </c>
      <c r="O8" s="461"/>
      <c r="P8" s="187" t="str">
        <f>IF(O8="","",IF(I8=1,VLOOKUP(O8,男子種目コード!$A$1:$B$33,2,FALSE),IF(I8=2,VLOOKUP(O8,女子種目コード!$A$1:$B$28,2,FALSE))))</f>
        <v/>
      </c>
      <c r="Q8" s="299" t="str">
        <f>IF(O8="","",HLOOKUP(O8,名簿!$AB$8:$BG$58,3,FALSE))</f>
        <v/>
      </c>
      <c r="R8" s="362">
        <v>0</v>
      </c>
      <c r="S8" s="401">
        <v>2</v>
      </c>
      <c r="T8" s="200"/>
      <c r="U8" s="187" t="str">
        <f>IF(T8="","",IF(I8=1,VLOOKUP(T8,男子種目コード!$A$1:$B$33,2,FALSE),IF(I8=2,VLOOKUP(T8,女子種目コード!$A$1:$B$28,2,FALSE))))</f>
        <v/>
      </c>
      <c r="V8" s="299" t="str">
        <f>IF(T8="","",HLOOKUP(T8,名簿!$AB$8:$BG$58,3,FALSE))</f>
        <v/>
      </c>
      <c r="W8" s="204"/>
      <c r="X8" s="205" t="str">
        <f>IF(W8="","",IF(I8=1,VLOOKUP(W8,男子種目コード!$D$2:$E$30,2,FALSE),IF(I8=2,VLOOKUP(W8,女子種目コード!$D$2:$E$30,2,FALSE))))</f>
        <v/>
      </c>
      <c r="Y8" s="454"/>
      <c r="Z8" s="362"/>
      <c r="AA8" s="362"/>
      <c r="AB8" s="468"/>
      <c r="AC8" s="464" t="str">
        <f>IF(AB8="","",IF(I8=1,VLOOKUP(AB8,男子種目コード!$A$82:$B$85,2,FALSE),IF(I8=2,VLOOKUP(AB8,女子種目コード!$A$82:$B$85,2,FALSE))))</f>
        <v/>
      </c>
      <c r="AD8" s="454"/>
      <c r="AE8" s="362">
        <v>0</v>
      </c>
      <c r="AF8" s="362">
        <v>2</v>
      </c>
      <c r="AG8" s="455"/>
      <c r="AH8" s="104" t="str">
        <f>IF(AG8="","",IF(I8=1,VLOOKUP(AG8,男子種目コード!$A$78:$B$81,2,FALSE),IF(I8=2,VLOOKUP(AG8,女子種目コード!$A$78:$B$81,2,FALSE))))</f>
        <v/>
      </c>
      <c r="AI8" s="407"/>
      <c r="AJ8" s="344">
        <v>0</v>
      </c>
      <c r="AK8" s="344">
        <v>2</v>
      </c>
      <c r="AL8" s="354">
        <v>0</v>
      </c>
      <c r="AM8" s="354"/>
      <c r="AN8" s="103"/>
      <c r="AO8" s="421">
        <v>400</v>
      </c>
      <c r="AP8" s="103" t="str">
        <f>IF(O8="","",1)</f>
        <v/>
      </c>
      <c r="AQ8" s="103" t="str">
        <f t="shared" ref="AQ8:AQ56" si="6">IF(T8="","",1)</f>
        <v/>
      </c>
      <c r="AR8" s="103"/>
      <c r="AS8" s="103"/>
      <c r="AT8" s="240" t="str">
        <f t="shared" ref="AT8:AT56" si="7">IF(O8="","",1)</f>
        <v/>
      </c>
      <c r="AU8" s="240">
        <f t="shared" si="1"/>
        <v>0</v>
      </c>
      <c r="AV8" s="240">
        <f t="shared" si="2"/>
        <v>0</v>
      </c>
      <c r="AW8" s="240">
        <f t="shared" si="3"/>
        <v>0</v>
      </c>
      <c r="AX8" s="240">
        <f t="shared" ref="AX8:AX56" si="8">SUM(AT8:AW8)</f>
        <v>0</v>
      </c>
      <c r="AY8" s="237">
        <v>400</v>
      </c>
      <c r="AZ8" s="237">
        <v>400</v>
      </c>
      <c r="BA8" s="238" t="s">
        <v>212</v>
      </c>
      <c r="BB8" s="4">
        <f t="shared" ref="BB8:BB56" si="9">COUNT(P8,U8)</f>
        <v>0</v>
      </c>
      <c r="BC8" s="4">
        <f t="shared" ref="BC8:BC56" si="10">COUNT(P8,U8,AC8,AH8)</f>
        <v>0</v>
      </c>
      <c r="BD8" s="4" t="str">
        <f t="shared" ref="BD8:BD56" si="11">IF(I8=1,BC8,"")</f>
        <v/>
      </c>
      <c r="BE8" s="4" t="str">
        <f t="shared" ref="BE8:BE56" si="12">IF(I8=2,BC8,"")</f>
        <v/>
      </c>
      <c r="BF8" s="309">
        <v>100</v>
      </c>
      <c r="BG8" s="437">
        <f>COUNTIF($P$7:$P$56,1)+COUNTIF($U$7:$U$56,1)</f>
        <v>0</v>
      </c>
      <c r="BH8" s="513" t="str">
        <f t="shared" ref="BH8:BH13" ca="1" si="13">IF(ISERROR(BP8),"",BP8)</f>
        <v/>
      </c>
      <c r="BI8" s="514" t="str">
        <f t="shared" ref="BI8:BI13" ca="1" si="14">IF(ISERROR(BQ8),"",BQ8)</f>
        <v/>
      </c>
      <c r="BJ8" s="515" t="str">
        <f t="shared" ref="BJ8:BJ13" ca="1" si="15">IF(ISERROR(BR8),"",BR8)</f>
        <v/>
      </c>
      <c r="BK8" s="514" t="str">
        <f t="shared" ref="BK8:BK13" ca="1" si="16">IF(ISERROR(BS8),"",BS8)</f>
        <v/>
      </c>
      <c r="BL8" s="515" t="str">
        <f t="shared" ref="BL8:BL13" ca="1" si="17">IF(ISERROR(BT8),"",BT8)</f>
        <v/>
      </c>
      <c r="BM8" s="514" t="str">
        <f t="shared" ref="BM8:BM13" ca="1" si="18">IF(ISERROR(BU8),"",BU8)</f>
        <v/>
      </c>
      <c r="BN8" s="515" t="str">
        <f t="shared" ref="BN8:BN13" ca="1" si="19">IF(ISERROR(BV8),"",BV8)</f>
        <v/>
      </c>
      <c r="BO8" s="516" t="str">
        <f t="shared" ref="BO8:BO13" ca="1" si="20">IF(ISERROR(BW8),"",BW8)</f>
        <v/>
      </c>
      <c r="BP8" s="179" t="e">
        <f ca="1">VLookUpX("男子A",$A$7:$F$56,1,5)</f>
        <v>#N/A</v>
      </c>
      <c r="BQ8" s="179" t="e">
        <f ca="1">VLookUpX("男子A",$A$7:$F$56,1,6)</f>
        <v>#N/A</v>
      </c>
      <c r="BR8" s="179" t="e">
        <f ca="1">VLookUpX("男子A",$C$7:$F$56,1,3)</f>
        <v>#N/A</v>
      </c>
      <c r="BS8" s="179" t="e">
        <f ca="1">VLookUpX("男子A",$C$7:$F$56,1,4)</f>
        <v>#N/A</v>
      </c>
      <c r="BT8" s="179" t="e">
        <f ca="1">VLookUpX("女子A",$A$7:$F$56,1,5)</f>
        <v>#N/A</v>
      </c>
      <c r="BU8" s="179" t="e">
        <f ca="1">VLookUpX("女子A",$A$7:$F$56,1,6)</f>
        <v>#N/A</v>
      </c>
      <c r="BV8" s="179" t="e">
        <f ca="1">VLookUpX("女子A",$C$7:$F$56,1,3)</f>
        <v>#N/A</v>
      </c>
      <c r="BW8" s="179" t="e">
        <f ca="1">VLookUpX("女子A",$C$7:$F$56,1,4)</f>
        <v>#N/A</v>
      </c>
      <c r="BX8" s="4" t="str">
        <f ca="1">IF(BH8="","",1)</f>
        <v/>
      </c>
      <c r="BY8" s="4" t="str">
        <f ca="1">IF(BJ8="","",1)</f>
        <v/>
      </c>
      <c r="BZ8" s="4" t="str">
        <f ca="1">IF(BL8="","",1)</f>
        <v/>
      </c>
      <c r="CA8" s="4" t="str">
        <f ca="1">IF(BN8="","",1)</f>
        <v/>
      </c>
    </row>
    <row r="9" spans="1:96" ht="14.25" thickBot="1">
      <c r="A9" s="5">
        <f t="shared" si="4"/>
        <v>0</v>
      </c>
      <c r="B9" s="18" t="str">
        <f>名簿!Q11</f>
        <v/>
      </c>
      <c r="C9" s="5">
        <f t="shared" si="5"/>
        <v>0</v>
      </c>
      <c r="D9" s="776" t="str">
        <f>名簿!D11</f>
        <v/>
      </c>
      <c r="E9" s="19">
        <f>名簿!E11</f>
        <v>0</v>
      </c>
      <c r="F9" s="205" t="str">
        <f>名簿!BN11</f>
        <v/>
      </c>
      <c r="G9" s="19" t="str">
        <f>名簿!Z11</f>
        <v/>
      </c>
      <c r="H9" s="122" t="str">
        <f t="shared" si="0"/>
        <v/>
      </c>
      <c r="I9" s="361" t="str">
        <f>名簿!O11</f>
        <v/>
      </c>
      <c r="J9" s="361">
        <f>名簿!I11</f>
        <v>0</v>
      </c>
      <c r="K9" s="807">
        <f>名簿!K11</f>
        <v>0</v>
      </c>
      <c r="L9" s="409" t="str">
        <f>名簿!BQ11</f>
        <v>00</v>
      </c>
      <c r="M9" s="19" t="str">
        <f>名簿!R11</f>
        <v/>
      </c>
      <c r="N9" s="689">
        <f>名簿!C11</f>
        <v>0</v>
      </c>
      <c r="O9" s="461"/>
      <c r="P9" s="187" t="str">
        <f>IF(O9="","",IF(I9=1,VLOOKUP(O9,男子種目コード!$A$1:$B$33,2,FALSE),IF(I9=2,VLOOKUP(O9,女子種目コード!$A$1:$B$28,2,FALSE))))</f>
        <v/>
      </c>
      <c r="Q9" s="299" t="str">
        <f>IF(O9="","",HLOOKUP(O9,名簿!$AB$8:$BG$58,4,FALSE))</f>
        <v/>
      </c>
      <c r="R9" s="362">
        <v>0</v>
      </c>
      <c r="S9" s="401">
        <v>2</v>
      </c>
      <c r="T9" s="200"/>
      <c r="U9" s="187" t="str">
        <f>IF(T9="","",IF(I9=1,VLOOKUP(T9,男子種目コード!$A$1:$B$33,2,FALSE),IF(I9=2,VLOOKUP(T9,女子種目コード!$A$1:$B$28,2,FALSE))))</f>
        <v/>
      </c>
      <c r="V9" s="299" t="str">
        <f>IF(T9="","",HLOOKUP(T9,名簿!$AB$8:$BG$58,4,FALSE))</f>
        <v/>
      </c>
      <c r="W9" s="204"/>
      <c r="X9" s="205" t="str">
        <f>IF(W9="","",IF(I9=1,VLOOKUP(W9,男子種目コード!$D$2:$E$30,2,FALSE),IF(I9=2,VLOOKUP(W9,女子種目コード!$D$2:$E$30,2,FALSE))))</f>
        <v/>
      </c>
      <c r="Y9" s="454"/>
      <c r="Z9" s="362"/>
      <c r="AA9" s="362"/>
      <c r="AB9" s="468"/>
      <c r="AC9" s="464" t="str">
        <f>IF(AB9="","",IF(I9=1,VLOOKUP(AB9,男子種目コード!$A$82:$B$85,2,FALSE),IF(I9=2,VLOOKUP(AB9,女子種目コード!$A$82:$B$85,2,FALSE))))</f>
        <v/>
      </c>
      <c r="AD9" s="454"/>
      <c r="AE9" s="362">
        <v>0</v>
      </c>
      <c r="AF9" s="362">
        <v>2</v>
      </c>
      <c r="AG9" s="455"/>
      <c r="AH9" s="104" t="str">
        <f>IF(AG9="","",IF(I9=1,VLOOKUP(AG9,男子種目コード!$A$78:$B$81,2,FALSE),IF(I9=2,VLOOKUP(AG9,女子種目コード!$A$78:$B$81,2,FALSE))))</f>
        <v/>
      </c>
      <c r="AI9" s="407"/>
      <c r="AJ9" s="344">
        <v>0</v>
      </c>
      <c r="AK9" s="344">
        <v>2</v>
      </c>
      <c r="AL9" s="354">
        <v>0</v>
      </c>
      <c r="AM9" s="354"/>
      <c r="AN9" s="103"/>
      <c r="AO9" s="421">
        <v>800</v>
      </c>
      <c r="AP9" s="103" t="str">
        <f t="shared" ref="AP9:AP56" si="21">IF(O9="","",1)</f>
        <v/>
      </c>
      <c r="AQ9" s="103" t="str">
        <f t="shared" si="6"/>
        <v/>
      </c>
      <c r="AR9" s="103"/>
      <c r="AS9" s="103"/>
      <c r="AT9" s="240" t="str">
        <f t="shared" si="7"/>
        <v/>
      </c>
      <c r="AU9" s="240">
        <f t="shared" si="1"/>
        <v>0</v>
      </c>
      <c r="AV9" s="240">
        <f t="shared" si="2"/>
        <v>0</v>
      </c>
      <c r="AW9" s="240">
        <f t="shared" si="3"/>
        <v>0</v>
      </c>
      <c r="AX9" s="240">
        <f t="shared" si="8"/>
        <v>0</v>
      </c>
      <c r="AY9" s="237">
        <v>800</v>
      </c>
      <c r="AZ9" s="237">
        <v>800</v>
      </c>
      <c r="BA9" s="238" t="s">
        <v>341</v>
      </c>
      <c r="BB9" s="4">
        <f t="shared" si="9"/>
        <v>0</v>
      </c>
      <c r="BC9" s="4">
        <f t="shared" si="10"/>
        <v>0</v>
      </c>
      <c r="BD9" s="4" t="str">
        <f t="shared" si="11"/>
        <v/>
      </c>
      <c r="BE9" s="4" t="str">
        <f t="shared" si="12"/>
        <v/>
      </c>
      <c r="BF9" s="310">
        <v>200</v>
      </c>
      <c r="BG9" s="438">
        <f>COUNTIF($P$7:$P$56,2)+COUNTIF($U$7:$U$56,2)</f>
        <v>0</v>
      </c>
      <c r="BH9" s="517" t="str">
        <f t="shared" ca="1" si="13"/>
        <v/>
      </c>
      <c r="BI9" s="518" t="str">
        <f t="shared" ca="1" si="14"/>
        <v/>
      </c>
      <c r="BJ9" s="519" t="str">
        <f t="shared" ca="1" si="15"/>
        <v/>
      </c>
      <c r="BK9" s="518" t="str">
        <f t="shared" ca="1" si="16"/>
        <v/>
      </c>
      <c r="BL9" s="519" t="str">
        <f t="shared" ca="1" si="17"/>
        <v/>
      </c>
      <c r="BM9" s="518" t="str">
        <f t="shared" ca="1" si="18"/>
        <v/>
      </c>
      <c r="BN9" s="519" t="str">
        <f t="shared" ca="1" si="19"/>
        <v/>
      </c>
      <c r="BO9" s="520" t="str">
        <f t="shared" ca="1" si="20"/>
        <v/>
      </c>
      <c r="BP9" s="179" t="e">
        <f ca="1">VLookUpX("男子A",$A$7:$F$56,2,5)</f>
        <v>#N/A</v>
      </c>
      <c r="BQ9" s="179" t="e">
        <f ca="1">VLookUpX("男子A",$A$7:$F$56,2,6)</f>
        <v>#N/A</v>
      </c>
      <c r="BR9" s="179" t="e">
        <f ca="1">VLookUpX("男子A",$C$7:$F$56,2,3)</f>
        <v>#N/A</v>
      </c>
      <c r="BS9" s="179" t="e">
        <f ca="1">VLookUpX("男子A",$C$7:$F$56,2,4)</f>
        <v>#N/A</v>
      </c>
      <c r="BT9" s="179" t="e">
        <f ca="1">VLookUpX("女子A",$A$7:$F$56,2,5)</f>
        <v>#N/A</v>
      </c>
      <c r="BU9" s="179" t="e">
        <f ca="1">VLookUpX("女子A",$A$7:$F$56,2,6)</f>
        <v>#N/A</v>
      </c>
      <c r="BV9" s="179" t="e">
        <f ca="1">VLookUpX("女子A",$C$7:$F$56,2,3)</f>
        <v>#N/A</v>
      </c>
      <c r="BW9" s="179" t="e">
        <f ca="1">VLookUpX("女子A",$C$7:$F$56,2,4)</f>
        <v>#N/A</v>
      </c>
    </row>
    <row r="10" spans="1:96" ht="14.25" thickBot="1">
      <c r="A10" s="5">
        <f t="shared" si="4"/>
        <v>0</v>
      </c>
      <c r="B10" s="18" t="str">
        <f>名簿!Q12</f>
        <v/>
      </c>
      <c r="C10" s="5">
        <f t="shared" si="5"/>
        <v>0</v>
      </c>
      <c r="D10" s="776" t="str">
        <f>名簿!D12</f>
        <v/>
      </c>
      <c r="E10" s="19">
        <f>名簿!E12</f>
        <v>0</v>
      </c>
      <c r="F10" s="205" t="str">
        <f>名簿!BN12</f>
        <v/>
      </c>
      <c r="G10" s="19" t="str">
        <f>名簿!Z12</f>
        <v/>
      </c>
      <c r="H10" s="122" t="str">
        <f t="shared" si="0"/>
        <v/>
      </c>
      <c r="I10" s="361" t="str">
        <f>名簿!O12</f>
        <v/>
      </c>
      <c r="J10" s="361">
        <f>名簿!I12</f>
        <v>0</v>
      </c>
      <c r="K10" s="807">
        <f>名簿!K12</f>
        <v>0</v>
      </c>
      <c r="L10" s="409" t="str">
        <f>名簿!BQ12</f>
        <v>00</v>
      </c>
      <c r="M10" s="19" t="str">
        <f>名簿!R12</f>
        <v/>
      </c>
      <c r="N10" s="689">
        <f>名簿!C12</f>
        <v>0</v>
      </c>
      <c r="O10" s="461"/>
      <c r="P10" s="187" t="str">
        <f>IF(O10="","",IF(I10=1,VLOOKUP(O10,男子種目コード!$A$1:$B$33,2,FALSE),IF(I10=2,VLOOKUP(O10,女子種目コード!$A$1:$B$28,2,FALSE))))</f>
        <v/>
      </c>
      <c r="Q10" s="299" t="str">
        <f>IF(O10="","",HLOOKUP(O10,名簿!$AB$8:$BG$58,5,FALSE))</f>
        <v/>
      </c>
      <c r="R10" s="362">
        <v>0</v>
      </c>
      <c r="S10" s="401">
        <v>2</v>
      </c>
      <c r="T10" s="200"/>
      <c r="U10" s="187" t="str">
        <f>IF(T10="","",IF(I10=1,VLOOKUP(T10,男子種目コード!$A$1:$B$33,2,FALSE),IF(I10=2,VLOOKUP(T10,女子種目コード!$A$1:$B$28,2,FALSE))))</f>
        <v/>
      </c>
      <c r="V10" s="299" t="str">
        <f>IF(T10="","",HLOOKUP(T10,名簿!$AB$8:$BG$58,5,FALSE))</f>
        <v/>
      </c>
      <c r="W10" s="204"/>
      <c r="X10" s="205" t="str">
        <f>IF(W10="","",IF(I10=1,VLOOKUP(W10,男子種目コード!$D$2:$E$30,2,FALSE),IF(I10=2,VLOOKUP(W10,女子種目コード!$D$2:$E$30,2,FALSE))))</f>
        <v/>
      </c>
      <c r="Y10" s="454"/>
      <c r="Z10" s="362"/>
      <c r="AA10" s="362"/>
      <c r="AB10" s="468"/>
      <c r="AC10" s="464" t="str">
        <f>IF(AB10="","",IF(I10=1,VLOOKUP(AB10,男子種目コード!$A$82:$B$85,2,FALSE),IF(I10=2,VLOOKUP(AB10,女子種目コード!$A$82:$B$85,2,FALSE))))</f>
        <v/>
      </c>
      <c r="AD10" s="454"/>
      <c r="AE10" s="362">
        <v>0</v>
      </c>
      <c r="AF10" s="362">
        <v>2</v>
      </c>
      <c r="AG10" s="455"/>
      <c r="AH10" s="104" t="str">
        <f>IF(AG10="","",IF(I10=1,VLOOKUP(AG10,男子種目コード!$A$78:$B$81,2,FALSE),IF(I10=2,VLOOKUP(AG10,女子種目コード!$A$78:$B$81,2,FALSE))))</f>
        <v/>
      </c>
      <c r="AI10" s="407"/>
      <c r="AJ10" s="344">
        <v>0</v>
      </c>
      <c r="AK10" s="344">
        <v>2</v>
      </c>
      <c r="AL10" s="354">
        <v>0</v>
      </c>
      <c r="AM10" s="354"/>
      <c r="AN10" s="103"/>
      <c r="AO10" s="421">
        <v>1500</v>
      </c>
      <c r="AP10" s="103" t="str">
        <f t="shared" si="21"/>
        <v/>
      </c>
      <c r="AQ10" s="103" t="str">
        <f t="shared" si="6"/>
        <v/>
      </c>
      <c r="AR10" s="103"/>
      <c r="AS10" s="103"/>
      <c r="AT10" s="240" t="str">
        <f t="shared" si="7"/>
        <v/>
      </c>
      <c r="AU10" s="240">
        <f t="shared" si="1"/>
        <v>0</v>
      </c>
      <c r="AV10" s="240">
        <f t="shared" si="2"/>
        <v>0</v>
      </c>
      <c r="AW10" s="240">
        <f t="shared" si="3"/>
        <v>0</v>
      </c>
      <c r="AX10" s="240">
        <f t="shared" si="8"/>
        <v>0</v>
      </c>
      <c r="AY10" s="237">
        <v>1500</v>
      </c>
      <c r="AZ10" s="237">
        <v>1500</v>
      </c>
      <c r="BA10" s="238" t="s">
        <v>213</v>
      </c>
      <c r="BB10" s="4">
        <f t="shared" si="9"/>
        <v>0</v>
      </c>
      <c r="BC10" s="4">
        <f t="shared" si="10"/>
        <v>0</v>
      </c>
      <c r="BD10" s="4" t="str">
        <f t="shared" si="11"/>
        <v/>
      </c>
      <c r="BE10" s="4" t="str">
        <f t="shared" si="12"/>
        <v/>
      </c>
      <c r="BF10" s="310">
        <v>400</v>
      </c>
      <c r="BG10" s="438">
        <f>COUNTIF($P$7:$P$56,3)+COUNTIF($U$7:$U$56,3)</f>
        <v>0</v>
      </c>
      <c r="BH10" s="517" t="str">
        <f t="shared" ca="1" si="13"/>
        <v/>
      </c>
      <c r="BI10" s="518" t="str">
        <f t="shared" ca="1" si="14"/>
        <v/>
      </c>
      <c r="BJ10" s="519" t="str">
        <f t="shared" ca="1" si="15"/>
        <v/>
      </c>
      <c r="BK10" s="518" t="str">
        <f t="shared" ca="1" si="16"/>
        <v/>
      </c>
      <c r="BL10" s="519" t="str">
        <f t="shared" ca="1" si="17"/>
        <v/>
      </c>
      <c r="BM10" s="518" t="str">
        <f t="shared" ca="1" si="18"/>
        <v/>
      </c>
      <c r="BN10" s="519" t="str">
        <f t="shared" ca="1" si="19"/>
        <v/>
      </c>
      <c r="BO10" s="520" t="str">
        <f t="shared" ca="1" si="20"/>
        <v/>
      </c>
      <c r="BP10" s="179" t="e">
        <f ca="1">VLookUpX("男子A",$A$7:$F$56,3,5)</f>
        <v>#N/A</v>
      </c>
      <c r="BQ10" s="179" t="e">
        <f ca="1">VLookUpX("男子A",$A$7:$F$56,3,6)</f>
        <v>#N/A</v>
      </c>
      <c r="BR10" s="179" t="e">
        <f ca="1">VLookUpX("男子A",$C$7:$F$56,3,3)</f>
        <v>#N/A</v>
      </c>
      <c r="BS10" s="179" t="e">
        <f ca="1">VLookUpX("男子A",$C$7:$F$56,3,4)</f>
        <v>#N/A</v>
      </c>
      <c r="BT10" s="179" t="e">
        <f ca="1">VLookUpX("女子A",$A$7:$F$56,3,5)</f>
        <v>#N/A</v>
      </c>
      <c r="BU10" s="179" t="e">
        <f ca="1">VLookUpX("女子A",$A$7:$F$56,3,6)</f>
        <v>#N/A</v>
      </c>
      <c r="BV10" s="179" t="e">
        <f ca="1">VLookUpX("女子A",$C$7:$F$56,3,3)</f>
        <v>#N/A</v>
      </c>
      <c r="BW10" s="179" t="e">
        <f ca="1">VLookUpX("女子A",$C$7:$F$56,3,4)</f>
        <v>#N/A</v>
      </c>
    </row>
    <row r="11" spans="1:96" ht="13.5" customHeight="1" thickBot="1">
      <c r="A11" s="5">
        <f t="shared" si="4"/>
        <v>0</v>
      </c>
      <c r="B11" s="18" t="str">
        <f>名簿!Q13</f>
        <v/>
      </c>
      <c r="C11" s="5">
        <f t="shared" si="5"/>
        <v>0</v>
      </c>
      <c r="D11" s="776" t="str">
        <f>名簿!D13</f>
        <v/>
      </c>
      <c r="E11" s="19">
        <f>名簿!E13</f>
        <v>0</v>
      </c>
      <c r="F11" s="205" t="str">
        <f>名簿!BN13</f>
        <v/>
      </c>
      <c r="G11" s="19" t="str">
        <f>名簿!Z13</f>
        <v/>
      </c>
      <c r="H11" s="122" t="str">
        <f t="shared" si="0"/>
        <v/>
      </c>
      <c r="I11" s="361" t="str">
        <f>名簿!O13</f>
        <v/>
      </c>
      <c r="J11" s="361">
        <f>名簿!I13</f>
        <v>0</v>
      </c>
      <c r="K11" s="807">
        <f>名簿!K13</f>
        <v>0</v>
      </c>
      <c r="L11" s="409" t="str">
        <f>名簿!BQ13</f>
        <v>00</v>
      </c>
      <c r="M11" s="19" t="str">
        <f>名簿!R13</f>
        <v/>
      </c>
      <c r="N11" s="689">
        <f>名簿!C13</f>
        <v>0</v>
      </c>
      <c r="O11" s="461"/>
      <c r="P11" s="187" t="str">
        <f>IF(O11="","",IF(I11=1,VLOOKUP(O11,男子種目コード!$A$1:$B$33,2,FALSE),IF(I11=2,VLOOKUP(O11,女子種目コード!$A$1:$B$28,2,FALSE))))</f>
        <v/>
      </c>
      <c r="Q11" s="299" t="str">
        <f>IF(O11="","",HLOOKUP(O11,名簿!$AB$8:$BG$58,6,FALSE))</f>
        <v/>
      </c>
      <c r="R11" s="362">
        <v>0</v>
      </c>
      <c r="S11" s="401">
        <v>2</v>
      </c>
      <c r="T11" s="200"/>
      <c r="U11" s="187" t="str">
        <f>IF(T11="","",IF(I11=1,VLOOKUP(T11,男子種目コード!$A$1:$B$33,2,FALSE),IF(I11=2,VLOOKUP(T11,女子種目コード!$A$1:$B$28,2,FALSE))))</f>
        <v/>
      </c>
      <c r="V11" s="299" t="str">
        <f>IF(T11="","",HLOOKUP(T11,名簿!$AB$8:$BG$58,6,FALSE))</f>
        <v/>
      </c>
      <c r="W11" s="204"/>
      <c r="X11" s="205" t="str">
        <f>IF(W11="","",IF(I11=1,VLOOKUP(W11,男子種目コード!$D$2:$E$30,2,FALSE),IF(I11=2,VLOOKUP(W11,女子種目コード!$D$2:$E$30,2,FALSE))))</f>
        <v/>
      </c>
      <c r="Y11" s="454"/>
      <c r="Z11" s="362"/>
      <c r="AA11" s="362"/>
      <c r="AB11" s="468"/>
      <c r="AC11" s="464" t="str">
        <f>IF(AB11="","",IF(I11=1,VLOOKUP(AB11,男子種目コード!$A$82:$B$85,2,FALSE),IF(I11=2,VLOOKUP(AB11,女子種目コード!$A$82:$B$85,2,FALSE))))</f>
        <v/>
      </c>
      <c r="AD11" s="454"/>
      <c r="AE11" s="362">
        <v>0</v>
      </c>
      <c r="AF11" s="362">
        <v>2</v>
      </c>
      <c r="AG11" s="455"/>
      <c r="AH11" s="104" t="str">
        <f>IF(AG11="","",IF(I11=1,VLOOKUP(AG11,男子種目コード!$A$78:$B$81,2,FALSE),IF(I11=2,VLOOKUP(AG11,女子種目コード!$A$78:$B$81,2,FALSE))))</f>
        <v/>
      </c>
      <c r="AI11" s="407"/>
      <c r="AJ11" s="344">
        <v>0</v>
      </c>
      <c r="AK11" s="344">
        <v>2</v>
      </c>
      <c r="AL11" s="354">
        <v>0</v>
      </c>
      <c r="AM11" s="354"/>
      <c r="AN11" s="103"/>
      <c r="AO11" s="421">
        <v>5000</v>
      </c>
      <c r="AP11" s="103" t="str">
        <f t="shared" si="21"/>
        <v/>
      </c>
      <c r="AQ11" s="103" t="str">
        <f t="shared" si="6"/>
        <v/>
      </c>
      <c r="AR11" s="103"/>
      <c r="AS11" s="103"/>
      <c r="AT11" s="240" t="str">
        <f t="shared" si="7"/>
        <v/>
      </c>
      <c r="AU11" s="240">
        <f t="shared" si="1"/>
        <v>0</v>
      </c>
      <c r="AV11" s="240">
        <f t="shared" si="2"/>
        <v>0</v>
      </c>
      <c r="AW11" s="240">
        <f t="shared" si="3"/>
        <v>0</v>
      </c>
      <c r="AX11" s="240">
        <f t="shared" si="8"/>
        <v>0</v>
      </c>
      <c r="AY11" s="238" t="s">
        <v>180</v>
      </c>
      <c r="AZ11" s="238" t="s">
        <v>180</v>
      </c>
      <c r="BA11" s="238" t="s">
        <v>214</v>
      </c>
      <c r="BB11" s="4">
        <f t="shared" si="9"/>
        <v>0</v>
      </c>
      <c r="BC11" s="4">
        <f t="shared" si="10"/>
        <v>0</v>
      </c>
      <c r="BD11" s="4" t="str">
        <f t="shared" si="11"/>
        <v/>
      </c>
      <c r="BE11" s="4" t="str">
        <f t="shared" si="12"/>
        <v/>
      </c>
      <c r="BF11" s="310">
        <v>800</v>
      </c>
      <c r="BG11" s="438">
        <f>COUNTIF($P$7:$P$56,4)+COUNTIF($U$7:$U$56,4)</f>
        <v>0</v>
      </c>
      <c r="BH11" s="517" t="str">
        <f t="shared" ca="1" si="13"/>
        <v/>
      </c>
      <c r="BI11" s="518" t="str">
        <f t="shared" ca="1" si="14"/>
        <v/>
      </c>
      <c r="BJ11" s="519" t="str">
        <f t="shared" ca="1" si="15"/>
        <v/>
      </c>
      <c r="BK11" s="518" t="str">
        <f t="shared" ca="1" si="16"/>
        <v/>
      </c>
      <c r="BL11" s="519" t="str">
        <f t="shared" ca="1" si="17"/>
        <v/>
      </c>
      <c r="BM11" s="518" t="str">
        <f t="shared" ca="1" si="18"/>
        <v/>
      </c>
      <c r="BN11" s="519" t="str">
        <f t="shared" ca="1" si="19"/>
        <v/>
      </c>
      <c r="BO11" s="520" t="str">
        <f t="shared" ca="1" si="20"/>
        <v/>
      </c>
      <c r="BP11" s="179" t="e">
        <f ca="1">VLookUpX("男子A",$A$7:$F$56,4,5)</f>
        <v>#N/A</v>
      </c>
      <c r="BQ11" s="179" t="e">
        <f ca="1">VLookUpX("男子A",$A$7:$F$56,4,6)</f>
        <v>#N/A</v>
      </c>
      <c r="BR11" s="179" t="e">
        <f ca="1">VLookUpX("男子A",$C$7:$F$56,4,3)</f>
        <v>#N/A</v>
      </c>
      <c r="BS11" s="179" t="e">
        <f ca="1">VLookUpX("男子A",$C$7:$F$56,4,4)</f>
        <v>#N/A</v>
      </c>
      <c r="BT11" s="179" t="e">
        <f ca="1">VLookUpX("女子A",$A$7:$F$56,4,5)</f>
        <v>#N/A</v>
      </c>
      <c r="BU11" s="179" t="e">
        <f ca="1">VLookUpX("女子A",$A$7:$F$56,4,6)</f>
        <v>#N/A</v>
      </c>
      <c r="BV11" s="179" t="e">
        <f ca="1">VLookUpX("女子A",$C$7:$F$56,4,3)</f>
        <v>#N/A</v>
      </c>
      <c r="BW11" s="179" t="e">
        <f ca="1">VLookUpX("女子A",$C$7:$F$56,4,4)</f>
        <v>#N/A</v>
      </c>
    </row>
    <row r="12" spans="1:96" ht="14.25" thickBot="1">
      <c r="A12" s="5">
        <f t="shared" si="4"/>
        <v>0</v>
      </c>
      <c r="B12" s="18" t="str">
        <f>名簿!Q14</f>
        <v/>
      </c>
      <c r="C12" s="5">
        <f t="shared" si="5"/>
        <v>0</v>
      </c>
      <c r="D12" s="776" t="str">
        <f>名簿!D14</f>
        <v/>
      </c>
      <c r="E12" s="19">
        <f>名簿!E14</f>
        <v>0</v>
      </c>
      <c r="F12" s="205" t="str">
        <f>名簿!BN14</f>
        <v/>
      </c>
      <c r="G12" s="19" t="str">
        <f>名簿!Z14</f>
        <v/>
      </c>
      <c r="H12" s="122" t="str">
        <f t="shared" si="0"/>
        <v/>
      </c>
      <c r="I12" s="361" t="str">
        <f>名簿!O14</f>
        <v/>
      </c>
      <c r="J12" s="361">
        <f>名簿!I14</f>
        <v>0</v>
      </c>
      <c r="K12" s="807">
        <f>名簿!K14</f>
        <v>0</v>
      </c>
      <c r="L12" s="409" t="str">
        <f>名簿!BQ14</f>
        <v>00</v>
      </c>
      <c r="M12" s="19" t="str">
        <f>名簿!R14</f>
        <v/>
      </c>
      <c r="N12" s="689">
        <f>名簿!C14</f>
        <v>0</v>
      </c>
      <c r="O12" s="461"/>
      <c r="P12" s="187" t="str">
        <f>IF(O12="","",IF(I12=1,VLOOKUP(O12,男子種目コード!$A$1:$B$33,2,FALSE),IF(I12=2,VLOOKUP(O12,女子種目コード!$A$1:$B$28,2,FALSE))))</f>
        <v/>
      </c>
      <c r="Q12" s="299" t="str">
        <f>IF(O12="","",HLOOKUP(O12,名簿!$AB$8:$BG$58,7,FALSE))</f>
        <v/>
      </c>
      <c r="R12" s="362">
        <v>0</v>
      </c>
      <c r="S12" s="401">
        <v>2</v>
      </c>
      <c r="T12" s="200"/>
      <c r="U12" s="187" t="str">
        <f>IF(T12="","",IF(I12=1,VLOOKUP(T12,男子種目コード!$A$1:$B$33,2,FALSE),IF(I12=2,VLOOKUP(T12,女子種目コード!$A$1:$B$28,2,FALSE))))</f>
        <v/>
      </c>
      <c r="V12" s="299" t="str">
        <f>IF(T12="","",HLOOKUP(T12,名簿!$AB$8:$BG$58,7,FALSE))</f>
        <v/>
      </c>
      <c r="W12" s="204"/>
      <c r="X12" s="205" t="str">
        <f>IF(W12="","",IF(I12=1,VLOOKUP(W12,男子種目コード!$D$2:$E$30,2,FALSE),IF(I12=2,VLOOKUP(W12,女子種目コード!$D$2:$E$30,2,FALSE))))</f>
        <v/>
      </c>
      <c r="Y12" s="454"/>
      <c r="Z12" s="362"/>
      <c r="AA12" s="362"/>
      <c r="AB12" s="468"/>
      <c r="AC12" s="464" t="str">
        <f>IF(AB12="","",IF(I12=1,VLOOKUP(AB12,男子種目コード!$A$82:$B$85,2,FALSE),IF(I12=2,VLOOKUP(AB12,女子種目コード!$A$82:$B$85,2,FALSE))))</f>
        <v/>
      </c>
      <c r="AD12" s="454"/>
      <c r="AE12" s="362">
        <v>0</v>
      </c>
      <c r="AF12" s="362">
        <v>2</v>
      </c>
      <c r="AG12" s="455"/>
      <c r="AH12" s="104" t="str">
        <f>IF(AG12="","",IF(I12=1,VLOOKUP(AG12,男子種目コード!$A$78:$B$81,2,FALSE),IF(I12=2,VLOOKUP(AG12,女子種目コード!$A$78:$B$81,2,FALSE))))</f>
        <v/>
      </c>
      <c r="AI12" s="407"/>
      <c r="AJ12" s="344">
        <v>0</v>
      </c>
      <c r="AK12" s="344">
        <v>2</v>
      </c>
      <c r="AL12" s="354">
        <v>0</v>
      </c>
      <c r="AM12" s="354"/>
      <c r="AN12" s="103"/>
      <c r="AO12" s="421">
        <v>10000</v>
      </c>
      <c r="AP12" s="103" t="str">
        <f t="shared" si="21"/>
        <v/>
      </c>
      <c r="AQ12" s="103" t="str">
        <f t="shared" si="6"/>
        <v/>
      </c>
      <c r="AR12" s="103"/>
      <c r="AS12" s="103"/>
      <c r="AT12" s="240" t="str">
        <f t="shared" si="7"/>
        <v/>
      </c>
      <c r="AU12" s="240">
        <f t="shared" si="1"/>
        <v>0</v>
      </c>
      <c r="AV12" s="240">
        <f t="shared" si="2"/>
        <v>0</v>
      </c>
      <c r="AW12" s="240">
        <f t="shared" si="3"/>
        <v>0</v>
      </c>
      <c r="AX12" s="240">
        <f t="shared" si="8"/>
        <v>0</v>
      </c>
      <c r="AY12" s="237">
        <v>5000</v>
      </c>
      <c r="AZ12" s="237">
        <v>5000</v>
      </c>
      <c r="BA12" s="238" t="s">
        <v>215</v>
      </c>
      <c r="BB12" s="4">
        <f t="shared" si="9"/>
        <v>0</v>
      </c>
      <c r="BC12" s="4">
        <f t="shared" si="10"/>
        <v>0</v>
      </c>
      <c r="BD12" s="4" t="str">
        <f t="shared" si="11"/>
        <v/>
      </c>
      <c r="BE12" s="4" t="str">
        <f t="shared" si="12"/>
        <v/>
      </c>
      <c r="BF12" s="310">
        <v>1500</v>
      </c>
      <c r="BG12" s="438">
        <f>COUNTIF($P$7:$P$56,5)+COUNTIF($U$7:$U$56,5)</f>
        <v>0</v>
      </c>
      <c r="BH12" s="517" t="str">
        <f t="shared" ca="1" si="13"/>
        <v/>
      </c>
      <c r="BI12" s="518" t="str">
        <f t="shared" ca="1" si="14"/>
        <v/>
      </c>
      <c r="BJ12" s="519" t="str">
        <f t="shared" ca="1" si="15"/>
        <v/>
      </c>
      <c r="BK12" s="518" t="str">
        <f t="shared" ca="1" si="16"/>
        <v/>
      </c>
      <c r="BL12" s="519" t="str">
        <f t="shared" ca="1" si="17"/>
        <v/>
      </c>
      <c r="BM12" s="518" t="str">
        <f t="shared" ca="1" si="18"/>
        <v/>
      </c>
      <c r="BN12" s="519" t="str">
        <f t="shared" ca="1" si="19"/>
        <v/>
      </c>
      <c r="BO12" s="520" t="str">
        <f t="shared" ca="1" si="20"/>
        <v/>
      </c>
      <c r="BP12" s="179" t="e">
        <f ca="1">VLookUpX("男子A",$A$7:$F$56,5,5)</f>
        <v>#N/A</v>
      </c>
      <c r="BQ12" s="179" t="e">
        <f ca="1">VLookUpX("男子A",$A$7:$F$56,5,6)</f>
        <v>#N/A</v>
      </c>
      <c r="BR12" s="179" t="e">
        <f ca="1">VLookUpX("男子A",$C$7:$F$56,5,3)</f>
        <v>#N/A</v>
      </c>
      <c r="BS12" s="179" t="e">
        <f ca="1">VLookUpX("男子A",$C$7:$F$56,5,4)</f>
        <v>#N/A</v>
      </c>
      <c r="BT12" s="179" t="e">
        <f ca="1">VLookUpX("女子A",$A$7:$F$56,5,5)</f>
        <v>#N/A</v>
      </c>
      <c r="BU12" s="179" t="e">
        <f ca="1">VLookUpX("女子A",$A$7:$F$56,5,6)</f>
        <v>#N/A</v>
      </c>
      <c r="BV12" s="179" t="e">
        <f ca="1">VLookUpX("女子A",$C$7:$F$56,5,3)</f>
        <v>#N/A</v>
      </c>
      <c r="BW12" s="179" t="e">
        <f ca="1">VLookUpX("女子A",$C$7:$F$56,5,4)</f>
        <v>#N/A</v>
      </c>
    </row>
    <row r="13" spans="1:96" ht="14.25" thickBot="1">
      <c r="A13" s="5">
        <f t="shared" si="4"/>
        <v>0</v>
      </c>
      <c r="B13" s="18" t="str">
        <f>名簿!Q15</f>
        <v/>
      </c>
      <c r="C13" s="5">
        <f t="shared" si="5"/>
        <v>0</v>
      </c>
      <c r="D13" s="776" t="str">
        <f>名簿!D15</f>
        <v/>
      </c>
      <c r="E13" s="19">
        <f>名簿!E15</f>
        <v>0</v>
      </c>
      <c r="F13" s="205" t="str">
        <f>名簿!BN15</f>
        <v/>
      </c>
      <c r="G13" s="19" t="str">
        <f>名簿!Z15</f>
        <v/>
      </c>
      <c r="H13" s="122" t="str">
        <f t="shared" si="0"/>
        <v/>
      </c>
      <c r="I13" s="361" t="str">
        <f>名簿!O15</f>
        <v/>
      </c>
      <c r="J13" s="361">
        <f>名簿!I15</f>
        <v>0</v>
      </c>
      <c r="K13" s="807">
        <f>名簿!K15</f>
        <v>0</v>
      </c>
      <c r="L13" s="409" t="str">
        <f>名簿!BQ15</f>
        <v>00</v>
      </c>
      <c r="M13" s="19" t="str">
        <f>名簿!R15</f>
        <v/>
      </c>
      <c r="N13" s="689">
        <f>名簿!C15</f>
        <v>0</v>
      </c>
      <c r="O13" s="461"/>
      <c r="P13" s="187" t="str">
        <f>IF(O13="","",IF(I13=1,VLOOKUP(O13,男子種目コード!$A$1:$B$33,2,FALSE),IF(I13=2,VLOOKUP(O13,女子種目コード!$A$1:$B$28,2,FALSE))))</f>
        <v/>
      </c>
      <c r="Q13" s="299" t="str">
        <f>IF(O13="","",HLOOKUP(O13,名簿!$AB$8:$BG$58,8,FALSE))</f>
        <v/>
      </c>
      <c r="R13" s="362">
        <v>0</v>
      </c>
      <c r="S13" s="401">
        <v>2</v>
      </c>
      <c r="T13" s="200"/>
      <c r="U13" s="187" t="str">
        <f>IF(T13="","",IF(I13=1,VLOOKUP(T13,男子種目コード!$A$1:$B$33,2,FALSE),IF(I13=2,VLOOKUP(T13,女子種目コード!$A$1:$B$28,2,FALSE))))</f>
        <v/>
      </c>
      <c r="V13" s="299" t="str">
        <f>IF(T13="","",HLOOKUP(T13,名簿!$AB$8:$BG$58,8,FALSE))</f>
        <v/>
      </c>
      <c r="W13" s="204"/>
      <c r="X13" s="205" t="str">
        <f>IF(W13="","",IF(I13=1,VLOOKUP(W13,男子種目コード!$D$2:$E$30,2,FALSE),IF(I13=2,VLOOKUP(W13,女子種目コード!$D$2:$E$30,2,FALSE))))</f>
        <v/>
      </c>
      <c r="Y13" s="454"/>
      <c r="Z13" s="362"/>
      <c r="AA13" s="362"/>
      <c r="AB13" s="468"/>
      <c r="AC13" s="464" t="str">
        <f>IF(AB13="","",IF(I13=1,VLOOKUP(AB13,男子種目コード!$A$82:$B$85,2,FALSE),IF(I13=2,VLOOKUP(AB13,女子種目コード!$A$82:$B$85,2,FALSE))))</f>
        <v/>
      </c>
      <c r="AD13" s="454"/>
      <c r="AE13" s="362">
        <v>0</v>
      </c>
      <c r="AF13" s="362">
        <v>2</v>
      </c>
      <c r="AG13" s="455"/>
      <c r="AH13" s="104" t="str">
        <f>IF(AG13="","",IF(I13=1,VLOOKUP(AG13,男子種目コード!$A$78:$B$81,2,FALSE),IF(I13=2,VLOOKUP(AG13,女子種目コード!$A$78:$B$81,2,FALSE))))</f>
        <v/>
      </c>
      <c r="AI13" s="407"/>
      <c r="AJ13" s="344">
        <v>0</v>
      </c>
      <c r="AK13" s="344">
        <v>2</v>
      </c>
      <c r="AL13" s="354">
        <v>0</v>
      </c>
      <c r="AM13" s="354"/>
      <c r="AN13" s="103"/>
      <c r="AO13" s="422" t="s">
        <v>288</v>
      </c>
      <c r="AP13" s="103" t="str">
        <f t="shared" si="21"/>
        <v/>
      </c>
      <c r="AQ13" s="103" t="str">
        <f t="shared" si="6"/>
        <v/>
      </c>
      <c r="AR13" s="103"/>
      <c r="AS13" s="103"/>
      <c r="AT13" s="240" t="str">
        <f t="shared" si="7"/>
        <v/>
      </c>
      <c r="AU13" s="240">
        <f t="shared" si="1"/>
        <v>0</v>
      </c>
      <c r="AV13" s="240">
        <f t="shared" si="2"/>
        <v>0</v>
      </c>
      <c r="AW13" s="240">
        <f t="shared" si="3"/>
        <v>0</v>
      </c>
      <c r="AX13" s="240">
        <f t="shared" si="8"/>
        <v>0</v>
      </c>
      <c r="AY13" s="237">
        <v>10000</v>
      </c>
      <c r="AZ13" s="237">
        <v>10000</v>
      </c>
      <c r="BA13" s="238" t="s">
        <v>342</v>
      </c>
      <c r="BB13" s="4">
        <f t="shared" si="9"/>
        <v>0</v>
      </c>
      <c r="BC13" s="4">
        <f t="shared" si="10"/>
        <v>0</v>
      </c>
      <c r="BD13" s="4" t="str">
        <f t="shared" si="11"/>
        <v/>
      </c>
      <c r="BE13" s="4" t="str">
        <f t="shared" si="12"/>
        <v/>
      </c>
      <c r="BF13" s="311" t="s">
        <v>217</v>
      </c>
      <c r="BG13" s="438">
        <f>COUNTIF($P$7:$P$56,24)+COUNTIF($U$7:$U$56,24)</f>
        <v>0</v>
      </c>
      <c r="BH13" s="521" t="str">
        <f t="shared" ca="1" si="13"/>
        <v/>
      </c>
      <c r="BI13" s="522" t="str">
        <f t="shared" ca="1" si="14"/>
        <v/>
      </c>
      <c r="BJ13" s="523" t="str">
        <f t="shared" ca="1" si="15"/>
        <v/>
      </c>
      <c r="BK13" s="522" t="str">
        <f t="shared" ca="1" si="16"/>
        <v/>
      </c>
      <c r="BL13" s="523" t="str">
        <f t="shared" ca="1" si="17"/>
        <v/>
      </c>
      <c r="BM13" s="522" t="str">
        <f t="shared" ca="1" si="18"/>
        <v/>
      </c>
      <c r="BN13" s="523" t="str">
        <f t="shared" ca="1" si="19"/>
        <v/>
      </c>
      <c r="BO13" s="524" t="str">
        <f t="shared" ca="1" si="20"/>
        <v/>
      </c>
      <c r="BP13" s="179" t="e">
        <f ca="1">VLookUpX("男子A",$A$7:$F$56,6,5)</f>
        <v>#N/A</v>
      </c>
      <c r="BQ13" s="179" t="e">
        <f ca="1">VLookUpX("男子A",$A$7:$F$56,6,6)</f>
        <v>#N/A</v>
      </c>
      <c r="BR13" s="179" t="e">
        <f ca="1">VLookUpX("男子A",$C$7:$F$56,6,3)</f>
        <v>#N/A</v>
      </c>
      <c r="BS13" s="179" t="e">
        <f ca="1">VLookUpX("男子A",$C$7:$F$56,6,4)</f>
        <v>#N/A</v>
      </c>
      <c r="BT13" s="179" t="e">
        <f ca="1">VLookUpX("女子A",$A$7:$F$56,6,5)</f>
        <v>#N/A</v>
      </c>
      <c r="BU13" s="179" t="e">
        <f ca="1">VLookUpX("女子A",$A$7:$F$56,6,6)</f>
        <v>#N/A</v>
      </c>
      <c r="BV13" s="179" t="e">
        <f ca="1">VLookUpX("女子A",$C$7:$F$56,6,3)</f>
        <v>#N/A</v>
      </c>
      <c r="BW13" s="179" t="e">
        <f ca="1">VLookUpX("女子A",$C$7:$F$56,6,4)</f>
        <v>#N/A</v>
      </c>
    </row>
    <row r="14" spans="1:96" ht="14.25" thickBot="1">
      <c r="A14" s="5">
        <f t="shared" si="4"/>
        <v>0</v>
      </c>
      <c r="B14" s="18" t="str">
        <f>名簿!Q16</f>
        <v/>
      </c>
      <c r="C14" s="5">
        <f t="shared" si="5"/>
        <v>0</v>
      </c>
      <c r="D14" s="776" t="str">
        <f>名簿!D16</f>
        <v/>
      </c>
      <c r="E14" s="19">
        <f>名簿!E16</f>
        <v>0</v>
      </c>
      <c r="F14" s="205" t="str">
        <f>名簿!BN16</f>
        <v/>
      </c>
      <c r="G14" s="19" t="str">
        <f>名簿!Z16</f>
        <v/>
      </c>
      <c r="H14" s="122" t="str">
        <f t="shared" si="0"/>
        <v/>
      </c>
      <c r="I14" s="361" t="str">
        <f>名簿!O16</f>
        <v/>
      </c>
      <c r="J14" s="361">
        <f>名簿!I16</f>
        <v>0</v>
      </c>
      <c r="K14" s="807">
        <f>名簿!K16</f>
        <v>0</v>
      </c>
      <c r="L14" s="409" t="str">
        <f>名簿!BQ16</f>
        <v>00</v>
      </c>
      <c r="M14" s="19" t="str">
        <f>名簿!R16</f>
        <v/>
      </c>
      <c r="N14" s="689">
        <f>名簿!C16</f>
        <v>0</v>
      </c>
      <c r="O14" s="461"/>
      <c r="P14" s="187" t="str">
        <f>IF(O14="","",IF(I14=1,VLOOKUP(O14,男子種目コード!$A$1:$B$33,2,FALSE),IF(I14=2,VLOOKUP(O14,女子種目コード!$A$1:$B$28,2,FALSE))))</f>
        <v/>
      </c>
      <c r="Q14" s="299" t="str">
        <f>IF(O14="","",HLOOKUP(O14,名簿!$AB$8:$BG$58,9,FALSE))</f>
        <v/>
      </c>
      <c r="R14" s="362">
        <v>0</v>
      </c>
      <c r="S14" s="401">
        <v>2</v>
      </c>
      <c r="T14" s="200"/>
      <c r="U14" s="187" t="str">
        <f>IF(T14="","",IF(I14=1,VLOOKUP(T14,男子種目コード!$A$1:$B$33,2,FALSE),IF(I14=2,VLOOKUP(T14,女子種目コード!$A$1:$B$28,2,FALSE))))</f>
        <v/>
      </c>
      <c r="V14" s="299" t="str">
        <f>IF(T14="","",HLOOKUP(T14,名簿!$AB$8:$BG$58,9,FALSE))</f>
        <v/>
      </c>
      <c r="W14" s="204"/>
      <c r="X14" s="205" t="str">
        <f>IF(W14="","",IF(I14=1,VLOOKUP(W14,男子種目コード!$D$2:$E$30,2,FALSE),IF(I14=2,VLOOKUP(W14,女子種目コード!$D$2:$E$30,2,FALSE))))</f>
        <v/>
      </c>
      <c r="Y14" s="454"/>
      <c r="Z14" s="362"/>
      <c r="AA14" s="362"/>
      <c r="AB14" s="468"/>
      <c r="AC14" s="464" t="str">
        <f>IF(AB14="","",IF(I14=1,VLOOKUP(AB14,男子種目コード!$A$82:$B$85,2,FALSE),IF(I14=2,VLOOKUP(AB14,女子種目コード!$A$82:$B$85,2,FALSE))))</f>
        <v/>
      </c>
      <c r="AD14" s="454"/>
      <c r="AE14" s="362">
        <v>0</v>
      </c>
      <c r="AF14" s="362">
        <v>2</v>
      </c>
      <c r="AG14" s="455"/>
      <c r="AH14" s="104" t="str">
        <f>IF(AG14="","",IF(I14=1,VLOOKUP(AG14,男子種目コード!$A$78:$B$81,2,FALSE),IF(I14=2,VLOOKUP(AG14,女子種目コード!$A$78:$B$81,2,FALSE))))</f>
        <v/>
      </c>
      <c r="AI14" s="407"/>
      <c r="AJ14" s="344">
        <v>0</v>
      </c>
      <c r="AK14" s="344">
        <v>2</v>
      </c>
      <c r="AL14" s="354">
        <v>0</v>
      </c>
      <c r="AM14" s="354"/>
      <c r="AN14" s="103"/>
      <c r="AO14" s="422" t="s">
        <v>289</v>
      </c>
      <c r="AP14" s="103" t="str">
        <f t="shared" si="21"/>
        <v/>
      </c>
      <c r="AQ14" s="103" t="str">
        <f t="shared" si="6"/>
        <v/>
      </c>
      <c r="AR14" s="103"/>
      <c r="AS14" s="103"/>
      <c r="AT14" s="240" t="str">
        <f t="shared" si="7"/>
        <v/>
      </c>
      <c r="AU14" s="240">
        <f t="shared" si="1"/>
        <v>0</v>
      </c>
      <c r="AV14" s="240">
        <f t="shared" si="2"/>
        <v>0</v>
      </c>
      <c r="AW14" s="240">
        <f t="shared" si="3"/>
        <v>0</v>
      </c>
      <c r="AX14" s="240">
        <f t="shared" si="8"/>
        <v>0</v>
      </c>
      <c r="AY14" s="238" t="s">
        <v>289</v>
      </c>
      <c r="AZ14" s="238" t="s">
        <v>288</v>
      </c>
      <c r="BA14" s="4"/>
      <c r="BB14" s="4">
        <f t="shared" si="9"/>
        <v>0</v>
      </c>
      <c r="BC14" s="4">
        <f t="shared" si="10"/>
        <v>0</v>
      </c>
      <c r="BD14" s="4" t="str">
        <f t="shared" si="11"/>
        <v/>
      </c>
      <c r="BE14" s="4" t="str">
        <f t="shared" si="12"/>
        <v/>
      </c>
      <c r="BF14" s="310">
        <v>5000</v>
      </c>
      <c r="BG14" s="438">
        <f>COUNTIF($P$7:$P$56,6)+COUNTIF($U$7:$U$56,6)</f>
        <v>0</v>
      </c>
      <c r="BH14" s="452" t="s">
        <v>363</v>
      </c>
      <c r="BI14" s="440"/>
      <c r="BJ14" s="439" t="s">
        <v>367</v>
      </c>
      <c r="BK14" s="440"/>
      <c r="BL14" s="441" t="s">
        <v>371</v>
      </c>
      <c r="BM14" s="442"/>
      <c r="BN14" s="441" t="s">
        <v>375</v>
      </c>
      <c r="BO14" s="453"/>
    </row>
    <row r="15" spans="1:96" ht="14.25" thickBot="1">
      <c r="A15" s="5">
        <f t="shared" si="4"/>
        <v>0</v>
      </c>
      <c r="B15" s="18" t="str">
        <f>名簿!Q17</f>
        <v/>
      </c>
      <c r="C15" s="5">
        <f t="shared" si="5"/>
        <v>0</v>
      </c>
      <c r="D15" s="776" t="str">
        <f>名簿!D17</f>
        <v/>
      </c>
      <c r="E15" s="19">
        <f>名簿!E17</f>
        <v>0</v>
      </c>
      <c r="F15" s="205" t="str">
        <f>名簿!BN17</f>
        <v/>
      </c>
      <c r="G15" s="19" t="str">
        <f>名簿!Z17</f>
        <v/>
      </c>
      <c r="H15" s="122" t="str">
        <f t="shared" si="0"/>
        <v/>
      </c>
      <c r="I15" s="361" t="str">
        <f>名簿!O17</f>
        <v/>
      </c>
      <c r="J15" s="361">
        <f>名簿!I17</f>
        <v>0</v>
      </c>
      <c r="K15" s="807">
        <f>名簿!K17</f>
        <v>0</v>
      </c>
      <c r="L15" s="409" t="str">
        <f>名簿!BQ17</f>
        <v>00</v>
      </c>
      <c r="M15" s="19" t="str">
        <f>名簿!R17</f>
        <v/>
      </c>
      <c r="N15" s="689">
        <f>名簿!C17</f>
        <v>0</v>
      </c>
      <c r="O15" s="461"/>
      <c r="P15" s="187" t="str">
        <f>IF(O15="","",IF(I15=1,VLOOKUP(O15,男子種目コード!$A$1:$B$33,2,FALSE),IF(I15=2,VLOOKUP(O15,女子種目コード!$A$1:$B$28,2,FALSE))))</f>
        <v/>
      </c>
      <c r="Q15" s="299" t="str">
        <f>IF(O15="","",HLOOKUP(O15,名簿!$AB$8:$BG$58,10,FALSE))</f>
        <v/>
      </c>
      <c r="R15" s="362">
        <v>0</v>
      </c>
      <c r="S15" s="401">
        <v>2</v>
      </c>
      <c r="T15" s="200"/>
      <c r="U15" s="187" t="str">
        <f>IF(T15="","",IF(I15=1,VLOOKUP(T15,男子種目コード!$A$1:$B$33,2,FALSE),IF(I15=2,VLOOKUP(T15,女子種目コード!$A$1:$B$28,2,FALSE))))</f>
        <v/>
      </c>
      <c r="V15" s="299" t="str">
        <f>IF(T15="","",HLOOKUP(T15,名簿!$AB$8:$BG$58,10,FALSE))</f>
        <v/>
      </c>
      <c r="W15" s="204"/>
      <c r="X15" s="205" t="str">
        <f>IF(W15="","",IF(I15=1,VLOOKUP(W15,男子種目コード!$D$2:$E$30,2,FALSE),IF(I15=2,VLOOKUP(W15,女子種目コード!$D$2:$E$30,2,FALSE))))</f>
        <v/>
      </c>
      <c r="Y15" s="454"/>
      <c r="Z15" s="362"/>
      <c r="AA15" s="362"/>
      <c r="AB15" s="468"/>
      <c r="AC15" s="464" t="str">
        <f>IF(AB15="","",IF(I15=1,VLOOKUP(AB15,男子種目コード!$A$82:$B$85,2,FALSE),IF(I15=2,VLOOKUP(AB15,女子種目コード!$A$82:$B$85,2,FALSE))))</f>
        <v/>
      </c>
      <c r="AD15" s="454"/>
      <c r="AE15" s="362">
        <v>0</v>
      </c>
      <c r="AF15" s="362">
        <v>2</v>
      </c>
      <c r="AG15" s="455"/>
      <c r="AH15" s="104" t="str">
        <f>IF(AG15="","",IF(I15=1,VLOOKUP(AG15,男子種目コード!$A$78:$B$81,2,FALSE),IF(I15=2,VLOOKUP(AG15,女子種目コード!$A$78:$B$81,2,FALSE))))</f>
        <v/>
      </c>
      <c r="AI15" s="407"/>
      <c r="AJ15" s="344">
        <v>0</v>
      </c>
      <c r="AK15" s="344">
        <v>2</v>
      </c>
      <c r="AL15" s="354">
        <v>0</v>
      </c>
      <c r="AM15" s="354"/>
      <c r="AN15" s="103"/>
      <c r="AO15" s="422" t="s">
        <v>290</v>
      </c>
      <c r="AP15" s="103" t="str">
        <f t="shared" si="21"/>
        <v/>
      </c>
      <c r="AQ15" s="103" t="str">
        <f t="shared" si="6"/>
        <v/>
      </c>
      <c r="AR15" s="103"/>
      <c r="AS15" s="103"/>
      <c r="AT15" s="240" t="str">
        <f t="shared" si="7"/>
        <v/>
      </c>
      <c r="AU15" s="240">
        <f t="shared" si="1"/>
        <v>0</v>
      </c>
      <c r="AV15" s="240">
        <f t="shared" si="2"/>
        <v>0</v>
      </c>
      <c r="AW15" s="240">
        <f t="shared" si="3"/>
        <v>0</v>
      </c>
      <c r="AX15" s="240">
        <f t="shared" si="8"/>
        <v>0</v>
      </c>
      <c r="AY15" s="238" t="s">
        <v>290</v>
      </c>
      <c r="AZ15" s="238" t="s">
        <v>290</v>
      </c>
      <c r="BA15" s="4"/>
      <c r="BB15" s="4">
        <f t="shared" si="9"/>
        <v>0</v>
      </c>
      <c r="BC15" s="4">
        <f t="shared" si="10"/>
        <v>0</v>
      </c>
      <c r="BD15" s="4" t="str">
        <f t="shared" si="11"/>
        <v/>
      </c>
      <c r="BE15" s="4" t="str">
        <f t="shared" si="12"/>
        <v/>
      </c>
      <c r="BF15" s="310">
        <v>10000</v>
      </c>
      <c r="BG15" s="438">
        <f>COUNTIF($P$7:$P$56,7)+COUNTIF($U$7:$U$56,7)</f>
        <v>0</v>
      </c>
      <c r="BH15" s="451" t="s">
        <v>239</v>
      </c>
      <c r="BI15" s="589"/>
      <c r="BJ15" s="446" t="s">
        <v>239</v>
      </c>
      <c r="BK15" s="589"/>
      <c r="BL15" s="446" t="s">
        <v>239</v>
      </c>
      <c r="BM15" s="589"/>
      <c r="BN15" s="446" t="s">
        <v>239</v>
      </c>
      <c r="BO15" s="590"/>
    </row>
    <row r="16" spans="1:96" ht="14.25" thickBot="1">
      <c r="A16" s="5">
        <f t="shared" si="4"/>
        <v>0</v>
      </c>
      <c r="B16" s="18" t="str">
        <f>名簿!Q18</f>
        <v/>
      </c>
      <c r="C16" s="5">
        <f t="shared" si="5"/>
        <v>0</v>
      </c>
      <c r="D16" s="776" t="str">
        <f>名簿!D18</f>
        <v/>
      </c>
      <c r="E16" s="19">
        <f>名簿!E18</f>
        <v>0</v>
      </c>
      <c r="F16" s="205" t="str">
        <f>名簿!BN18</f>
        <v/>
      </c>
      <c r="G16" s="19" t="str">
        <f>名簿!Z18</f>
        <v/>
      </c>
      <c r="H16" s="122" t="str">
        <f t="shared" si="0"/>
        <v/>
      </c>
      <c r="I16" s="361" t="str">
        <f>名簿!O18</f>
        <v/>
      </c>
      <c r="J16" s="361">
        <f>名簿!I18</f>
        <v>0</v>
      </c>
      <c r="K16" s="807">
        <f>名簿!K18</f>
        <v>0</v>
      </c>
      <c r="L16" s="409" t="str">
        <f>名簿!BQ18</f>
        <v>00</v>
      </c>
      <c r="M16" s="19" t="str">
        <f>名簿!R18</f>
        <v/>
      </c>
      <c r="N16" s="689">
        <f>名簿!C18</f>
        <v>0</v>
      </c>
      <c r="O16" s="461"/>
      <c r="P16" s="187" t="str">
        <f>IF(O16="","",IF(I16=1,VLOOKUP(O16,男子種目コード!$A$1:$B$33,2,FALSE),IF(I16=2,VLOOKUP(O16,女子種目コード!$A$1:$B$28,2,FALSE))))</f>
        <v/>
      </c>
      <c r="Q16" s="299" t="str">
        <f>IF(O16="","",HLOOKUP(O16,名簿!$AB$8:$BG$58,11,FALSE))</f>
        <v/>
      </c>
      <c r="R16" s="362">
        <v>0</v>
      </c>
      <c r="S16" s="401">
        <v>2</v>
      </c>
      <c r="T16" s="200"/>
      <c r="U16" s="187" t="str">
        <f>IF(T16="","",IF(I16=1,VLOOKUP(T16,男子種目コード!$A$1:$B$33,2,FALSE),IF(I16=2,VLOOKUP(T16,女子種目コード!$A$1:$B$28,2,FALSE))))</f>
        <v/>
      </c>
      <c r="V16" s="299" t="str">
        <f>IF(T16="","",HLOOKUP(T16,名簿!$AB$8:$BG$58,11,FALSE))</f>
        <v/>
      </c>
      <c r="W16" s="204"/>
      <c r="X16" s="205" t="str">
        <f>IF(W16="","",IF(I16=1,VLOOKUP(W16,男子種目コード!$D$2:$E$30,2,FALSE),IF(I16=2,VLOOKUP(W16,女子種目コード!$D$2:$E$30,2,FALSE))))</f>
        <v/>
      </c>
      <c r="Y16" s="454"/>
      <c r="Z16" s="362"/>
      <c r="AA16" s="362"/>
      <c r="AB16" s="468"/>
      <c r="AC16" s="464" t="str">
        <f>IF(AB16="","",IF(I16=1,VLOOKUP(AB16,男子種目コード!$A$82:$B$85,2,FALSE),IF(I16=2,VLOOKUP(AB16,女子種目コード!$A$82:$B$85,2,FALSE))))</f>
        <v/>
      </c>
      <c r="AD16" s="454"/>
      <c r="AE16" s="362">
        <v>0</v>
      </c>
      <c r="AF16" s="362">
        <v>2</v>
      </c>
      <c r="AG16" s="455"/>
      <c r="AH16" s="104" t="str">
        <f>IF(AG16="","",IF(I16=1,VLOOKUP(AG16,男子種目コード!$A$78:$B$81,2,FALSE),IF(I16=2,VLOOKUP(AG16,女子種目コード!$A$78:$B$81,2,FALSE))))</f>
        <v/>
      </c>
      <c r="AI16" s="407"/>
      <c r="AJ16" s="344">
        <v>0</v>
      </c>
      <c r="AK16" s="344">
        <v>2</v>
      </c>
      <c r="AL16" s="354">
        <v>0</v>
      </c>
      <c r="AM16" s="354"/>
      <c r="AN16" s="103"/>
      <c r="AO16" s="422" t="s">
        <v>291</v>
      </c>
      <c r="AP16" s="103" t="str">
        <f t="shared" si="21"/>
        <v/>
      </c>
      <c r="AQ16" s="103" t="str">
        <f t="shared" si="6"/>
        <v/>
      </c>
      <c r="AR16" s="103"/>
      <c r="AS16" s="103"/>
      <c r="AT16" s="240" t="str">
        <f t="shared" si="7"/>
        <v/>
      </c>
      <c r="AU16" s="240">
        <f t="shared" si="1"/>
        <v>0</v>
      </c>
      <c r="AV16" s="240">
        <f t="shared" si="2"/>
        <v>0</v>
      </c>
      <c r="AW16" s="240">
        <f t="shared" si="3"/>
        <v>0</v>
      </c>
      <c r="AX16" s="240">
        <f t="shared" si="8"/>
        <v>0</v>
      </c>
      <c r="AY16" s="238" t="s">
        <v>291</v>
      </c>
      <c r="AZ16" s="238" t="s">
        <v>291</v>
      </c>
      <c r="BA16" s="4"/>
      <c r="BB16" s="4">
        <f t="shared" si="9"/>
        <v>0</v>
      </c>
      <c r="BC16" s="4">
        <f t="shared" si="10"/>
        <v>0</v>
      </c>
      <c r="BD16" s="4" t="str">
        <f t="shared" si="11"/>
        <v/>
      </c>
      <c r="BE16" s="4" t="str">
        <f t="shared" si="12"/>
        <v/>
      </c>
      <c r="BF16" s="311" t="s">
        <v>357</v>
      </c>
      <c r="BG16" s="438">
        <f>COUNTIF($P$7:$P$56,8)+COUNTIF($U$7:$U$56,8)</f>
        <v>0</v>
      </c>
      <c r="BH16" s="513" t="str">
        <f t="shared" ref="BH16:BH21" ca="1" si="22">IF(ISERROR(BP16),"",BP16)</f>
        <v/>
      </c>
      <c r="BI16" s="514" t="str">
        <f t="shared" ref="BI16:BI21" ca="1" si="23">IF(ISERROR(BQ16),"",BQ16)</f>
        <v/>
      </c>
      <c r="BJ16" s="515" t="str">
        <f t="shared" ref="BJ16:BJ21" ca="1" si="24">IF(ISERROR(BR16),"",BR16)</f>
        <v/>
      </c>
      <c r="BK16" s="514" t="str">
        <f t="shared" ref="BK16:BK21" ca="1" si="25">IF(ISERROR(BS16),"",BS16)</f>
        <v/>
      </c>
      <c r="BL16" s="515" t="str">
        <f t="shared" ref="BL16:BL21" ca="1" si="26">IF(ISERROR(BT16),"",BT16)</f>
        <v/>
      </c>
      <c r="BM16" s="514" t="str">
        <f t="shared" ref="BM16:BM21" ca="1" si="27">IF(ISERROR(BU16),"",BU16)</f>
        <v/>
      </c>
      <c r="BN16" s="515" t="str">
        <f t="shared" ref="BN16:BN21" ca="1" si="28">IF(ISERROR(BV16),"",BV16)</f>
        <v/>
      </c>
      <c r="BO16" s="516" t="str">
        <f t="shared" ref="BO16:BO21" ca="1" si="29">IF(ISERROR(BW16),"",BW16)</f>
        <v/>
      </c>
      <c r="BP16" s="179" t="e">
        <f ca="1">VLookUpX("男子B",$A$7:$F$56,1,5)</f>
        <v>#N/A</v>
      </c>
      <c r="BQ16" s="179" t="e">
        <f ca="1">VLookUpX("男子B",$A$7:$F$56,1,6)</f>
        <v>#N/A</v>
      </c>
      <c r="BR16" s="179" t="e">
        <f ca="1">VLookUpX("男子B",$C$7:$F$56,1,3)</f>
        <v>#N/A</v>
      </c>
      <c r="BS16" s="179" t="e">
        <f ca="1">VLookUpX("男子B",$C$7:$F$56,1,4)</f>
        <v>#N/A</v>
      </c>
      <c r="BT16" s="179" t="e">
        <f ca="1">VLookUpX("女子B",$A$7:$F$56,1,5)</f>
        <v>#N/A</v>
      </c>
      <c r="BU16" s="179" t="e">
        <f ca="1">VLookUpX("女子B",$A$7:$F$56,1,6)</f>
        <v>#N/A</v>
      </c>
      <c r="BV16" s="179" t="e">
        <f ca="1">VLookUpX("女子B",$C$7:$F$56,1,3)</f>
        <v>#N/A</v>
      </c>
      <c r="BW16" s="179" t="e">
        <f ca="1">VLookUpX("女子B",$C$7:$F$56,1,4)</f>
        <v>#N/A</v>
      </c>
      <c r="BX16" s="4" t="str">
        <f ca="1">IF(BH16="","",1)</f>
        <v/>
      </c>
      <c r="BY16" s="4" t="str">
        <f ca="1">IF(BJ16="","",1)</f>
        <v/>
      </c>
      <c r="BZ16" s="4" t="str">
        <f ca="1">IF(BL16="","",1)</f>
        <v/>
      </c>
      <c r="CA16" s="4" t="str">
        <f ca="1">IF(BN16="","",1)</f>
        <v/>
      </c>
    </row>
    <row r="17" spans="1:79" ht="14.25" thickBot="1">
      <c r="A17" s="5">
        <f t="shared" si="4"/>
        <v>0</v>
      </c>
      <c r="B17" s="18" t="str">
        <f>名簿!Q19</f>
        <v/>
      </c>
      <c r="C17" s="5">
        <f t="shared" si="5"/>
        <v>0</v>
      </c>
      <c r="D17" s="776" t="str">
        <f>名簿!D19</f>
        <v/>
      </c>
      <c r="E17" s="19">
        <f>名簿!E19</f>
        <v>0</v>
      </c>
      <c r="F17" s="205" t="str">
        <f>名簿!BN19</f>
        <v/>
      </c>
      <c r="G17" s="19" t="str">
        <f>名簿!Z19</f>
        <v/>
      </c>
      <c r="H17" s="122" t="str">
        <f t="shared" si="0"/>
        <v/>
      </c>
      <c r="I17" s="361" t="str">
        <f>名簿!O19</f>
        <v/>
      </c>
      <c r="J17" s="361">
        <f>名簿!I19</f>
        <v>0</v>
      </c>
      <c r="K17" s="807">
        <f>名簿!K19</f>
        <v>0</v>
      </c>
      <c r="L17" s="409" t="str">
        <f>名簿!BQ19</f>
        <v>00</v>
      </c>
      <c r="M17" s="19" t="str">
        <f>名簿!R19</f>
        <v/>
      </c>
      <c r="N17" s="689">
        <f>名簿!C19</f>
        <v>0</v>
      </c>
      <c r="O17" s="461"/>
      <c r="P17" s="187" t="str">
        <f>IF(O17="","",IF(I17=1,VLOOKUP(O17,男子種目コード!$A$1:$B$33,2,FALSE),IF(I17=2,VLOOKUP(O17,女子種目コード!$A$1:$B$28,2,FALSE))))</f>
        <v/>
      </c>
      <c r="Q17" s="299" t="str">
        <f>IF(O17="","",HLOOKUP(O17,名簿!$AB$8:$BG$58,12,FALSE))</f>
        <v/>
      </c>
      <c r="R17" s="362">
        <v>0</v>
      </c>
      <c r="S17" s="401">
        <v>2</v>
      </c>
      <c r="T17" s="200"/>
      <c r="U17" s="187" t="str">
        <f>IF(T17="","",IF(I17=1,VLOOKUP(T17,男子種目コード!$A$1:$B$33,2,FALSE),IF(I17=2,VLOOKUP(T17,女子種目コード!$A$1:$B$28,2,FALSE))))</f>
        <v/>
      </c>
      <c r="V17" s="299" t="str">
        <f>IF(T17="","",HLOOKUP(T17,名簿!$AB$8:$BG$58,12,FALSE))</f>
        <v/>
      </c>
      <c r="W17" s="204"/>
      <c r="X17" s="205" t="str">
        <f>IF(W17="","",IF(I17=1,VLOOKUP(W17,男子種目コード!$D$2:$E$30,2,FALSE),IF(I17=2,VLOOKUP(W17,女子種目コード!$D$2:$E$30,2,FALSE))))</f>
        <v/>
      </c>
      <c r="Y17" s="454"/>
      <c r="Z17" s="362"/>
      <c r="AA17" s="362"/>
      <c r="AB17" s="468"/>
      <c r="AC17" s="464" t="str">
        <f>IF(AB17="","",IF(I17=1,VLOOKUP(AB17,男子種目コード!$A$82:$B$85,2,FALSE),IF(I17=2,VLOOKUP(AB17,女子種目コード!$A$82:$B$85,2,FALSE))))</f>
        <v/>
      </c>
      <c r="AD17" s="454"/>
      <c r="AE17" s="362">
        <v>0</v>
      </c>
      <c r="AF17" s="362">
        <v>2</v>
      </c>
      <c r="AG17" s="455"/>
      <c r="AH17" s="104" t="str">
        <f>IF(AG17="","",IF(I17=1,VLOOKUP(AG17,男子種目コード!$A$78:$B$81,2,FALSE),IF(I17=2,VLOOKUP(AG17,女子種目コード!$A$78:$B$81,2,FALSE))))</f>
        <v/>
      </c>
      <c r="AI17" s="407"/>
      <c r="AJ17" s="344">
        <v>0</v>
      </c>
      <c r="AK17" s="344">
        <v>2</v>
      </c>
      <c r="AL17" s="354">
        <v>0</v>
      </c>
      <c r="AM17" s="354"/>
      <c r="AN17" s="103"/>
      <c r="AO17" s="422" t="s">
        <v>292</v>
      </c>
      <c r="AP17" s="103" t="str">
        <f t="shared" si="21"/>
        <v/>
      </c>
      <c r="AQ17" s="103" t="str">
        <f t="shared" si="6"/>
        <v/>
      </c>
      <c r="AR17" s="103"/>
      <c r="AS17" s="103"/>
      <c r="AT17" s="240" t="str">
        <f t="shared" si="7"/>
        <v/>
      </c>
      <c r="AU17" s="240">
        <f t="shared" si="1"/>
        <v>0</v>
      </c>
      <c r="AV17" s="240">
        <f t="shared" si="2"/>
        <v>0</v>
      </c>
      <c r="AW17" s="240">
        <f t="shared" si="3"/>
        <v>0</v>
      </c>
      <c r="AX17" s="240">
        <f t="shared" si="8"/>
        <v>0</v>
      </c>
      <c r="AY17" s="238" t="s">
        <v>292</v>
      </c>
      <c r="AZ17" s="238" t="s">
        <v>292</v>
      </c>
      <c r="BA17" s="4"/>
      <c r="BB17" s="4">
        <f t="shared" si="9"/>
        <v>0</v>
      </c>
      <c r="BC17" s="4">
        <f t="shared" si="10"/>
        <v>0</v>
      </c>
      <c r="BD17" s="4" t="str">
        <f t="shared" si="11"/>
        <v/>
      </c>
      <c r="BE17" s="4" t="str">
        <f t="shared" si="12"/>
        <v/>
      </c>
      <c r="BF17" s="311" t="s">
        <v>358</v>
      </c>
      <c r="BG17" s="438">
        <f>COUNTIF($P$7:$P$56,9)+COUNTIF($U$7:$U$56,9)</f>
        <v>0</v>
      </c>
      <c r="BH17" s="517" t="str">
        <f t="shared" ca="1" si="22"/>
        <v/>
      </c>
      <c r="BI17" s="518" t="str">
        <f t="shared" ca="1" si="23"/>
        <v/>
      </c>
      <c r="BJ17" s="519" t="str">
        <f t="shared" ca="1" si="24"/>
        <v/>
      </c>
      <c r="BK17" s="518" t="str">
        <f t="shared" ca="1" si="25"/>
        <v/>
      </c>
      <c r="BL17" s="519" t="str">
        <f t="shared" ca="1" si="26"/>
        <v/>
      </c>
      <c r="BM17" s="518" t="str">
        <f t="shared" ca="1" si="27"/>
        <v/>
      </c>
      <c r="BN17" s="519" t="str">
        <f t="shared" ca="1" si="28"/>
        <v/>
      </c>
      <c r="BO17" s="520" t="str">
        <f t="shared" ca="1" si="29"/>
        <v/>
      </c>
      <c r="BP17" s="179" t="e">
        <f ca="1">VLookUpX("男子B",$A$7:$F$56,2,5)</f>
        <v>#N/A</v>
      </c>
      <c r="BQ17" s="179" t="e">
        <f ca="1">VLookUpX("男子B",$A$7:$F$56,2,6)</f>
        <v>#N/A</v>
      </c>
      <c r="BR17" s="179" t="e">
        <f ca="1">VLookUpX("男子B",$C$7:$F$56,2,3)</f>
        <v>#N/A</v>
      </c>
      <c r="BS17" s="179" t="e">
        <f ca="1">VLookUpX("男子B",$C$7:$F$56,2,4)</f>
        <v>#N/A</v>
      </c>
      <c r="BT17" s="179" t="e">
        <f ca="1">VLookUpX("女子B",$A$7:$F$56,2,5)</f>
        <v>#N/A</v>
      </c>
      <c r="BU17" s="179" t="e">
        <f ca="1">VLookUpX("女子B",$A$7:$F$56,2,6)</f>
        <v>#N/A</v>
      </c>
      <c r="BV17" s="179" t="e">
        <f ca="1">VLookUpX("女子B",$C$7:$F$56,2,3)</f>
        <v>#N/A</v>
      </c>
      <c r="BW17" s="179" t="e">
        <f ca="1">VLookUpX("女子B",$C$7:$F$56,2,4)</f>
        <v>#N/A</v>
      </c>
    </row>
    <row r="18" spans="1:79" ht="14.25" thickBot="1">
      <c r="A18" s="5">
        <f t="shared" si="4"/>
        <v>0</v>
      </c>
      <c r="B18" s="18" t="str">
        <f>名簿!Q20</f>
        <v/>
      </c>
      <c r="C18" s="5">
        <f t="shared" si="5"/>
        <v>0</v>
      </c>
      <c r="D18" s="776" t="str">
        <f>名簿!D20</f>
        <v/>
      </c>
      <c r="E18" s="19">
        <f>名簿!E20</f>
        <v>0</v>
      </c>
      <c r="F18" s="205" t="str">
        <f>名簿!BN20</f>
        <v/>
      </c>
      <c r="G18" s="19" t="str">
        <f>名簿!Z20</f>
        <v/>
      </c>
      <c r="H18" s="122" t="str">
        <f t="shared" si="0"/>
        <v/>
      </c>
      <c r="I18" s="361" t="str">
        <f>名簿!O20</f>
        <v/>
      </c>
      <c r="J18" s="361">
        <f>名簿!I20</f>
        <v>0</v>
      </c>
      <c r="K18" s="807">
        <f>名簿!K20</f>
        <v>0</v>
      </c>
      <c r="L18" s="409" t="str">
        <f>名簿!BQ20</f>
        <v>00</v>
      </c>
      <c r="M18" s="19" t="str">
        <f>名簿!R20</f>
        <v/>
      </c>
      <c r="N18" s="689">
        <f>名簿!C20</f>
        <v>0</v>
      </c>
      <c r="O18" s="461"/>
      <c r="P18" s="187" t="str">
        <f>IF(O18="","",IF(I18=1,VLOOKUP(O18,男子種目コード!$A$1:$B$33,2,FALSE),IF(I18=2,VLOOKUP(O18,女子種目コード!$A$1:$B$28,2,FALSE))))</f>
        <v/>
      </c>
      <c r="Q18" s="299" t="str">
        <f>IF(O18="","",HLOOKUP(O18,名簿!$AB$8:$BG$58,13,FALSE))</f>
        <v/>
      </c>
      <c r="R18" s="362">
        <v>0</v>
      </c>
      <c r="S18" s="401">
        <v>2</v>
      </c>
      <c r="T18" s="200"/>
      <c r="U18" s="187" t="str">
        <f>IF(T18="","",IF(I18=1,VLOOKUP(T18,男子種目コード!$A$1:$B$33,2,FALSE),IF(I18=2,VLOOKUP(T18,女子種目コード!$A$1:$B$28,2,FALSE))))</f>
        <v/>
      </c>
      <c r="V18" s="299" t="str">
        <f>IF(T18="","",HLOOKUP(T18,名簿!$AB$8:$BG$58,13,FALSE))</f>
        <v/>
      </c>
      <c r="W18" s="204"/>
      <c r="X18" s="205" t="str">
        <f>IF(W18="","",IF(I18=1,VLOOKUP(W18,男子種目コード!$D$2:$E$30,2,FALSE),IF(I18=2,VLOOKUP(W18,女子種目コード!$D$2:$E$30,2,FALSE))))</f>
        <v/>
      </c>
      <c r="Y18" s="454"/>
      <c r="Z18" s="362"/>
      <c r="AA18" s="362"/>
      <c r="AB18" s="468"/>
      <c r="AC18" s="464" t="str">
        <f>IF(AB18="","",IF(I18=1,VLOOKUP(AB18,男子種目コード!$A$82:$B$85,2,FALSE),IF(I18=2,VLOOKUP(AB18,女子種目コード!$A$82:$B$85,2,FALSE))))</f>
        <v/>
      </c>
      <c r="AD18" s="454"/>
      <c r="AE18" s="362">
        <v>0</v>
      </c>
      <c r="AF18" s="362">
        <v>2</v>
      </c>
      <c r="AG18" s="455"/>
      <c r="AH18" s="104" t="str">
        <f>IF(AG18="","",IF(I18=1,VLOOKUP(AG18,男子種目コード!$A$78:$B$81,2,FALSE),IF(I18=2,VLOOKUP(AG18,女子種目コード!$A$78:$B$81,2,FALSE))))</f>
        <v/>
      </c>
      <c r="AI18" s="407"/>
      <c r="AJ18" s="344">
        <v>0</v>
      </c>
      <c r="AK18" s="344">
        <v>2</v>
      </c>
      <c r="AL18" s="354">
        <v>0</v>
      </c>
      <c r="AM18" s="354"/>
      <c r="AN18" s="103"/>
      <c r="AO18" s="422" t="s">
        <v>35</v>
      </c>
      <c r="AP18" s="103" t="str">
        <f t="shared" si="21"/>
        <v/>
      </c>
      <c r="AQ18" s="103" t="str">
        <f t="shared" si="6"/>
        <v/>
      </c>
      <c r="AR18" s="103"/>
      <c r="AS18" s="103"/>
      <c r="AT18" s="240" t="str">
        <f t="shared" si="7"/>
        <v/>
      </c>
      <c r="AU18" s="240">
        <f t="shared" si="1"/>
        <v>0</v>
      </c>
      <c r="AV18" s="240">
        <f t="shared" si="2"/>
        <v>0</v>
      </c>
      <c r="AW18" s="240">
        <f t="shared" si="3"/>
        <v>0</v>
      </c>
      <c r="AX18" s="240">
        <f t="shared" si="8"/>
        <v>0</v>
      </c>
      <c r="AY18" s="238" t="s">
        <v>35</v>
      </c>
      <c r="AZ18" s="238" t="s">
        <v>35</v>
      </c>
      <c r="BA18" s="4"/>
      <c r="BB18" s="4">
        <f t="shared" si="9"/>
        <v>0</v>
      </c>
      <c r="BC18" s="4">
        <f t="shared" si="10"/>
        <v>0</v>
      </c>
      <c r="BD18" s="4" t="str">
        <f t="shared" si="11"/>
        <v/>
      </c>
      <c r="BE18" s="4" t="str">
        <f t="shared" si="12"/>
        <v/>
      </c>
      <c r="BF18" s="311" t="s">
        <v>359</v>
      </c>
      <c r="BG18" s="438">
        <f>COUNTIF($P$7:$P$56,10)+COUNTIF($U$7:$U$56,10)</f>
        <v>0</v>
      </c>
      <c r="BH18" s="517" t="str">
        <f t="shared" ca="1" si="22"/>
        <v/>
      </c>
      <c r="BI18" s="518" t="str">
        <f t="shared" ca="1" si="23"/>
        <v/>
      </c>
      <c r="BJ18" s="519" t="str">
        <f t="shared" ca="1" si="24"/>
        <v/>
      </c>
      <c r="BK18" s="518" t="str">
        <f t="shared" ca="1" si="25"/>
        <v/>
      </c>
      <c r="BL18" s="519" t="str">
        <f t="shared" ca="1" si="26"/>
        <v/>
      </c>
      <c r="BM18" s="518" t="str">
        <f t="shared" ca="1" si="27"/>
        <v/>
      </c>
      <c r="BN18" s="519" t="str">
        <f t="shared" ca="1" si="28"/>
        <v/>
      </c>
      <c r="BO18" s="520" t="str">
        <f t="shared" ca="1" si="29"/>
        <v/>
      </c>
      <c r="BP18" s="179" t="e">
        <f ca="1">VLookUpX("男子B",$A$7:$F$56,3,5)</f>
        <v>#N/A</v>
      </c>
      <c r="BQ18" s="179" t="e">
        <f ca="1">VLookUpX("男子B",$A$7:$F$56,3,6)</f>
        <v>#N/A</v>
      </c>
      <c r="BR18" s="179" t="e">
        <f ca="1">VLookUpX("男子B",$C$7:$F$56,3,3)</f>
        <v>#N/A</v>
      </c>
      <c r="BS18" s="179" t="e">
        <f ca="1">VLookUpX("男子B",$C$7:$F$56,3,4)</f>
        <v>#N/A</v>
      </c>
      <c r="BT18" s="179" t="e">
        <f ca="1">VLookUpX("女子B",$A$7:$F$56,3,5)</f>
        <v>#N/A</v>
      </c>
      <c r="BU18" s="179" t="e">
        <f ca="1">VLookUpX("女子B",$A$7:$F$56,3,6)</f>
        <v>#N/A</v>
      </c>
      <c r="BV18" s="179" t="e">
        <f ca="1">VLookUpX("女子B",$C$7:$F$56,3,3)</f>
        <v>#N/A</v>
      </c>
      <c r="BW18" s="179" t="e">
        <f ca="1">VLookUpX("女子B",$C$7:$F$56,3,4)</f>
        <v>#N/A</v>
      </c>
    </row>
    <row r="19" spans="1:79" ht="14.25" thickBot="1">
      <c r="A19" s="5">
        <f t="shared" si="4"/>
        <v>0</v>
      </c>
      <c r="B19" s="18" t="str">
        <f>名簿!Q21</f>
        <v/>
      </c>
      <c r="C19" s="5">
        <f t="shared" si="5"/>
        <v>0</v>
      </c>
      <c r="D19" s="776" t="str">
        <f>名簿!D21</f>
        <v/>
      </c>
      <c r="E19" s="19">
        <f>名簿!E21</f>
        <v>0</v>
      </c>
      <c r="F19" s="205" t="str">
        <f>名簿!BN21</f>
        <v/>
      </c>
      <c r="G19" s="19" t="str">
        <f>名簿!Z21</f>
        <v/>
      </c>
      <c r="H19" s="122" t="str">
        <f t="shared" si="0"/>
        <v/>
      </c>
      <c r="I19" s="361" t="str">
        <f>名簿!O21</f>
        <v/>
      </c>
      <c r="J19" s="361">
        <f>名簿!I21</f>
        <v>0</v>
      </c>
      <c r="K19" s="807">
        <f>名簿!K21</f>
        <v>0</v>
      </c>
      <c r="L19" s="409" t="str">
        <f>名簿!BQ21</f>
        <v>00</v>
      </c>
      <c r="M19" s="19" t="str">
        <f>名簿!R21</f>
        <v/>
      </c>
      <c r="N19" s="689">
        <f>名簿!C21</f>
        <v>0</v>
      </c>
      <c r="O19" s="461"/>
      <c r="P19" s="187" t="str">
        <f>IF(O19="","",IF(I19=1,VLOOKUP(O19,男子種目コード!$A$1:$B$33,2,FALSE),IF(I19=2,VLOOKUP(O19,女子種目コード!$A$1:$B$28,2,FALSE))))</f>
        <v/>
      </c>
      <c r="Q19" s="299" t="str">
        <f>IF(O19="","",HLOOKUP(O19,名簿!$AB$8:$BG$58,14,FALSE))</f>
        <v/>
      </c>
      <c r="R19" s="362">
        <v>0</v>
      </c>
      <c r="S19" s="401">
        <v>2</v>
      </c>
      <c r="T19" s="200"/>
      <c r="U19" s="187" t="str">
        <f>IF(T19="","",IF(I19=1,VLOOKUP(T19,男子種目コード!$A$1:$B$33,2,FALSE),IF(I19=2,VLOOKUP(T19,女子種目コード!$A$1:$B$28,2,FALSE))))</f>
        <v/>
      </c>
      <c r="V19" s="299" t="str">
        <f>IF(T19="","",HLOOKUP(T19,名簿!$AB$8:$BG$58,14,FALSE))</f>
        <v/>
      </c>
      <c r="W19" s="204"/>
      <c r="X19" s="205" t="str">
        <f>IF(W19="","",IF(I19=1,VLOOKUP(W19,男子種目コード!$D$2:$E$30,2,FALSE),IF(I19=2,VLOOKUP(W19,女子種目コード!$D$2:$E$30,2,FALSE))))</f>
        <v/>
      </c>
      <c r="Y19" s="454"/>
      <c r="Z19" s="362"/>
      <c r="AA19" s="362"/>
      <c r="AB19" s="468"/>
      <c r="AC19" s="464" t="str">
        <f>IF(AB19="","",IF(I19=1,VLOOKUP(AB19,男子種目コード!$A$82:$B$85,2,FALSE),IF(I19=2,VLOOKUP(AB19,女子種目コード!$A$82:$B$85,2,FALSE))))</f>
        <v/>
      </c>
      <c r="AD19" s="454"/>
      <c r="AE19" s="362">
        <v>0</v>
      </c>
      <c r="AF19" s="362">
        <v>2</v>
      </c>
      <c r="AG19" s="455"/>
      <c r="AH19" s="104" t="str">
        <f>IF(AG19="","",IF(I19=1,VLOOKUP(AG19,男子種目コード!$A$78:$B$81,2,FALSE),IF(I19=2,VLOOKUP(AG19,女子種目コード!$A$78:$B$81,2,FALSE))))</f>
        <v/>
      </c>
      <c r="AI19" s="407"/>
      <c r="AJ19" s="344">
        <v>0</v>
      </c>
      <c r="AK19" s="344">
        <v>2</v>
      </c>
      <c r="AL19" s="354">
        <v>0</v>
      </c>
      <c r="AM19" s="354"/>
      <c r="AN19" s="103"/>
      <c r="AO19" s="422" t="s">
        <v>137</v>
      </c>
      <c r="AP19" s="103" t="str">
        <f t="shared" si="21"/>
        <v/>
      </c>
      <c r="AQ19" s="103" t="str">
        <f t="shared" si="6"/>
        <v/>
      </c>
      <c r="AR19" s="103"/>
      <c r="AS19" s="103"/>
      <c r="AT19" s="240" t="str">
        <f t="shared" si="7"/>
        <v/>
      </c>
      <c r="AU19" s="240">
        <f t="shared" si="1"/>
        <v>0</v>
      </c>
      <c r="AV19" s="240">
        <f t="shared" si="2"/>
        <v>0</v>
      </c>
      <c r="AW19" s="240">
        <f t="shared" si="3"/>
        <v>0</v>
      </c>
      <c r="AX19" s="240">
        <f t="shared" si="8"/>
        <v>0</v>
      </c>
      <c r="AY19" s="238" t="s">
        <v>137</v>
      </c>
      <c r="AZ19" s="238" t="s">
        <v>137</v>
      </c>
      <c r="BA19" s="4"/>
      <c r="BB19" s="4">
        <f t="shared" si="9"/>
        <v>0</v>
      </c>
      <c r="BC19" s="4">
        <f t="shared" si="10"/>
        <v>0</v>
      </c>
      <c r="BD19" s="4" t="str">
        <f t="shared" si="11"/>
        <v/>
      </c>
      <c r="BE19" s="4" t="str">
        <f t="shared" si="12"/>
        <v/>
      </c>
      <c r="BF19" s="311" t="s">
        <v>360</v>
      </c>
      <c r="BG19" s="438">
        <f>COUNTIF($P$7:$P$56,12)+COUNTIF($U$7:$U$56,12)</f>
        <v>0</v>
      </c>
      <c r="BH19" s="517" t="str">
        <f t="shared" ca="1" si="22"/>
        <v/>
      </c>
      <c r="BI19" s="518" t="str">
        <f t="shared" ca="1" si="23"/>
        <v/>
      </c>
      <c r="BJ19" s="519" t="str">
        <f t="shared" ca="1" si="24"/>
        <v/>
      </c>
      <c r="BK19" s="518" t="str">
        <f t="shared" ca="1" si="25"/>
        <v/>
      </c>
      <c r="BL19" s="519" t="str">
        <f t="shared" ca="1" si="26"/>
        <v/>
      </c>
      <c r="BM19" s="518" t="str">
        <f t="shared" ca="1" si="27"/>
        <v/>
      </c>
      <c r="BN19" s="519" t="str">
        <f t="shared" ca="1" si="28"/>
        <v/>
      </c>
      <c r="BO19" s="520" t="str">
        <f t="shared" ca="1" si="29"/>
        <v/>
      </c>
      <c r="BP19" s="179" t="e">
        <f ca="1">VLookUpX("男子B",$A$7:$F$56,4,5)</f>
        <v>#N/A</v>
      </c>
      <c r="BQ19" s="179" t="e">
        <f ca="1">VLookUpX("男子B",$A$7:$F$56,4,6)</f>
        <v>#N/A</v>
      </c>
      <c r="BR19" s="179" t="e">
        <f ca="1">VLookUpX("男子B",$C$7:$F$56,4,3)</f>
        <v>#N/A</v>
      </c>
      <c r="BS19" s="179" t="e">
        <f ca="1">VLookUpX("男子B",$C$7:$F$56,4,4)</f>
        <v>#N/A</v>
      </c>
      <c r="BT19" s="179" t="e">
        <f ca="1">VLookUpX("女子B",$A$7:$F$56,4,5)</f>
        <v>#N/A</v>
      </c>
      <c r="BU19" s="179" t="e">
        <f ca="1">VLookUpX("女子B",$A$7:$F$56,4,6)</f>
        <v>#N/A</v>
      </c>
      <c r="BV19" s="179" t="e">
        <f ca="1">VLookUpX("女子B",$C$7:$F$56,4,3)</f>
        <v>#N/A</v>
      </c>
      <c r="BW19" s="179" t="e">
        <f ca="1">VLookUpX("女子B",$C$7:$F$56,4,4)</f>
        <v>#N/A</v>
      </c>
    </row>
    <row r="20" spans="1:79" ht="14.25" thickBot="1">
      <c r="A20" s="5">
        <f t="shared" si="4"/>
        <v>0</v>
      </c>
      <c r="B20" s="18" t="str">
        <f>名簿!Q22</f>
        <v/>
      </c>
      <c r="C20" s="5">
        <f t="shared" si="5"/>
        <v>0</v>
      </c>
      <c r="D20" s="776" t="str">
        <f>名簿!D22</f>
        <v/>
      </c>
      <c r="E20" s="19">
        <f>名簿!E22</f>
        <v>0</v>
      </c>
      <c r="F20" s="205" t="str">
        <f>名簿!BN22</f>
        <v/>
      </c>
      <c r="G20" s="19" t="str">
        <f>名簿!Z22</f>
        <v/>
      </c>
      <c r="H20" s="122" t="str">
        <f t="shared" si="0"/>
        <v/>
      </c>
      <c r="I20" s="361" t="str">
        <f>名簿!O22</f>
        <v/>
      </c>
      <c r="J20" s="361">
        <f>名簿!I22</f>
        <v>0</v>
      </c>
      <c r="K20" s="807">
        <f>名簿!K22</f>
        <v>0</v>
      </c>
      <c r="L20" s="409" t="str">
        <f>名簿!BQ22</f>
        <v>00</v>
      </c>
      <c r="M20" s="19" t="str">
        <f>名簿!R22</f>
        <v/>
      </c>
      <c r="N20" s="689">
        <f>名簿!C22</f>
        <v>0</v>
      </c>
      <c r="O20" s="461"/>
      <c r="P20" s="187" t="str">
        <f>IF(O20="","",IF(I20=1,VLOOKUP(O20,男子種目コード!$A$1:$B$33,2,FALSE),IF(I20=2,VLOOKUP(O20,女子種目コード!$A$1:$B$28,2,FALSE))))</f>
        <v/>
      </c>
      <c r="Q20" s="299" t="str">
        <f>IF(O20="","",HLOOKUP(O20,名簿!$AB$8:$BG$58,15,FALSE))</f>
        <v/>
      </c>
      <c r="R20" s="362">
        <v>0</v>
      </c>
      <c r="S20" s="401">
        <v>2</v>
      </c>
      <c r="T20" s="200"/>
      <c r="U20" s="187" t="str">
        <f>IF(T20="","",IF(I20=1,VLOOKUP(T20,男子種目コード!$A$1:$B$33,2,FALSE),IF(I20=2,VLOOKUP(T20,女子種目コード!$A$1:$B$28,2,FALSE))))</f>
        <v/>
      </c>
      <c r="V20" s="299" t="str">
        <f>IF(T20="","",HLOOKUP(T20,名簿!$AB$8:$BG$58,15,FALSE))</f>
        <v/>
      </c>
      <c r="W20" s="204"/>
      <c r="X20" s="205" t="str">
        <f>IF(W20="","",IF(I20=1,VLOOKUP(W20,男子種目コード!$D$2:$E$30,2,FALSE),IF(I20=2,VLOOKUP(W20,女子種目コード!$D$2:$E$30,2,FALSE))))</f>
        <v/>
      </c>
      <c r="Y20" s="454"/>
      <c r="Z20" s="362"/>
      <c r="AA20" s="362"/>
      <c r="AB20" s="468"/>
      <c r="AC20" s="464" t="str">
        <f>IF(AB20="","",IF(I20=1,VLOOKUP(AB20,男子種目コード!$A$82:$B$85,2,FALSE),IF(I20=2,VLOOKUP(AB20,女子種目コード!$A$82:$B$85,2,FALSE))))</f>
        <v/>
      </c>
      <c r="AD20" s="454"/>
      <c r="AE20" s="362">
        <v>0</v>
      </c>
      <c r="AF20" s="362">
        <v>2</v>
      </c>
      <c r="AG20" s="455"/>
      <c r="AH20" s="104" t="str">
        <f>IF(AG20="","",IF(I20=1,VLOOKUP(AG20,男子種目コード!$A$78:$B$81,2,FALSE),IF(I20=2,VLOOKUP(AG20,女子種目コード!$A$78:$B$81,2,FALSE))))</f>
        <v/>
      </c>
      <c r="AI20" s="407"/>
      <c r="AJ20" s="344">
        <v>0</v>
      </c>
      <c r="AK20" s="344">
        <v>2</v>
      </c>
      <c r="AL20" s="354">
        <v>0</v>
      </c>
      <c r="AM20" s="354"/>
      <c r="AN20" s="103"/>
      <c r="AO20" s="422" t="s">
        <v>136</v>
      </c>
      <c r="AP20" s="103" t="str">
        <f t="shared" si="21"/>
        <v/>
      </c>
      <c r="AQ20" s="103" t="str">
        <f t="shared" si="6"/>
        <v/>
      </c>
      <c r="AR20" s="103"/>
      <c r="AS20" s="103"/>
      <c r="AT20" s="240" t="str">
        <f t="shared" si="7"/>
        <v/>
      </c>
      <c r="AU20" s="240">
        <f t="shared" si="1"/>
        <v>0</v>
      </c>
      <c r="AV20" s="240">
        <f t="shared" si="2"/>
        <v>0</v>
      </c>
      <c r="AW20" s="240">
        <f t="shared" si="3"/>
        <v>0</v>
      </c>
      <c r="AX20" s="240">
        <f t="shared" si="8"/>
        <v>0</v>
      </c>
      <c r="AY20" s="238" t="s">
        <v>136</v>
      </c>
      <c r="AZ20" s="238" t="s">
        <v>136</v>
      </c>
      <c r="BA20" s="4"/>
      <c r="BB20" s="4">
        <f t="shared" si="9"/>
        <v>0</v>
      </c>
      <c r="BC20" s="4">
        <f t="shared" si="10"/>
        <v>0</v>
      </c>
      <c r="BD20" s="4" t="str">
        <f t="shared" si="11"/>
        <v/>
      </c>
      <c r="BE20" s="4" t="str">
        <f t="shared" si="12"/>
        <v/>
      </c>
      <c r="BF20" s="311" t="s">
        <v>35</v>
      </c>
      <c r="BG20" s="438">
        <f>COUNTIF($P$7:$P$56,15)+COUNTIF($U$7:$U$56,15)</f>
        <v>0</v>
      </c>
      <c r="BH20" s="517" t="str">
        <f t="shared" ca="1" si="22"/>
        <v/>
      </c>
      <c r="BI20" s="518" t="str">
        <f t="shared" ca="1" si="23"/>
        <v/>
      </c>
      <c r="BJ20" s="519" t="str">
        <f t="shared" ca="1" si="24"/>
        <v/>
      </c>
      <c r="BK20" s="518" t="str">
        <f t="shared" ca="1" si="25"/>
        <v/>
      </c>
      <c r="BL20" s="519" t="str">
        <f t="shared" ca="1" si="26"/>
        <v/>
      </c>
      <c r="BM20" s="518" t="str">
        <f t="shared" ca="1" si="27"/>
        <v/>
      </c>
      <c r="BN20" s="519" t="str">
        <f t="shared" ca="1" si="28"/>
        <v/>
      </c>
      <c r="BO20" s="520" t="str">
        <f t="shared" ca="1" si="29"/>
        <v/>
      </c>
      <c r="BP20" s="179" t="e">
        <f ca="1">VLookUpX("男子B",$A$7:$F$56,5,5)</f>
        <v>#N/A</v>
      </c>
      <c r="BQ20" s="179" t="e">
        <f ca="1">VLookUpX("男子B",$A$7:$F$56,5,6)</f>
        <v>#N/A</v>
      </c>
      <c r="BR20" s="179" t="e">
        <f ca="1">VLookUpX("男子B",$C$7:$F$56,5,3)</f>
        <v>#N/A</v>
      </c>
      <c r="BS20" s="179" t="e">
        <f ca="1">VLookUpX("男子B",$C$7:$F$56,5,4)</f>
        <v>#N/A</v>
      </c>
      <c r="BT20" s="179" t="e">
        <f ca="1">VLookUpX("女子B",$A$7:$F$56,5,5)</f>
        <v>#N/A</v>
      </c>
      <c r="BU20" s="179" t="e">
        <f ca="1">VLookUpX("女子B",$A$7:$F$56,5,6)</f>
        <v>#N/A</v>
      </c>
      <c r="BV20" s="179" t="e">
        <f ca="1">VLookUpX("女子B",$C$7:$F$56,5,3)</f>
        <v>#N/A</v>
      </c>
      <c r="BW20" s="179" t="e">
        <f ca="1">VLookUpX("女子B",$C$7:$F$56,5,4)</f>
        <v>#N/A</v>
      </c>
    </row>
    <row r="21" spans="1:79" ht="14.25" thickBot="1">
      <c r="A21" s="5">
        <f t="shared" si="4"/>
        <v>0</v>
      </c>
      <c r="B21" s="18" t="str">
        <f>名簿!Q23</f>
        <v/>
      </c>
      <c r="C21" s="5">
        <f t="shared" si="5"/>
        <v>0</v>
      </c>
      <c r="D21" s="776" t="str">
        <f>名簿!D23</f>
        <v/>
      </c>
      <c r="E21" s="19">
        <f>名簿!E23</f>
        <v>0</v>
      </c>
      <c r="F21" s="205" t="str">
        <f>名簿!BN23</f>
        <v/>
      </c>
      <c r="G21" s="19" t="str">
        <f>名簿!Z23</f>
        <v/>
      </c>
      <c r="H21" s="122" t="str">
        <f t="shared" si="0"/>
        <v/>
      </c>
      <c r="I21" s="361" t="str">
        <f>名簿!O23</f>
        <v/>
      </c>
      <c r="J21" s="361">
        <f>名簿!I23</f>
        <v>0</v>
      </c>
      <c r="K21" s="807">
        <f>名簿!K23</f>
        <v>0</v>
      </c>
      <c r="L21" s="409" t="str">
        <f>名簿!BQ23</f>
        <v>00</v>
      </c>
      <c r="M21" s="19" t="str">
        <f>名簿!R23</f>
        <v/>
      </c>
      <c r="N21" s="689">
        <f>名簿!C23</f>
        <v>0</v>
      </c>
      <c r="O21" s="461"/>
      <c r="P21" s="187" t="str">
        <f>IF(O21="","",IF(I21=1,VLOOKUP(O21,男子種目コード!$A$1:$B$33,2,FALSE),IF(I21=2,VLOOKUP(O21,女子種目コード!$A$1:$B$28,2,FALSE))))</f>
        <v/>
      </c>
      <c r="Q21" s="299" t="str">
        <f>IF(O21="","",HLOOKUP(O21,名簿!$AB$8:$BG$58,16,FALSE))</f>
        <v/>
      </c>
      <c r="R21" s="362">
        <v>0</v>
      </c>
      <c r="S21" s="401">
        <v>2</v>
      </c>
      <c r="T21" s="200"/>
      <c r="U21" s="187" t="str">
        <f>IF(T21="","",IF(I21=1,VLOOKUP(T21,男子種目コード!$A$1:$B$33,2,FALSE),IF(I21=2,VLOOKUP(T21,女子種目コード!$A$1:$B$28,2,FALSE))))</f>
        <v/>
      </c>
      <c r="V21" s="299" t="str">
        <f>IF(T21="","",HLOOKUP(T21,名簿!$AB$8:$BG$58,16,FALSE))</f>
        <v/>
      </c>
      <c r="W21" s="204"/>
      <c r="X21" s="205" t="str">
        <f>IF(W21="","",IF(I21=1,VLOOKUP(W21,男子種目コード!$D$2:$E$30,2,FALSE),IF(I21=2,VLOOKUP(W21,女子種目コード!$D$2:$E$30,2,FALSE))))</f>
        <v/>
      </c>
      <c r="Y21" s="454"/>
      <c r="Z21" s="362"/>
      <c r="AA21" s="362"/>
      <c r="AB21" s="468"/>
      <c r="AC21" s="464" t="str">
        <f>IF(AB21="","",IF(I21=1,VLOOKUP(AB21,男子種目コード!$A$82:$B$85,2,FALSE),IF(I21=2,VLOOKUP(AB21,女子種目コード!$A$82:$B$85,2,FALSE))))</f>
        <v/>
      </c>
      <c r="AD21" s="454"/>
      <c r="AE21" s="362">
        <v>0</v>
      </c>
      <c r="AF21" s="362">
        <v>2</v>
      </c>
      <c r="AG21" s="455"/>
      <c r="AH21" s="104" t="str">
        <f>IF(AG21="","",IF(I21=1,VLOOKUP(AG21,男子種目コード!$A$78:$B$81,2,FALSE),IF(I21=2,VLOOKUP(AG21,女子種目コード!$A$78:$B$81,2,FALSE))))</f>
        <v/>
      </c>
      <c r="AI21" s="407"/>
      <c r="AJ21" s="344">
        <v>0</v>
      </c>
      <c r="AK21" s="344">
        <v>2</v>
      </c>
      <c r="AL21" s="354">
        <v>0</v>
      </c>
      <c r="AM21" s="354"/>
      <c r="AN21" s="103"/>
      <c r="AO21" s="422" t="s">
        <v>141</v>
      </c>
      <c r="AP21" s="103" t="str">
        <f t="shared" si="21"/>
        <v/>
      </c>
      <c r="AQ21" s="103" t="str">
        <f t="shared" si="6"/>
        <v/>
      </c>
      <c r="AR21" s="103"/>
      <c r="AS21" s="103"/>
      <c r="AT21" s="240" t="str">
        <f t="shared" si="7"/>
        <v/>
      </c>
      <c r="AU21" s="240">
        <f t="shared" si="1"/>
        <v>0</v>
      </c>
      <c r="AV21" s="240">
        <f t="shared" si="2"/>
        <v>0</v>
      </c>
      <c r="AW21" s="240">
        <f t="shared" si="3"/>
        <v>0</v>
      </c>
      <c r="AX21" s="240">
        <f t="shared" si="8"/>
        <v>0</v>
      </c>
      <c r="AY21" s="238" t="s">
        <v>141</v>
      </c>
      <c r="AZ21" s="238" t="s">
        <v>141</v>
      </c>
      <c r="BA21" s="4"/>
      <c r="BB21" s="4">
        <f t="shared" si="9"/>
        <v>0</v>
      </c>
      <c r="BC21" s="4">
        <f t="shared" si="10"/>
        <v>0</v>
      </c>
      <c r="BD21" s="4" t="str">
        <f t="shared" si="11"/>
        <v/>
      </c>
      <c r="BE21" s="4" t="str">
        <f t="shared" si="12"/>
        <v/>
      </c>
      <c r="BF21" s="311" t="s">
        <v>137</v>
      </c>
      <c r="BG21" s="438">
        <f>COUNTIF($P$7:$P$56,16)+COUNTIF($U$7:$U$56,16)</f>
        <v>0</v>
      </c>
      <c r="BH21" s="521" t="str">
        <f t="shared" ca="1" si="22"/>
        <v/>
      </c>
      <c r="BI21" s="522" t="str">
        <f t="shared" ca="1" si="23"/>
        <v/>
      </c>
      <c r="BJ21" s="523" t="str">
        <f t="shared" ca="1" si="24"/>
        <v/>
      </c>
      <c r="BK21" s="522" t="str">
        <f t="shared" ca="1" si="25"/>
        <v/>
      </c>
      <c r="BL21" s="523" t="str">
        <f t="shared" ca="1" si="26"/>
        <v/>
      </c>
      <c r="BM21" s="522" t="str">
        <f t="shared" ca="1" si="27"/>
        <v/>
      </c>
      <c r="BN21" s="523" t="str">
        <f t="shared" ca="1" si="28"/>
        <v/>
      </c>
      <c r="BO21" s="524" t="str">
        <f t="shared" ca="1" si="29"/>
        <v/>
      </c>
      <c r="BP21" s="179" t="e">
        <f ca="1">VLookUpX("男子B",$A$7:$F$56,6,5)</f>
        <v>#N/A</v>
      </c>
      <c r="BQ21" s="179" t="e">
        <f ca="1">VLookUpX("男子B",$A$7:$F$56,6,6)</f>
        <v>#N/A</v>
      </c>
      <c r="BR21" s="179" t="e">
        <f ca="1">VLookUpX("男子B",$C$7:$F$56,6,3)</f>
        <v>#N/A</v>
      </c>
      <c r="BS21" s="179" t="e">
        <f ca="1">VLookUpX("男子B",$C$7:$F$56,6,4)</f>
        <v>#N/A</v>
      </c>
      <c r="BT21" s="179" t="e">
        <f ca="1">VLookUpX("女子B",$A$7:$F$56,6,5)</f>
        <v>#N/A</v>
      </c>
      <c r="BU21" s="179" t="e">
        <f ca="1">VLookUpX("女子B",$A$7:$F$56,6,6)</f>
        <v>#N/A</v>
      </c>
      <c r="BV21" s="179" t="e">
        <f ca="1">VLookUpX("女子B",$C$7:$F$56,6,3)</f>
        <v>#N/A</v>
      </c>
      <c r="BW21" s="179" t="e">
        <f ca="1">VLookUpX("女子B",$C$7:$F$56,6,4)</f>
        <v>#N/A</v>
      </c>
    </row>
    <row r="22" spans="1:79" ht="14.25" thickBot="1">
      <c r="A22" s="5">
        <f t="shared" si="4"/>
        <v>0</v>
      </c>
      <c r="B22" s="18" t="str">
        <f>名簿!Q24</f>
        <v/>
      </c>
      <c r="C22" s="5">
        <f t="shared" si="5"/>
        <v>0</v>
      </c>
      <c r="D22" s="776" t="str">
        <f>名簿!D24</f>
        <v/>
      </c>
      <c r="E22" s="19">
        <f>名簿!E24</f>
        <v>0</v>
      </c>
      <c r="F22" s="205" t="str">
        <f>名簿!BN24</f>
        <v/>
      </c>
      <c r="G22" s="19" t="str">
        <f>名簿!Z24</f>
        <v/>
      </c>
      <c r="H22" s="122" t="str">
        <f t="shared" si="0"/>
        <v/>
      </c>
      <c r="I22" s="361" t="str">
        <f>名簿!O24</f>
        <v/>
      </c>
      <c r="J22" s="361">
        <f>名簿!I24</f>
        <v>0</v>
      </c>
      <c r="K22" s="807">
        <f>名簿!K24</f>
        <v>0</v>
      </c>
      <c r="L22" s="409" t="str">
        <f>名簿!BQ24</f>
        <v>00</v>
      </c>
      <c r="M22" s="19" t="str">
        <f>名簿!R24</f>
        <v/>
      </c>
      <c r="N22" s="689">
        <f>名簿!C24</f>
        <v>0</v>
      </c>
      <c r="O22" s="461"/>
      <c r="P22" s="187" t="str">
        <f>IF(O22="","",IF(I22=1,VLOOKUP(O22,男子種目コード!$A$1:$B$33,2,FALSE),IF(I22=2,VLOOKUP(O22,女子種目コード!$A$1:$B$28,2,FALSE))))</f>
        <v/>
      </c>
      <c r="Q22" s="299" t="str">
        <f>IF(O22="","",HLOOKUP(O22,名簿!$AB$8:$BG$58,17,FALSE))</f>
        <v/>
      </c>
      <c r="R22" s="362">
        <v>0</v>
      </c>
      <c r="S22" s="401">
        <v>2</v>
      </c>
      <c r="T22" s="200"/>
      <c r="U22" s="187" t="str">
        <f>IF(T22="","",IF(I22=1,VLOOKUP(T22,男子種目コード!$A$1:$B$33,2,FALSE),IF(I22=2,VLOOKUP(T22,女子種目コード!$A$1:$B$28,2,FALSE))))</f>
        <v/>
      </c>
      <c r="V22" s="299" t="str">
        <f>IF(T22="","",HLOOKUP(T22,名簿!$AB$8:$BG$58,17,FALSE))</f>
        <v/>
      </c>
      <c r="W22" s="204"/>
      <c r="X22" s="205" t="str">
        <f>IF(W22="","",IF(I22=1,VLOOKUP(W22,男子種目コード!$D$2:$E$30,2,FALSE),IF(I22=2,VLOOKUP(W22,女子種目コード!$D$2:$E$30,2,FALSE))))</f>
        <v/>
      </c>
      <c r="Y22" s="454"/>
      <c r="Z22" s="362"/>
      <c r="AA22" s="362"/>
      <c r="AB22" s="468"/>
      <c r="AC22" s="464" t="str">
        <f>IF(AB22="","",IF(I22=1,VLOOKUP(AB22,男子種目コード!$A$82:$B$85,2,FALSE),IF(I22=2,VLOOKUP(AB22,女子種目コード!$A$82:$B$85,2,FALSE))))</f>
        <v/>
      </c>
      <c r="AD22" s="454"/>
      <c r="AE22" s="362">
        <v>0</v>
      </c>
      <c r="AF22" s="362">
        <v>2</v>
      </c>
      <c r="AG22" s="455"/>
      <c r="AH22" s="104" t="str">
        <f>IF(AG22="","",IF(I22=1,VLOOKUP(AG22,男子種目コード!$A$78:$B$81,2,FALSE),IF(I22=2,VLOOKUP(AG22,女子種目コード!$A$78:$B$81,2,FALSE))))</f>
        <v/>
      </c>
      <c r="AI22" s="407"/>
      <c r="AJ22" s="344">
        <v>0</v>
      </c>
      <c r="AK22" s="344">
        <v>2</v>
      </c>
      <c r="AL22" s="354">
        <v>0</v>
      </c>
      <c r="AM22" s="354"/>
      <c r="AN22" s="103"/>
      <c r="AO22" s="422" t="s">
        <v>142</v>
      </c>
      <c r="AP22" s="103" t="str">
        <f t="shared" si="21"/>
        <v/>
      </c>
      <c r="AQ22" s="103" t="str">
        <f t="shared" si="6"/>
        <v/>
      </c>
      <c r="AR22" s="103"/>
      <c r="AS22" s="103"/>
      <c r="AT22" s="240" t="str">
        <f t="shared" si="7"/>
        <v/>
      </c>
      <c r="AU22" s="240">
        <f t="shared" si="1"/>
        <v>0</v>
      </c>
      <c r="AV22" s="240">
        <f t="shared" si="2"/>
        <v>0</v>
      </c>
      <c r="AW22" s="240">
        <f t="shared" si="3"/>
        <v>0</v>
      </c>
      <c r="AX22" s="240">
        <f t="shared" si="8"/>
        <v>0</v>
      </c>
      <c r="AY22" s="238" t="s">
        <v>142</v>
      </c>
      <c r="AZ22" s="238" t="s">
        <v>142</v>
      </c>
      <c r="BA22" s="4"/>
      <c r="BB22" s="4">
        <f t="shared" si="9"/>
        <v>0</v>
      </c>
      <c r="BC22" s="4">
        <f t="shared" si="10"/>
        <v>0</v>
      </c>
      <c r="BD22" s="4" t="str">
        <f t="shared" si="11"/>
        <v/>
      </c>
      <c r="BE22" s="4" t="str">
        <f t="shared" si="12"/>
        <v/>
      </c>
      <c r="BF22" s="311" t="s">
        <v>136</v>
      </c>
      <c r="BG22" s="438">
        <f>COUNTIF($P$7:$P$56,17)+COUNTIF($U$7:$U$56,17)</f>
        <v>0</v>
      </c>
      <c r="BH22" s="452" t="s">
        <v>364</v>
      </c>
      <c r="BI22" s="440"/>
      <c r="BJ22" s="439" t="s">
        <v>368</v>
      </c>
      <c r="BK22" s="440"/>
      <c r="BL22" s="441" t="s">
        <v>372</v>
      </c>
      <c r="BM22" s="442"/>
      <c r="BN22" s="441" t="s">
        <v>376</v>
      </c>
      <c r="BO22" s="453"/>
    </row>
    <row r="23" spans="1:79" ht="14.25" thickBot="1">
      <c r="A23" s="5">
        <f t="shared" si="4"/>
        <v>0</v>
      </c>
      <c r="B23" s="18" t="str">
        <f>名簿!Q25</f>
        <v/>
      </c>
      <c r="C23" s="5">
        <f t="shared" si="5"/>
        <v>0</v>
      </c>
      <c r="D23" s="776" t="str">
        <f>名簿!D25</f>
        <v/>
      </c>
      <c r="E23" s="19">
        <f>名簿!E25</f>
        <v>0</v>
      </c>
      <c r="F23" s="205" t="str">
        <f>名簿!BN25</f>
        <v/>
      </c>
      <c r="G23" s="19" t="str">
        <f>名簿!Z25</f>
        <v/>
      </c>
      <c r="H23" s="122" t="str">
        <f t="shared" si="0"/>
        <v/>
      </c>
      <c r="I23" s="361" t="str">
        <f>名簿!O25</f>
        <v/>
      </c>
      <c r="J23" s="361">
        <f>名簿!I25</f>
        <v>0</v>
      </c>
      <c r="K23" s="807">
        <f>名簿!K25</f>
        <v>0</v>
      </c>
      <c r="L23" s="409" t="str">
        <f>名簿!BQ25</f>
        <v>00</v>
      </c>
      <c r="M23" s="19" t="str">
        <f>名簿!R25</f>
        <v/>
      </c>
      <c r="N23" s="689">
        <f>名簿!C25</f>
        <v>0</v>
      </c>
      <c r="O23" s="461"/>
      <c r="P23" s="187" t="str">
        <f>IF(O23="","",IF(I23=1,VLOOKUP(O23,男子種目コード!$A$1:$B$33,2,FALSE),IF(I23=2,VLOOKUP(O23,女子種目コード!$A$1:$B$28,2,FALSE))))</f>
        <v/>
      </c>
      <c r="Q23" s="299" t="str">
        <f>IF(O23="","",HLOOKUP(O23,名簿!$AB$8:$BG$58,18,FALSE))</f>
        <v/>
      </c>
      <c r="R23" s="362">
        <v>0</v>
      </c>
      <c r="S23" s="401">
        <v>2</v>
      </c>
      <c r="T23" s="200"/>
      <c r="U23" s="187" t="str">
        <f>IF(T23="","",IF(I23=1,VLOOKUP(T23,男子種目コード!$A$1:$B$33,2,FALSE),IF(I23=2,VLOOKUP(T23,女子種目コード!$A$1:$B$28,2,FALSE))))</f>
        <v/>
      </c>
      <c r="V23" s="299" t="str">
        <f>IF(T23="","",HLOOKUP(T23,名簿!$AB$8:$BG$58,18,FALSE))</f>
        <v/>
      </c>
      <c r="W23" s="204"/>
      <c r="X23" s="205" t="str">
        <f>IF(W23="","",IF(I23=1,VLOOKUP(W23,男子種目コード!$D$2:$E$30,2,FALSE),IF(I23=2,VLOOKUP(W23,女子種目コード!$D$2:$E$30,2,FALSE))))</f>
        <v/>
      </c>
      <c r="Y23" s="454"/>
      <c r="Z23" s="362"/>
      <c r="AA23" s="362"/>
      <c r="AB23" s="468"/>
      <c r="AC23" s="464" t="str">
        <f>IF(AB23="","",IF(I23=1,VLOOKUP(AB23,男子種目コード!$A$82:$B$85,2,FALSE),IF(I23=2,VLOOKUP(AB23,女子種目コード!$A$82:$B$85,2,FALSE))))</f>
        <v/>
      </c>
      <c r="AD23" s="454"/>
      <c r="AE23" s="362">
        <v>0</v>
      </c>
      <c r="AF23" s="362">
        <v>2</v>
      </c>
      <c r="AG23" s="455"/>
      <c r="AH23" s="104" t="str">
        <f>IF(AG23="","",IF(I23=1,VLOOKUP(AG23,男子種目コード!$A$78:$B$81,2,FALSE),IF(I23=2,VLOOKUP(AG23,女子種目コード!$A$78:$B$81,2,FALSE))))</f>
        <v/>
      </c>
      <c r="AI23" s="407"/>
      <c r="AJ23" s="344">
        <v>0</v>
      </c>
      <c r="AK23" s="344">
        <v>2</v>
      </c>
      <c r="AL23" s="354">
        <v>0</v>
      </c>
      <c r="AM23" s="354"/>
      <c r="AN23" s="103"/>
      <c r="AO23" s="422" t="s">
        <v>138</v>
      </c>
      <c r="AP23" s="103" t="str">
        <f t="shared" si="21"/>
        <v/>
      </c>
      <c r="AQ23" s="103" t="str">
        <f t="shared" si="6"/>
        <v/>
      </c>
      <c r="AR23" s="103"/>
      <c r="AS23" s="103"/>
      <c r="AT23" s="240" t="str">
        <f t="shared" si="7"/>
        <v/>
      </c>
      <c r="AU23" s="240">
        <f t="shared" si="1"/>
        <v>0</v>
      </c>
      <c r="AV23" s="240">
        <f t="shared" si="2"/>
        <v>0</v>
      </c>
      <c r="AW23" s="240">
        <f t="shared" si="3"/>
        <v>0</v>
      </c>
      <c r="AX23" s="240">
        <f t="shared" si="8"/>
        <v>0</v>
      </c>
      <c r="AY23" s="238" t="s">
        <v>181</v>
      </c>
      <c r="AZ23" s="238" t="s">
        <v>138</v>
      </c>
      <c r="BA23" s="4"/>
      <c r="BB23" s="4">
        <f t="shared" si="9"/>
        <v>0</v>
      </c>
      <c r="BC23" s="4">
        <f t="shared" si="10"/>
        <v>0</v>
      </c>
      <c r="BD23" s="4" t="str">
        <f t="shared" si="11"/>
        <v/>
      </c>
      <c r="BE23" s="4" t="str">
        <f t="shared" si="12"/>
        <v/>
      </c>
      <c r="BF23" s="311" t="s">
        <v>141</v>
      </c>
      <c r="BG23" s="438">
        <f>COUNTIF($P$7:$P$56,18)+COUNTIF($U$7:$U$56,18)</f>
        <v>0</v>
      </c>
      <c r="BH23" s="451" t="s">
        <v>239</v>
      </c>
      <c r="BI23" s="589"/>
      <c r="BJ23" s="446" t="s">
        <v>239</v>
      </c>
      <c r="BK23" s="589"/>
      <c r="BL23" s="446" t="s">
        <v>239</v>
      </c>
      <c r="BM23" s="589"/>
      <c r="BN23" s="446" t="s">
        <v>239</v>
      </c>
      <c r="BO23" s="590"/>
    </row>
    <row r="24" spans="1:79" ht="14.25" thickBot="1">
      <c r="A24" s="5">
        <f t="shared" si="4"/>
        <v>0</v>
      </c>
      <c r="B24" s="18" t="str">
        <f>名簿!Q26</f>
        <v/>
      </c>
      <c r="C24" s="5">
        <f t="shared" si="5"/>
        <v>0</v>
      </c>
      <c r="D24" s="776" t="str">
        <f>名簿!D26</f>
        <v/>
      </c>
      <c r="E24" s="19">
        <f>名簿!E26</f>
        <v>0</v>
      </c>
      <c r="F24" s="205" t="str">
        <f>名簿!BN26</f>
        <v/>
      </c>
      <c r="G24" s="19" t="str">
        <f>名簿!Z26</f>
        <v/>
      </c>
      <c r="H24" s="122" t="str">
        <f t="shared" si="0"/>
        <v/>
      </c>
      <c r="I24" s="361" t="str">
        <f>名簿!O26</f>
        <v/>
      </c>
      <c r="J24" s="361">
        <f>名簿!I26</f>
        <v>0</v>
      </c>
      <c r="K24" s="807">
        <f>名簿!K26</f>
        <v>0</v>
      </c>
      <c r="L24" s="409" t="str">
        <f>名簿!BQ26</f>
        <v>00</v>
      </c>
      <c r="M24" s="19" t="str">
        <f>名簿!R26</f>
        <v/>
      </c>
      <c r="N24" s="689">
        <f>名簿!C26</f>
        <v>0</v>
      </c>
      <c r="O24" s="461"/>
      <c r="P24" s="187" t="str">
        <f>IF(O24="","",IF(I24=1,VLOOKUP(O24,男子種目コード!$A$1:$B$33,2,FALSE),IF(I24=2,VLOOKUP(O24,女子種目コード!$A$1:$B$28,2,FALSE))))</f>
        <v/>
      </c>
      <c r="Q24" s="299" t="str">
        <f>IF(O24="","",HLOOKUP(O24,名簿!$AB$8:$BG$58,19,FALSE))</f>
        <v/>
      </c>
      <c r="R24" s="362">
        <v>0</v>
      </c>
      <c r="S24" s="401">
        <v>2</v>
      </c>
      <c r="T24" s="200"/>
      <c r="U24" s="187" t="str">
        <f>IF(T24="","",IF(I24=1,VLOOKUP(T24,男子種目コード!$A$1:$B$33,2,FALSE),IF(I24=2,VLOOKUP(T24,女子種目コード!$A$1:$B$28,2,FALSE))))</f>
        <v/>
      </c>
      <c r="V24" s="299" t="str">
        <f>IF(T24="","",HLOOKUP(T24,名簿!$AB$8:$BG$58,19,FALSE))</f>
        <v/>
      </c>
      <c r="W24" s="204"/>
      <c r="X24" s="205" t="str">
        <f>IF(W24="","",IF(I24=1,VLOOKUP(W24,男子種目コード!$D$2:$E$30,2,FALSE),IF(I24=2,VLOOKUP(W24,女子種目コード!$D$2:$E$30,2,FALSE))))</f>
        <v/>
      </c>
      <c r="Y24" s="454"/>
      <c r="Z24" s="362"/>
      <c r="AA24" s="362"/>
      <c r="AB24" s="468"/>
      <c r="AC24" s="464" t="str">
        <f>IF(AB24="","",IF(I24=1,VLOOKUP(AB24,男子種目コード!$A$82:$B$85,2,FALSE),IF(I24=2,VLOOKUP(AB24,女子種目コード!$A$82:$B$85,2,FALSE))))</f>
        <v/>
      </c>
      <c r="AD24" s="454"/>
      <c r="AE24" s="362">
        <v>0</v>
      </c>
      <c r="AF24" s="362">
        <v>2</v>
      </c>
      <c r="AG24" s="455"/>
      <c r="AH24" s="104" t="str">
        <f>IF(AG24="","",IF(I24=1,VLOOKUP(AG24,男子種目コード!$A$78:$B$81,2,FALSE),IF(I24=2,VLOOKUP(AG24,女子種目コード!$A$78:$B$81,2,FALSE))))</f>
        <v/>
      </c>
      <c r="AI24" s="407"/>
      <c r="AJ24" s="344">
        <v>0</v>
      </c>
      <c r="AK24" s="344">
        <v>2</v>
      </c>
      <c r="AL24" s="354">
        <v>0</v>
      </c>
      <c r="AM24" s="354"/>
      <c r="AN24" s="103"/>
      <c r="AO24" s="422" t="s">
        <v>140</v>
      </c>
      <c r="AP24" s="103" t="str">
        <f t="shared" si="21"/>
        <v/>
      </c>
      <c r="AQ24" s="103" t="str">
        <f t="shared" si="6"/>
        <v/>
      </c>
      <c r="AR24" s="103"/>
      <c r="AS24" s="103"/>
      <c r="AT24" s="240" t="str">
        <f t="shared" si="7"/>
        <v/>
      </c>
      <c r="AU24" s="240">
        <f t="shared" si="1"/>
        <v>0</v>
      </c>
      <c r="AV24" s="240">
        <f t="shared" si="2"/>
        <v>0</v>
      </c>
      <c r="AW24" s="240">
        <f t="shared" si="3"/>
        <v>0</v>
      </c>
      <c r="AX24" s="240">
        <f t="shared" si="8"/>
        <v>0</v>
      </c>
      <c r="AY24" s="238" t="s">
        <v>138</v>
      </c>
      <c r="AZ24" s="238" t="s">
        <v>140</v>
      </c>
      <c r="BA24" s="4"/>
      <c r="BB24" s="4">
        <f t="shared" si="9"/>
        <v>0</v>
      </c>
      <c r="BC24" s="4">
        <f t="shared" si="10"/>
        <v>0</v>
      </c>
      <c r="BD24" s="4" t="str">
        <f t="shared" si="11"/>
        <v/>
      </c>
      <c r="BE24" s="4" t="str">
        <f t="shared" si="12"/>
        <v/>
      </c>
      <c r="BF24" s="311" t="s">
        <v>142</v>
      </c>
      <c r="BG24" s="438">
        <f>COUNTIF($P$7:$P$56,19)+COUNTIF($U$7:$U$56,19)</f>
        <v>0</v>
      </c>
      <c r="BH24" s="513" t="str">
        <f t="shared" ref="BH24:BH29" ca="1" si="30">IF(ISERROR(BP24),"",BP24)</f>
        <v/>
      </c>
      <c r="BI24" s="514" t="str">
        <f t="shared" ref="BI24:BI29" ca="1" si="31">IF(ISERROR(BQ24),"",BQ24)</f>
        <v/>
      </c>
      <c r="BJ24" s="515" t="str">
        <f t="shared" ref="BJ24:BJ29" ca="1" si="32">IF(ISERROR(BR24),"",BR24)</f>
        <v/>
      </c>
      <c r="BK24" s="514" t="str">
        <f t="shared" ref="BK24:BK29" ca="1" si="33">IF(ISERROR(BS24),"",BS24)</f>
        <v/>
      </c>
      <c r="BL24" s="515" t="str">
        <f t="shared" ref="BL24:BL29" ca="1" si="34">IF(ISERROR(BT24),"",BT24)</f>
        <v/>
      </c>
      <c r="BM24" s="514" t="str">
        <f t="shared" ref="BM24:BM29" ca="1" si="35">IF(ISERROR(BU24),"",BU24)</f>
        <v/>
      </c>
      <c r="BN24" s="515" t="str">
        <f t="shared" ref="BN24:BN29" ca="1" si="36">IF(ISERROR(BV24),"",BV24)</f>
        <v/>
      </c>
      <c r="BO24" s="516" t="str">
        <f t="shared" ref="BO24:BO29" ca="1" si="37">IF(ISERROR(BW24),"",BW24)</f>
        <v/>
      </c>
      <c r="BP24" s="179" t="e">
        <f ca="1">VLookUpX("男子C",$A$7:$F$56,1,5)</f>
        <v>#N/A</v>
      </c>
      <c r="BQ24" s="179" t="e">
        <f ca="1">VLookUpX("男子C",$A$7:$F$56,1,6)</f>
        <v>#N/A</v>
      </c>
      <c r="BR24" s="179" t="e">
        <f ca="1">VLookUpX("男子C",$C$7:$F$56,1,3)</f>
        <v>#N/A</v>
      </c>
      <c r="BS24" s="179" t="e">
        <f ca="1">VLookUpX("男子C",$C$7:$F$56,1,4)</f>
        <v>#N/A</v>
      </c>
      <c r="BT24" s="179" t="e">
        <f ca="1">VLookUpX("女子C",$A$7:$F$56,1,5)</f>
        <v>#N/A</v>
      </c>
      <c r="BU24" s="179" t="e">
        <f ca="1">VLookUpX("女子C",$A$7:$F$56,1,6)</f>
        <v>#N/A</v>
      </c>
      <c r="BV24" s="179" t="e">
        <f ca="1">VLookUpX("女子C",$C$7:$F$56,1,3)</f>
        <v>#N/A</v>
      </c>
      <c r="BW24" s="179" t="e">
        <f ca="1">VLookUpX("女子C",$C$7:$F$56,1,4)</f>
        <v>#N/A</v>
      </c>
      <c r="BX24" s="4" t="str">
        <f ca="1">IF(BH24="","",1)</f>
        <v/>
      </c>
      <c r="BY24" s="4" t="str">
        <f ca="1">IF(BJ24="","",1)</f>
        <v/>
      </c>
      <c r="BZ24" s="4" t="str">
        <f ca="1">IF(BL24="","",1)</f>
        <v/>
      </c>
      <c r="CA24" s="4" t="str">
        <f ca="1">IF(BN24="","",1)</f>
        <v/>
      </c>
    </row>
    <row r="25" spans="1:79" ht="14.25" thickBot="1">
      <c r="A25" s="5">
        <f t="shared" si="4"/>
        <v>0</v>
      </c>
      <c r="B25" s="18" t="str">
        <f>名簿!Q27</f>
        <v/>
      </c>
      <c r="C25" s="5">
        <f t="shared" si="5"/>
        <v>0</v>
      </c>
      <c r="D25" s="776" t="str">
        <f>名簿!D27</f>
        <v/>
      </c>
      <c r="E25" s="19">
        <f>名簿!E27</f>
        <v>0</v>
      </c>
      <c r="F25" s="205" t="str">
        <f>名簿!BN27</f>
        <v/>
      </c>
      <c r="G25" s="19" t="str">
        <f>名簿!Z27</f>
        <v/>
      </c>
      <c r="H25" s="122" t="str">
        <f t="shared" si="0"/>
        <v/>
      </c>
      <c r="I25" s="361" t="str">
        <f>名簿!O27</f>
        <v/>
      </c>
      <c r="J25" s="361">
        <f>名簿!I27</f>
        <v>0</v>
      </c>
      <c r="K25" s="807">
        <f>名簿!K27</f>
        <v>0</v>
      </c>
      <c r="L25" s="409" t="str">
        <f>名簿!BQ27</f>
        <v>00</v>
      </c>
      <c r="M25" s="19" t="str">
        <f>名簿!R27</f>
        <v/>
      </c>
      <c r="N25" s="689">
        <f>名簿!C27</f>
        <v>0</v>
      </c>
      <c r="O25" s="461"/>
      <c r="P25" s="187" t="str">
        <f>IF(O25="","",IF(I25=1,VLOOKUP(O25,男子種目コード!$A$1:$B$33,2,FALSE),IF(I25=2,VLOOKUP(O25,女子種目コード!$A$1:$B$28,2,FALSE))))</f>
        <v/>
      </c>
      <c r="Q25" s="299" t="str">
        <f>IF(O25="","",HLOOKUP(O25,名簿!$AB$8:$BG$58,20,FALSE))</f>
        <v/>
      </c>
      <c r="R25" s="362">
        <v>0</v>
      </c>
      <c r="S25" s="401">
        <v>2</v>
      </c>
      <c r="T25" s="200"/>
      <c r="U25" s="187" t="str">
        <f>IF(T25="","",IF(I25=1,VLOOKUP(T25,男子種目コード!$A$1:$B$33,2,FALSE),IF(I25=2,VLOOKUP(T25,女子種目コード!$A$1:$B$28,2,FALSE))))</f>
        <v/>
      </c>
      <c r="V25" s="299" t="str">
        <f>IF(T25="","",HLOOKUP(T25,名簿!$AB$8:$BG$58,20,FALSE))</f>
        <v/>
      </c>
      <c r="W25" s="204"/>
      <c r="X25" s="205" t="str">
        <f>IF(W25="","",IF(I25=1,VLOOKUP(W25,男子種目コード!$D$2:$E$30,2,FALSE),IF(I25=2,VLOOKUP(W25,女子種目コード!$D$2:$E$30,2,FALSE))))</f>
        <v/>
      </c>
      <c r="Y25" s="454"/>
      <c r="Z25" s="362"/>
      <c r="AA25" s="362"/>
      <c r="AB25" s="468"/>
      <c r="AC25" s="464" t="str">
        <f>IF(AB25="","",IF(I25=1,VLOOKUP(AB25,男子種目コード!$A$82:$B$85,2,FALSE),IF(I25=2,VLOOKUP(AB25,女子種目コード!$A$82:$B$85,2,FALSE))))</f>
        <v/>
      </c>
      <c r="AD25" s="454"/>
      <c r="AE25" s="362">
        <v>0</v>
      </c>
      <c r="AF25" s="362">
        <v>2</v>
      </c>
      <c r="AG25" s="455"/>
      <c r="AH25" s="104" t="str">
        <f>IF(AG25="","",IF(I25=1,VLOOKUP(AG25,男子種目コード!$A$78:$B$81,2,FALSE),IF(I25=2,VLOOKUP(AG25,女子種目コード!$A$78:$B$81,2,FALSE))))</f>
        <v/>
      </c>
      <c r="AI25" s="407"/>
      <c r="AJ25" s="344">
        <v>0</v>
      </c>
      <c r="AK25" s="344">
        <v>2</v>
      </c>
      <c r="AL25" s="354">
        <v>0</v>
      </c>
      <c r="AM25" s="354"/>
      <c r="AN25" s="103"/>
      <c r="AO25" s="422" t="s">
        <v>139</v>
      </c>
      <c r="AP25" s="103" t="str">
        <f t="shared" si="21"/>
        <v/>
      </c>
      <c r="AQ25" s="103" t="str">
        <f t="shared" si="6"/>
        <v/>
      </c>
      <c r="AR25" s="103"/>
      <c r="AS25" s="103"/>
      <c r="AT25" s="240" t="str">
        <f t="shared" si="7"/>
        <v/>
      </c>
      <c r="AU25" s="240">
        <f t="shared" si="1"/>
        <v>0</v>
      </c>
      <c r="AV25" s="240">
        <f t="shared" si="2"/>
        <v>0</v>
      </c>
      <c r="AW25" s="240">
        <f t="shared" si="3"/>
        <v>0</v>
      </c>
      <c r="AX25" s="240">
        <f t="shared" si="8"/>
        <v>0</v>
      </c>
      <c r="AY25" s="238" t="s">
        <v>182</v>
      </c>
      <c r="AZ25" s="238" t="s">
        <v>139</v>
      </c>
      <c r="BA25" s="4"/>
      <c r="BB25" s="4">
        <f t="shared" si="9"/>
        <v>0</v>
      </c>
      <c r="BC25" s="4">
        <f t="shared" si="10"/>
        <v>0</v>
      </c>
      <c r="BD25" s="4" t="str">
        <f t="shared" si="11"/>
        <v/>
      </c>
      <c r="BE25" s="4" t="str">
        <f t="shared" si="12"/>
        <v/>
      </c>
      <c r="BF25" s="312" t="s">
        <v>138</v>
      </c>
      <c r="BG25" s="438">
        <f>COUNTIF($P$7:$P$56,20)+COUNTIF($U$7:$U$56,20)</f>
        <v>0</v>
      </c>
      <c r="BH25" s="517" t="str">
        <f t="shared" ca="1" si="30"/>
        <v/>
      </c>
      <c r="BI25" s="518" t="str">
        <f t="shared" ca="1" si="31"/>
        <v/>
      </c>
      <c r="BJ25" s="519" t="str">
        <f t="shared" ca="1" si="32"/>
        <v/>
      </c>
      <c r="BK25" s="518" t="str">
        <f t="shared" ca="1" si="33"/>
        <v/>
      </c>
      <c r="BL25" s="519" t="str">
        <f t="shared" ca="1" si="34"/>
        <v/>
      </c>
      <c r="BM25" s="518" t="str">
        <f t="shared" ca="1" si="35"/>
        <v/>
      </c>
      <c r="BN25" s="519" t="str">
        <f t="shared" ca="1" si="36"/>
        <v/>
      </c>
      <c r="BO25" s="520" t="str">
        <f t="shared" ca="1" si="37"/>
        <v/>
      </c>
      <c r="BP25" s="179" t="e">
        <f ca="1">VLookUpX("男子C",$A$7:$F$56,2,5)</f>
        <v>#N/A</v>
      </c>
      <c r="BQ25" s="179" t="e">
        <f ca="1">VLookUpX("男子C",$A$7:$F$56,2,6)</f>
        <v>#N/A</v>
      </c>
      <c r="BR25" s="179" t="e">
        <f ca="1">VLookUpX("男子C",$C$7:$F$56,2,3)</f>
        <v>#N/A</v>
      </c>
      <c r="BS25" s="179" t="e">
        <f ca="1">VLookUpX("男子C",$C$7:$F$56,2,4)</f>
        <v>#N/A</v>
      </c>
      <c r="BT25" s="179" t="e">
        <f ca="1">VLookUpX("女子C",$A$7:$F$56,2,5)</f>
        <v>#N/A</v>
      </c>
      <c r="BU25" s="179" t="e">
        <f ca="1">VLookUpX("女子C",$A$7:$F$56,2,6)</f>
        <v>#N/A</v>
      </c>
      <c r="BV25" s="179" t="e">
        <f ca="1">VLookUpX("女子C",$C$7:$F$56,2,3)</f>
        <v>#N/A</v>
      </c>
      <c r="BW25" s="179" t="e">
        <f ca="1">VLookUpX("女子C",$C$7:$F$56,2,4)</f>
        <v>#N/A</v>
      </c>
    </row>
    <row r="26" spans="1:79" ht="14.25" thickBot="1">
      <c r="A26" s="5">
        <f t="shared" si="4"/>
        <v>0</v>
      </c>
      <c r="B26" s="18" t="str">
        <f>名簿!Q28</f>
        <v/>
      </c>
      <c r="C26" s="5">
        <f t="shared" si="5"/>
        <v>0</v>
      </c>
      <c r="D26" s="776">
        <f>名簿!D28</f>
        <v>0</v>
      </c>
      <c r="E26" s="19">
        <f>名簿!E28</f>
        <v>0</v>
      </c>
      <c r="F26" s="205" t="str">
        <f>名簿!BN28</f>
        <v/>
      </c>
      <c r="G26" s="19" t="str">
        <f>名簿!Z28</f>
        <v/>
      </c>
      <c r="H26" s="122" t="str">
        <f t="shared" si="0"/>
        <v/>
      </c>
      <c r="I26" s="361" t="str">
        <f>名簿!O28</f>
        <v/>
      </c>
      <c r="J26" s="361">
        <f>名簿!I28</f>
        <v>0</v>
      </c>
      <c r="K26" s="807">
        <f>名簿!K28</f>
        <v>0</v>
      </c>
      <c r="L26" s="409" t="str">
        <f>名簿!BQ28</f>
        <v>00</v>
      </c>
      <c r="M26" s="19" t="str">
        <f>名簿!R28</f>
        <v/>
      </c>
      <c r="N26" s="689">
        <f>名簿!C28</f>
        <v>0</v>
      </c>
      <c r="O26" s="461"/>
      <c r="P26" s="187" t="str">
        <f>IF(O26="","",IF(I26=1,VLOOKUP(O26,男子種目コード!$A$1:$B$33,2,FALSE),IF(I26=2,VLOOKUP(O26,女子種目コード!$A$1:$B$28,2,FALSE))))</f>
        <v/>
      </c>
      <c r="Q26" s="299" t="str">
        <f>IF(O26="","",HLOOKUP(O26,名簿!$AB$8:$BG$58,21,FALSE))</f>
        <v/>
      </c>
      <c r="R26" s="362">
        <v>0</v>
      </c>
      <c r="S26" s="401">
        <v>2</v>
      </c>
      <c r="T26" s="200"/>
      <c r="U26" s="187" t="str">
        <f>IF(T26="","",IF(I26=1,VLOOKUP(T26,男子種目コード!$A$1:$B$33,2,FALSE),IF(I26=2,VLOOKUP(T26,女子種目コード!$A$1:$B$28,2,FALSE))))</f>
        <v/>
      </c>
      <c r="V26" s="299" t="str">
        <f>IF(T26="","",HLOOKUP(T26,名簿!$AB$8:$BG$58,21,FALSE))</f>
        <v/>
      </c>
      <c r="W26" s="204"/>
      <c r="X26" s="205" t="str">
        <f>IF(W26="","",IF(I26=1,VLOOKUP(W26,男子種目コード!$D$2:$E$30,2,FALSE),IF(I26=2,VLOOKUP(W26,女子種目コード!$D$2:$E$30,2,FALSE))))</f>
        <v/>
      </c>
      <c r="Y26" s="454"/>
      <c r="Z26" s="362"/>
      <c r="AA26" s="362"/>
      <c r="AB26" s="468"/>
      <c r="AC26" s="464" t="str">
        <f>IF(AB26="","",IF(I26=1,VLOOKUP(AB26,男子種目コード!$A$82:$B$85,2,FALSE),IF(I26=2,VLOOKUP(AB26,女子種目コード!$A$82:$B$85,2,FALSE))))</f>
        <v/>
      </c>
      <c r="AD26" s="454"/>
      <c r="AE26" s="362">
        <v>0</v>
      </c>
      <c r="AF26" s="362">
        <v>2</v>
      </c>
      <c r="AG26" s="455"/>
      <c r="AH26" s="104" t="str">
        <f>IF(AG26="","",IF(I26=1,VLOOKUP(AG26,男子種目コード!$A$78:$B$81,2,FALSE),IF(I26=2,VLOOKUP(AG26,女子種目コード!$A$78:$B$81,2,FALSE))))</f>
        <v/>
      </c>
      <c r="AI26" s="407"/>
      <c r="AJ26" s="344">
        <v>0</v>
      </c>
      <c r="AK26" s="344">
        <v>2</v>
      </c>
      <c r="AL26" s="354">
        <v>0</v>
      </c>
      <c r="AM26" s="354"/>
      <c r="AN26" s="103"/>
      <c r="AO26" s="422" t="s">
        <v>180</v>
      </c>
      <c r="AP26" s="103" t="str">
        <f t="shared" si="21"/>
        <v/>
      </c>
      <c r="AQ26" s="103" t="str">
        <f t="shared" si="6"/>
        <v/>
      </c>
      <c r="AR26" s="103"/>
      <c r="AS26" s="103"/>
      <c r="AT26" s="240" t="str">
        <f t="shared" si="7"/>
        <v/>
      </c>
      <c r="AU26" s="240">
        <f t="shared" si="1"/>
        <v>0</v>
      </c>
      <c r="AV26" s="240">
        <f t="shared" si="2"/>
        <v>0</v>
      </c>
      <c r="AW26" s="240">
        <f t="shared" si="3"/>
        <v>0</v>
      </c>
      <c r="AX26" s="240">
        <f t="shared" si="8"/>
        <v>0</v>
      </c>
      <c r="AY26" s="238" t="s">
        <v>140</v>
      </c>
      <c r="AZ26" s="238" t="s">
        <v>489</v>
      </c>
      <c r="BA26" s="4"/>
      <c r="BB26" s="4">
        <f t="shared" si="9"/>
        <v>0</v>
      </c>
      <c r="BC26" s="4">
        <f t="shared" si="10"/>
        <v>0</v>
      </c>
      <c r="BD26" s="4" t="str">
        <f t="shared" si="11"/>
        <v/>
      </c>
      <c r="BE26" s="4" t="str">
        <f t="shared" si="12"/>
        <v/>
      </c>
      <c r="BF26" s="313" t="s">
        <v>140</v>
      </c>
      <c r="BG26" s="438">
        <f>COUNTIF($P$7:$P$56,21)+COUNTIF($U$7:$U$56,21)</f>
        <v>0</v>
      </c>
      <c r="BH26" s="517" t="str">
        <f t="shared" ca="1" si="30"/>
        <v/>
      </c>
      <c r="BI26" s="518" t="str">
        <f t="shared" ca="1" si="31"/>
        <v/>
      </c>
      <c r="BJ26" s="519" t="str">
        <f t="shared" ca="1" si="32"/>
        <v/>
      </c>
      <c r="BK26" s="518" t="str">
        <f t="shared" ca="1" si="33"/>
        <v/>
      </c>
      <c r="BL26" s="519" t="str">
        <f t="shared" ca="1" si="34"/>
        <v/>
      </c>
      <c r="BM26" s="518" t="str">
        <f t="shared" ca="1" si="35"/>
        <v/>
      </c>
      <c r="BN26" s="519" t="str">
        <f t="shared" ca="1" si="36"/>
        <v/>
      </c>
      <c r="BO26" s="520" t="str">
        <f t="shared" ca="1" si="37"/>
        <v/>
      </c>
      <c r="BP26" s="179" t="e">
        <f ca="1">VLookUpX("男子C",$A$7:$F$56,3,5)</f>
        <v>#N/A</v>
      </c>
      <c r="BQ26" s="179" t="e">
        <f ca="1">VLookUpX("男子C",$A$7:$F$56,3,6)</f>
        <v>#N/A</v>
      </c>
      <c r="BR26" s="179" t="e">
        <f ca="1">VLookUpX("男子C",$C$7:$F$56,3,3)</f>
        <v>#N/A</v>
      </c>
      <c r="BS26" s="179" t="e">
        <f ca="1">VLookUpX("男子C",$C$7:$F$56,3,4)</f>
        <v>#N/A</v>
      </c>
      <c r="BT26" s="179" t="e">
        <f ca="1">VLookUpX("女子C",$A$7:$F$56,3,5)</f>
        <v>#N/A</v>
      </c>
      <c r="BU26" s="179" t="e">
        <f ca="1">VLookUpX("女子C",$A$7:$F$56,3,6)</f>
        <v>#N/A</v>
      </c>
      <c r="BV26" s="179" t="e">
        <f ca="1">VLookUpX("女子C",$C$7:$F$56,3,3)</f>
        <v>#N/A</v>
      </c>
      <c r="BW26" s="179" t="e">
        <f ca="1">VLookUpX("女子C",$C$7:$F$56,3,4)</f>
        <v>#N/A</v>
      </c>
    </row>
    <row r="27" spans="1:79" ht="14.25" thickBot="1">
      <c r="A27" s="5">
        <f t="shared" si="4"/>
        <v>0</v>
      </c>
      <c r="B27" s="18" t="str">
        <f>名簿!Q29</f>
        <v/>
      </c>
      <c r="C27" s="5">
        <f t="shared" si="5"/>
        <v>0</v>
      </c>
      <c r="D27" s="776">
        <f>名簿!D29</f>
        <v>0</v>
      </c>
      <c r="E27" s="19">
        <f>名簿!E29</f>
        <v>0</v>
      </c>
      <c r="F27" s="205" t="str">
        <f>名簿!BN29</f>
        <v/>
      </c>
      <c r="G27" s="19" t="str">
        <f>名簿!Z29</f>
        <v/>
      </c>
      <c r="H27" s="122" t="str">
        <f t="shared" si="0"/>
        <v/>
      </c>
      <c r="I27" s="361" t="str">
        <f>名簿!O29</f>
        <v/>
      </c>
      <c r="J27" s="361">
        <f>名簿!I29</f>
        <v>0</v>
      </c>
      <c r="K27" s="807">
        <f>名簿!K29</f>
        <v>0</v>
      </c>
      <c r="L27" s="409" t="str">
        <f>名簿!BQ29</f>
        <v>00</v>
      </c>
      <c r="M27" s="19" t="str">
        <f>名簿!R29</f>
        <v/>
      </c>
      <c r="N27" s="689">
        <f>名簿!C29</f>
        <v>0</v>
      </c>
      <c r="O27" s="461"/>
      <c r="P27" s="187" t="str">
        <f>IF(O27="","",IF(I27=1,VLOOKUP(O27,男子種目コード!$A$1:$B$33,2,FALSE),IF(I27=2,VLOOKUP(O27,女子種目コード!$A$1:$B$28,2,FALSE))))</f>
        <v/>
      </c>
      <c r="Q27" s="299" t="str">
        <f>IF(O27="","",HLOOKUP(O27,名簿!$AB$8:$BG$58,22,FALSE))</f>
        <v/>
      </c>
      <c r="R27" s="362">
        <v>0</v>
      </c>
      <c r="S27" s="401">
        <v>2</v>
      </c>
      <c r="T27" s="200"/>
      <c r="U27" s="187" t="str">
        <f>IF(T27="","",IF(I27=1,VLOOKUP(T27,男子種目コード!$A$1:$B$33,2,FALSE),IF(I27=2,VLOOKUP(T27,女子種目コード!$A$1:$B$28,2,FALSE))))</f>
        <v/>
      </c>
      <c r="V27" s="299" t="str">
        <f>IF(T27="","",HLOOKUP(T27,名簿!$AB$8:$BG$58,22,FALSE))</f>
        <v/>
      </c>
      <c r="W27" s="204"/>
      <c r="X27" s="205" t="str">
        <f>IF(W27="","",IF(I27=1,VLOOKUP(W27,男子種目コード!$D$2:$E$30,2,FALSE),IF(I27=2,VLOOKUP(W27,女子種目コード!$D$2:$E$30,2,FALSE))))</f>
        <v/>
      </c>
      <c r="Y27" s="454"/>
      <c r="Z27" s="362"/>
      <c r="AA27" s="362"/>
      <c r="AB27" s="468"/>
      <c r="AC27" s="464" t="str">
        <f>IF(AB27="","",IF(I27=1,VLOOKUP(AB27,男子種目コード!$A$82:$B$85,2,FALSE),IF(I27=2,VLOOKUP(AB27,女子種目コード!$A$82:$B$85,2,FALSE))))</f>
        <v/>
      </c>
      <c r="AD27" s="454"/>
      <c r="AE27" s="362">
        <v>0</v>
      </c>
      <c r="AF27" s="362">
        <v>2</v>
      </c>
      <c r="AG27" s="455"/>
      <c r="AH27" s="104" t="str">
        <f>IF(AG27="","",IF(I27=1,VLOOKUP(AG27,男子種目コード!$A$78:$B$81,2,FALSE),IF(I27=2,VLOOKUP(AG27,女子種目コード!$A$78:$B$81,2,FALSE))))</f>
        <v/>
      </c>
      <c r="AI27" s="407"/>
      <c r="AJ27" s="344">
        <v>0</v>
      </c>
      <c r="AK27" s="344">
        <v>2</v>
      </c>
      <c r="AL27" s="354">
        <v>0</v>
      </c>
      <c r="AM27" s="354"/>
      <c r="AN27" s="103"/>
      <c r="AO27" s="423" t="s">
        <v>190</v>
      </c>
      <c r="AP27" s="103" t="str">
        <f t="shared" si="21"/>
        <v/>
      </c>
      <c r="AQ27" s="103" t="str">
        <f t="shared" si="6"/>
        <v/>
      </c>
      <c r="AR27" s="103"/>
      <c r="AS27" s="103"/>
      <c r="AT27" s="240" t="str">
        <f t="shared" si="7"/>
        <v/>
      </c>
      <c r="AU27" s="240">
        <f t="shared" si="1"/>
        <v>0</v>
      </c>
      <c r="AV27" s="240">
        <f t="shared" si="2"/>
        <v>0</v>
      </c>
      <c r="AW27" s="240">
        <f t="shared" si="3"/>
        <v>0</v>
      </c>
      <c r="AX27" s="240">
        <f t="shared" si="8"/>
        <v>0</v>
      </c>
      <c r="AY27" s="238" t="s">
        <v>183</v>
      </c>
      <c r="BA27" s="4"/>
      <c r="BB27" s="4">
        <f t="shared" si="9"/>
        <v>0</v>
      </c>
      <c r="BC27" s="4">
        <f t="shared" si="10"/>
        <v>0</v>
      </c>
      <c r="BD27" s="4" t="str">
        <f t="shared" si="11"/>
        <v/>
      </c>
      <c r="BE27" s="4" t="str">
        <f t="shared" si="12"/>
        <v/>
      </c>
      <c r="BF27" s="313" t="s">
        <v>139</v>
      </c>
      <c r="BG27" s="438">
        <f>COUNTIF($P$7:$P$56,22)+COUNTIF($U$7:$U$56,22)</f>
        <v>0</v>
      </c>
      <c r="BH27" s="517" t="str">
        <f t="shared" ca="1" si="30"/>
        <v/>
      </c>
      <c r="BI27" s="518" t="str">
        <f t="shared" ca="1" si="31"/>
        <v/>
      </c>
      <c r="BJ27" s="519" t="str">
        <f t="shared" ca="1" si="32"/>
        <v/>
      </c>
      <c r="BK27" s="518" t="str">
        <f t="shared" ca="1" si="33"/>
        <v/>
      </c>
      <c r="BL27" s="519" t="str">
        <f t="shared" ca="1" si="34"/>
        <v/>
      </c>
      <c r="BM27" s="518" t="str">
        <f t="shared" ca="1" si="35"/>
        <v/>
      </c>
      <c r="BN27" s="519" t="str">
        <f t="shared" ca="1" si="36"/>
        <v/>
      </c>
      <c r="BO27" s="520" t="str">
        <f t="shared" ca="1" si="37"/>
        <v/>
      </c>
      <c r="BP27" s="179" t="e">
        <f ca="1">VLookUpX("男子C",$A$7:$F$56,4,5)</f>
        <v>#N/A</v>
      </c>
      <c r="BQ27" s="179" t="e">
        <f ca="1">VLookUpX("男子C",$A$7:$F$56,4,6)</f>
        <v>#N/A</v>
      </c>
      <c r="BR27" s="179" t="e">
        <f ca="1">VLookUpX("男子C",$C$7:$F$56,4,3)</f>
        <v>#N/A</v>
      </c>
      <c r="BS27" s="179" t="e">
        <f ca="1">VLookUpX("男子C",$C$7:$F$56,4,4)</f>
        <v>#N/A</v>
      </c>
      <c r="BT27" s="179" t="e">
        <f ca="1">VLookUpX("女子C",$A$7:$F$56,4,5)</f>
        <v>#N/A</v>
      </c>
      <c r="BU27" s="179" t="e">
        <f ca="1">VLookUpX("女子C",$A$7:$F$56,4,6)</f>
        <v>#N/A</v>
      </c>
      <c r="BV27" s="179" t="e">
        <f ca="1">VLookUpX("女子C",$C$7:$F$56,4,3)</f>
        <v>#N/A</v>
      </c>
      <c r="BW27" s="179" t="e">
        <f ca="1">VLookUpX("女子C",$C$7:$F$56,4,4)</f>
        <v>#N/A</v>
      </c>
    </row>
    <row r="28" spans="1:79" ht="14.25" thickBot="1">
      <c r="A28" s="5">
        <f t="shared" si="4"/>
        <v>0</v>
      </c>
      <c r="B28" s="18" t="str">
        <f>名簿!Q30</f>
        <v/>
      </c>
      <c r="C28" s="5">
        <f t="shared" si="5"/>
        <v>0</v>
      </c>
      <c r="D28" s="776">
        <f>名簿!D30</f>
        <v>0</v>
      </c>
      <c r="E28" s="19">
        <f>名簿!E30</f>
        <v>0</v>
      </c>
      <c r="F28" s="205" t="str">
        <f>名簿!BN30</f>
        <v/>
      </c>
      <c r="G28" s="19" t="str">
        <f>名簿!Z30</f>
        <v/>
      </c>
      <c r="H28" s="122" t="str">
        <f t="shared" si="0"/>
        <v/>
      </c>
      <c r="I28" s="361" t="str">
        <f>名簿!O30</f>
        <v/>
      </c>
      <c r="J28" s="361">
        <f>名簿!I30</f>
        <v>0</v>
      </c>
      <c r="K28" s="807">
        <f>名簿!K30</f>
        <v>0</v>
      </c>
      <c r="L28" s="409" t="str">
        <f>名簿!BQ30</f>
        <v>00</v>
      </c>
      <c r="M28" s="19" t="str">
        <f>名簿!R30</f>
        <v/>
      </c>
      <c r="N28" s="689">
        <f>名簿!C30</f>
        <v>0</v>
      </c>
      <c r="O28" s="461"/>
      <c r="P28" s="187" t="str">
        <f>IF(O28="","",IF(I28=1,VLOOKUP(O28,男子種目コード!$A$1:$B$33,2,FALSE),IF(I28=2,VLOOKUP(O28,女子種目コード!$A$1:$B$28,2,FALSE))))</f>
        <v/>
      </c>
      <c r="Q28" s="299" t="str">
        <f>IF(O28="","",HLOOKUP(O28,名簿!$AB$8:$BG$58,23,FALSE))</f>
        <v/>
      </c>
      <c r="R28" s="362">
        <v>0</v>
      </c>
      <c r="S28" s="401">
        <v>2</v>
      </c>
      <c r="T28" s="200"/>
      <c r="U28" s="187" t="str">
        <f>IF(T28="","",IF(I28=1,VLOOKUP(T28,男子種目コード!$A$1:$B$33,2,FALSE),IF(I28=2,VLOOKUP(T28,女子種目コード!$A$1:$B$28,2,FALSE))))</f>
        <v/>
      </c>
      <c r="V28" s="299" t="str">
        <f>IF(T28="","",HLOOKUP(T28,名簿!$AB$8:$BG$58,23,FALSE))</f>
        <v/>
      </c>
      <c r="W28" s="204"/>
      <c r="X28" s="205" t="str">
        <f>IF(W28="","",IF(I28=1,VLOOKUP(W28,男子種目コード!$D$2:$E$30,2,FALSE),IF(I28=2,VLOOKUP(W28,女子種目コード!$D$2:$E$30,2,FALSE))))</f>
        <v/>
      </c>
      <c r="Y28" s="454"/>
      <c r="Z28" s="362"/>
      <c r="AA28" s="362"/>
      <c r="AB28" s="468"/>
      <c r="AC28" s="464" t="str">
        <f>IF(AB28="","",IF(I28=1,VLOOKUP(AB28,男子種目コード!$A$82:$B$85,2,FALSE),IF(I28=2,VLOOKUP(AB28,女子種目コード!$A$82:$B$85,2,FALSE))))</f>
        <v/>
      </c>
      <c r="AD28" s="454"/>
      <c r="AE28" s="362">
        <v>0</v>
      </c>
      <c r="AF28" s="362">
        <v>2</v>
      </c>
      <c r="AG28" s="455"/>
      <c r="AH28" s="104" t="str">
        <f>IF(AG28="","",IF(I28=1,VLOOKUP(AG28,男子種目コード!$A$78:$B$81,2,FALSE),IF(I28=2,VLOOKUP(AG28,女子種目コード!$A$78:$B$81,2,FALSE))))</f>
        <v/>
      </c>
      <c r="AI28" s="407"/>
      <c r="AJ28" s="344">
        <v>0</v>
      </c>
      <c r="AK28" s="344">
        <v>2</v>
      </c>
      <c r="AL28" s="354">
        <v>0</v>
      </c>
      <c r="AM28" s="354"/>
      <c r="AN28" s="103"/>
      <c r="AO28" s="422" t="s">
        <v>184</v>
      </c>
      <c r="AP28" s="103" t="str">
        <f t="shared" si="21"/>
        <v/>
      </c>
      <c r="AQ28" s="103" t="str">
        <f t="shared" si="6"/>
        <v/>
      </c>
      <c r="AR28" s="103"/>
      <c r="AS28" s="103"/>
      <c r="AT28" s="240" t="str">
        <f t="shared" si="7"/>
        <v/>
      </c>
      <c r="AU28" s="240">
        <f t="shared" si="1"/>
        <v>0</v>
      </c>
      <c r="AV28" s="240">
        <f t="shared" si="2"/>
        <v>0</v>
      </c>
      <c r="AW28" s="240">
        <f t="shared" si="3"/>
        <v>0</v>
      </c>
      <c r="AX28" s="240">
        <f t="shared" si="8"/>
        <v>0</v>
      </c>
      <c r="AY28" s="238" t="s">
        <v>139</v>
      </c>
      <c r="BA28" s="4"/>
      <c r="BB28" s="4">
        <f t="shared" si="9"/>
        <v>0</v>
      </c>
      <c r="BC28" s="4">
        <f t="shared" si="10"/>
        <v>0</v>
      </c>
      <c r="BD28" s="4" t="str">
        <f t="shared" si="11"/>
        <v/>
      </c>
      <c r="BE28" s="4" t="str">
        <f t="shared" si="12"/>
        <v/>
      </c>
      <c r="BF28" s="311"/>
      <c r="BG28" s="438"/>
      <c r="BH28" s="517" t="str">
        <f t="shared" ca="1" si="30"/>
        <v/>
      </c>
      <c r="BI28" s="518" t="str">
        <f t="shared" ca="1" si="31"/>
        <v/>
      </c>
      <c r="BJ28" s="519" t="str">
        <f t="shared" ca="1" si="32"/>
        <v/>
      </c>
      <c r="BK28" s="518" t="str">
        <f t="shared" ca="1" si="33"/>
        <v/>
      </c>
      <c r="BL28" s="519" t="str">
        <f t="shared" ca="1" si="34"/>
        <v/>
      </c>
      <c r="BM28" s="518" t="str">
        <f t="shared" ca="1" si="35"/>
        <v/>
      </c>
      <c r="BN28" s="519" t="str">
        <f t="shared" ca="1" si="36"/>
        <v/>
      </c>
      <c r="BO28" s="520" t="str">
        <f t="shared" ca="1" si="37"/>
        <v/>
      </c>
      <c r="BP28" s="179" t="e">
        <f ca="1">VLookUpX("男子C",$A$7:$F$56,5,5)</f>
        <v>#N/A</v>
      </c>
      <c r="BQ28" s="179" t="e">
        <f ca="1">VLookUpX("男子C",$A$7:$F$56,5,6)</f>
        <v>#N/A</v>
      </c>
      <c r="BR28" s="179" t="e">
        <f ca="1">VLookUpX("男子C",$C$7:$F$56,5,3)</f>
        <v>#N/A</v>
      </c>
      <c r="BS28" s="179" t="e">
        <f ca="1">VLookUpX("男子C",$C$7:$F$56,5,4)</f>
        <v>#N/A</v>
      </c>
      <c r="BT28" s="179" t="e">
        <f ca="1">VLookUpX("女子C",$A$7:$F$56,5,5)</f>
        <v>#N/A</v>
      </c>
      <c r="BU28" s="179" t="e">
        <f ca="1">VLookUpX("女子C",$A$7:$F$56,5,6)</f>
        <v>#N/A</v>
      </c>
      <c r="BV28" s="179" t="e">
        <f ca="1">VLookUpX("女子C",$C$7:$F$56,5,3)</f>
        <v>#N/A</v>
      </c>
      <c r="BW28" s="179" t="e">
        <f ca="1">VLookUpX("女子C",$C$7:$F$56,5,4)</f>
        <v>#N/A</v>
      </c>
    </row>
    <row r="29" spans="1:79" ht="14.25" thickBot="1">
      <c r="A29" s="5">
        <f t="shared" si="4"/>
        <v>0</v>
      </c>
      <c r="B29" s="18" t="str">
        <f>名簿!Q31</f>
        <v/>
      </c>
      <c r="C29" s="5">
        <f t="shared" si="5"/>
        <v>0</v>
      </c>
      <c r="D29" s="776">
        <f>名簿!D31</f>
        <v>0</v>
      </c>
      <c r="E29" s="19">
        <f>名簿!E31</f>
        <v>0</v>
      </c>
      <c r="F29" s="205" t="str">
        <f>名簿!BN31</f>
        <v/>
      </c>
      <c r="G29" s="19" t="str">
        <f>名簿!Z31</f>
        <v/>
      </c>
      <c r="H29" s="122" t="str">
        <f t="shared" si="0"/>
        <v/>
      </c>
      <c r="I29" s="361" t="str">
        <f>名簿!O31</f>
        <v/>
      </c>
      <c r="J29" s="361">
        <f>名簿!I31</f>
        <v>0</v>
      </c>
      <c r="K29" s="807">
        <f>名簿!K31</f>
        <v>0</v>
      </c>
      <c r="L29" s="409" t="str">
        <f>名簿!BQ31</f>
        <v>00</v>
      </c>
      <c r="M29" s="19" t="str">
        <f>名簿!R31</f>
        <v/>
      </c>
      <c r="N29" s="689">
        <f>名簿!C31</f>
        <v>0</v>
      </c>
      <c r="O29" s="461"/>
      <c r="P29" s="187" t="str">
        <f>IF(O29="","",IF(I29=1,VLOOKUP(O29,男子種目コード!$A$1:$B$33,2,FALSE),IF(I29=2,VLOOKUP(O29,女子種目コード!$A$1:$B$28,2,FALSE))))</f>
        <v/>
      </c>
      <c r="Q29" s="299" t="str">
        <f>IF(O29="","",HLOOKUP(O29,名簿!$AB$8:$BG$58,24,FALSE))</f>
        <v/>
      </c>
      <c r="R29" s="362">
        <v>0</v>
      </c>
      <c r="S29" s="401">
        <v>2</v>
      </c>
      <c r="T29" s="200"/>
      <c r="U29" s="187" t="str">
        <f>IF(T29="","",IF(I29=1,VLOOKUP(T29,男子種目コード!$A$1:$B$33,2,FALSE),IF(I29=2,VLOOKUP(T29,女子種目コード!$A$1:$B$28,2,FALSE))))</f>
        <v/>
      </c>
      <c r="V29" s="299" t="str">
        <f>IF(T29="","",HLOOKUP(T29,名簿!$AB$8:$BG$58,24,FALSE))</f>
        <v/>
      </c>
      <c r="W29" s="204"/>
      <c r="X29" s="205" t="str">
        <f>IF(W29="","",IF(I29=1,VLOOKUP(W29,男子種目コード!$D$2:$E$30,2,FALSE),IF(I29=2,VLOOKUP(W29,女子種目コード!$D$2:$E$30,2,FALSE))))</f>
        <v/>
      </c>
      <c r="Y29" s="454"/>
      <c r="Z29" s="362"/>
      <c r="AA29" s="362"/>
      <c r="AB29" s="468"/>
      <c r="AC29" s="464" t="str">
        <f>IF(AB29="","",IF(I29=1,VLOOKUP(AB29,男子種目コード!$A$82:$B$85,2,FALSE),IF(I29=2,VLOOKUP(AB29,女子種目コード!$A$82:$B$85,2,FALSE))))</f>
        <v/>
      </c>
      <c r="AD29" s="454"/>
      <c r="AE29" s="362">
        <v>0</v>
      </c>
      <c r="AF29" s="362">
        <v>2</v>
      </c>
      <c r="AG29" s="455"/>
      <c r="AH29" s="104" t="str">
        <f>IF(AG29="","",IF(I29=1,VLOOKUP(AG29,男子種目コード!$A$78:$B$81,2,FALSE),IF(I29=2,VLOOKUP(AG29,女子種目コード!$A$78:$B$81,2,FALSE))))</f>
        <v/>
      </c>
      <c r="AI29" s="407"/>
      <c r="AJ29" s="344">
        <v>0</v>
      </c>
      <c r="AK29" s="344">
        <v>2</v>
      </c>
      <c r="AL29" s="354">
        <v>0</v>
      </c>
      <c r="AM29" s="354"/>
      <c r="AN29" s="103"/>
      <c r="AO29" s="422" t="s">
        <v>181</v>
      </c>
      <c r="AP29" s="103" t="str">
        <f t="shared" si="21"/>
        <v/>
      </c>
      <c r="AQ29" s="103" t="str">
        <f t="shared" si="6"/>
        <v/>
      </c>
      <c r="AR29" s="103"/>
      <c r="AS29" s="103"/>
      <c r="AT29" s="240" t="str">
        <f t="shared" si="7"/>
        <v/>
      </c>
      <c r="AU29" s="240">
        <f t="shared" si="1"/>
        <v>0</v>
      </c>
      <c r="AV29" s="240">
        <f t="shared" si="2"/>
        <v>0</v>
      </c>
      <c r="AW29" s="240">
        <f t="shared" si="3"/>
        <v>0</v>
      </c>
      <c r="AX29" s="240">
        <f t="shared" si="8"/>
        <v>0</v>
      </c>
      <c r="AY29" s="238"/>
      <c r="BA29" s="4"/>
      <c r="BB29" s="4">
        <f t="shared" si="9"/>
        <v>0</v>
      </c>
      <c r="BC29" s="4">
        <f t="shared" si="10"/>
        <v>0</v>
      </c>
      <c r="BD29" s="4" t="str">
        <f t="shared" si="11"/>
        <v/>
      </c>
      <c r="BE29" s="4" t="str">
        <f t="shared" si="12"/>
        <v/>
      </c>
      <c r="BF29" s="311" t="s">
        <v>181</v>
      </c>
      <c r="BG29" s="438">
        <f>COUNTIF($P$7:$P$56,25)+COUNTIF($U$7:$U$56,25)</f>
        <v>0</v>
      </c>
      <c r="BH29" s="521" t="str">
        <f t="shared" ca="1" si="30"/>
        <v/>
      </c>
      <c r="BI29" s="522" t="str">
        <f t="shared" ca="1" si="31"/>
        <v/>
      </c>
      <c r="BJ29" s="523" t="str">
        <f t="shared" ca="1" si="32"/>
        <v/>
      </c>
      <c r="BK29" s="522" t="str">
        <f t="shared" ca="1" si="33"/>
        <v/>
      </c>
      <c r="BL29" s="523" t="str">
        <f t="shared" ca="1" si="34"/>
        <v/>
      </c>
      <c r="BM29" s="522" t="str">
        <f t="shared" ca="1" si="35"/>
        <v/>
      </c>
      <c r="BN29" s="523" t="str">
        <f t="shared" ca="1" si="36"/>
        <v/>
      </c>
      <c r="BO29" s="524" t="str">
        <f t="shared" ca="1" si="37"/>
        <v/>
      </c>
      <c r="BP29" s="179" t="e">
        <f ca="1">VLookUpX("男子C",$A$7:$F$56,6,5)</f>
        <v>#N/A</v>
      </c>
      <c r="BQ29" s="179" t="e">
        <f ca="1">VLookUpX("男子C",$A$7:$F$56,6,6)</f>
        <v>#N/A</v>
      </c>
      <c r="BR29" s="179" t="e">
        <f ca="1">VLookUpX("男子C",$C$7:$F$56,6,3)</f>
        <v>#N/A</v>
      </c>
      <c r="BS29" s="179" t="e">
        <f ca="1">VLookUpX("男子C",$C$7:$F$56,6,4)</f>
        <v>#N/A</v>
      </c>
      <c r="BT29" s="179" t="e">
        <f ca="1">VLookUpX("女子C",$A$7:$F$56,6,5)</f>
        <v>#N/A</v>
      </c>
      <c r="BU29" s="179" t="e">
        <f ca="1">VLookUpX("女子C",$A$7:$F$56,6,6)</f>
        <v>#N/A</v>
      </c>
      <c r="BV29" s="179" t="e">
        <f ca="1">VLookUpX("女子C",$C$7:$F$56,6,3)</f>
        <v>#N/A</v>
      </c>
      <c r="BW29" s="179" t="e">
        <f ca="1">VLookUpX("女子C",$C$7:$F$56,6,4)</f>
        <v>#N/A</v>
      </c>
    </row>
    <row r="30" spans="1:79" ht="14.25" thickBot="1">
      <c r="A30" s="5">
        <f t="shared" si="4"/>
        <v>0</v>
      </c>
      <c r="B30" s="18" t="str">
        <f>名簿!Q32</f>
        <v/>
      </c>
      <c r="C30" s="5">
        <f t="shared" si="5"/>
        <v>0</v>
      </c>
      <c r="D30" s="776">
        <f>名簿!D32</f>
        <v>0</v>
      </c>
      <c r="E30" s="19">
        <f>名簿!E32</f>
        <v>0</v>
      </c>
      <c r="F30" s="205" t="str">
        <f>名簿!BN32</f>
        <v/>
      </c>
      <c r="G30" s="19" t="str">
        <f>名簿!Z32</f>
        <v/>
      </c>
      <c r="H30" s="122" t="str">
        <f t="shared" si="0"/>
        <v/>
      </c>
      <c r="I30" s="361" t="str">
        <f>名簿!O32</f>
        <v/>
      </c>
      <c r="J30" s="361">
        <f>名簿!I32</f>
        <v>0</v>
      </c>
      <c r="K30" s="807">
        <f>名簿!K32</f>
        <v>0</v>
      </c>
      <c r="L30" s="409" t="str">
        <f>名簿!BQ32</f>
        <v>00</v>
      </c>
      <c r="M30" s="19" t="str">
        <f>名簿!R32</f>
        <v/>
      </c>
      <c r="N30" s="689">
        <f>名簿!C32</f>
        <v>0</v>
      </c>
      <c r="O30" s="461"/>
      <c r="P30" s="187" t="str">
        <f>IF(O30="","",IF(I30=1,VLOOKUP(O30,男子種目コード!$A$1:$B$33,2,FALSE),IF(I30=2,VLOOKUP(O30,女子種目コード!$A$1:$B$28,2,FALSE))))</f>
        <v/>
      </c>
      <c r="Q30" s="299" t="str">
        <f>IF(O30="","",HLOOKUP(O30,名簿!$AB$8:$BG$58,25,FALSE))</f>
        <v/>
      </c>
      <c r="R30" s="362">
        <v>0</v>
      </c>
      <c r="S30" s="401">
        <v>2</v>
      </c>
      <c r="T30" s="200"/>
      <c r="U30" s="187" t="str">
        <f>IF(T30="","",IF(I30=1,VLOOKUP(T30,男子種目コード!$A$1:$B$33,2,FALSE),IF(I30=2,VLOOKUP(T30,女子種目コード!$A$1:$B$28,2,FALSE))))</f>
        <v/>
      </c>
      <c r="V30" s="299" t="str">
        <f>IF(T30="","",HLOOKUP(T30,名簿!$AB$8:$BG$58,25,FALSE))</f>
        <v/>
      </c>
      <c r="W30" s="204"/>
      <c r="X30" s="205" t="str">
        <f>IF(W30="","",IF(I30=1,VLOOKUP(W30,男子種目コード!$D$2:$E$30,2,FALSE),IF(I30=2,VLOOKUP(W30,女子種目コード!$D$2:$E$30,2,FALSE))))</f>
        <v/>
      </c>
      <c r="Y30" s="454"/>
      <c r="Z30" s="362"/>
      <c r="AA30" s="362"/>
      <c r="AB30" s="468"/>
      <c r="AC30" s="464" t="str">
        <f>IF(AB30="","",IF(I30=1,VLOOKUP(AB30,男子種目コード!$A$82:$B$85,2,FALSE),IF(I30=2,VLOOKUP(AB30,女子種目コード!$A$82:$B$85,2,FALSE))))</f>
        <v/>
      </c>
      <c r="AD30" s="454"/>
      <c r="AE30" s="362">
        <v>0</v>
      </c>
      <c r="AF30" s="362">
        <v>2</v>
      </c>
      <c r="AG30" s="455"/>
      <c r="AH30" s="104" t="str">
        <f>IF(AG30="","",IF(I30=1,VLOOKUP(AG30,男子種目コード!$A$78:$B$81,2,FALSE),IF(I30=2,VLOOKUP(AG30,女子種目コード!$A$78:$B$81,2,FALSE))))</f>
        <v/>
      </c>
      <c r="AI30" s="407"/>
      <c r="AJ30" s="344">
        <v>0</v>
      </c>
      <c r="AK30" s="344">
        <v>2</v>
      </c>
      <c r="AL30" s="354">
        <v>0</v>
      </c>
      <c r="AM30" s="354"/>
      <c r="AN30" s="103"/>
      <c r="AO30" s="422" t="s">
        <v>182</v>
      </c>
      <c r="AP30" s="103" t="str">
        <f t="shared" si="21"/>
        <v/>
      </c>
      <c r="AQ30" s="103" t="str">
        <f t="shared" si="6"/>
        <v/>
      </c>
      <c r="AR30" s="103"/>
      <c r="AS30" s="103"/>
      <c r="AT30" s="240" t="str">
        <f t="shared" si="7"/>
        <v/>
      </c>
      <c r="AU30" s="240">
        <f t="shared" si="1"/>
        <v>0</v>
      </c>
      <c r="AV30" s="240">
        <f t="shared" si="2"/>
        <v>0</v>
      </c>
      <c r="AW30" s="240">
        <f t="shared" si="3"/>
        <v>0</v>
      </c>
      <c r="AX30" s="240">
        <f t="shared" si="8"/>
        <v>0</v>
      </c>
      <c r="AY30" s="237">
        <v>100</v>
      </c>
      <c r="AZ30" s="237">
        <v>100</v>
      </c>
      <c r="BA30" s="4"/>
      <c r="BB30" s="4">
        <f t="shared" si="9"/>
        <v>0</v>
      </c>
      <c r="BC30" s="4">
        <f t="shared" si="10"/>
        <v>0</v>
      </c>
      <c r="BD30" s="4" t="str">
        <f t="shared" si="11"/>
        <v/>
      </c>
      <c r="BE30" s="4" t="str">
        <f t="shared" si="12"/>
        <v/>
      </c>
      <c r="BF30" s="311"/>
      <c r="BG30" s="438"/>
      <c r="BH30" s="452" t="s">
        <v>365</v>
      </c>
      <c r="BI30" s="440"/>
      <c r="BJ30" s="439" t="s">
        <v>369</v>
      </c>
      <c r="BK30" s="440"/>
      <c r="BL30" s="441" t="s">
        <v>373</v>
      </c>
      <c r="BM30" s="442"/>
      <c r="BN30" s="441" t="s">
        <v>377</v>
      </c>
      <c r="BO30" s="453"/>
    </row>
    <row r="31" spans="1:79" ht="14.25" thickBot="1">
      <c r="A31" s="5">
        <f t="shared" si="4"/>
        <v>0</v>
      </c>
      <c r="B31" s="18" t="str">
        <f>名簿!Q33</f>
        <v/>
      </c>
      <c r="C31" s="5">
        <f t="shared" si="5"/>
        <v>0</v>
      </c>
      <c r="D31" s="776">
        <f>名簿!D33</f>
        <v>0</v>
      </c>
      <c r="E31" s="19">
        <f>名簿!E33</f>
        <v>0</v>
      </c>
      <c r="F31" s="205" t="str">
        <f>名簿!BN33</f>
        <v/>
      </c>
      <c r="G31" s="19" t="str">
        <f>名簿!Z33</f>
        <v/>
      </c>
      <c r="H31" s="122" t="str">
        <f t="shared" si="0"/>
        <v/>
      </c>
      <c r="I31" s="361" t="str">
        <f>名簿!O33</f>
        <v/>
      </c>
      <c r="J31" s="361">
        <f>名簿!I33</f>
        <v>0</v>
      </c>
      <c r="K31" s="807">
        <f>名簿!K33</f>
        <v>0</v>
      </c>
      <c r="L31" s="409" t="str">
        <f>名簿!BQ33</f>
        <v>00</v>
      </c>
      <c r="M31" s="19" t="str">
        <f>名簿!R33</f>
        <v/>
      </c>
      <c r="N31" s="689">
        <f>名簿!C33</f>
        <v>0</v>
      </c>
      <c r="O31" s="461"/>
      <c r="P31" s="187" t="str">
        <f>IF(O31="","",IF(I31=1,VLOOKUP(O31,男子種目コード!$A$1:$B$33,2,FALSE),IF(I31=2,VLOOKUP(O31,女子種目コード!$A$1:$B$28,2,FALSE))))</f>
        <v/>
      </c>
      <c r="Q31" s="299" t="str">
        <f>IF(O31="","",HLOOKUP(O31,名簿!$AB$8:$BG$58,26,FALSE))</f>
        <v/>
      </c>
      <c r="R31" s="362">
        <v>0</v>
      </c>
      <c r="S31" s="401">
        <v>2</v>
      </c>
      <c r="T31" s="200"/>
      <c r="U31" s="187" t="str">
        <f>IF(T31="","",IF(I31=1,VLOOKUP(T31,男子種目コード!$A$1:$B$33,2,FALSE),IF(I31=2,VLOOKUP(T31,女子種目コード!$A$1:$B$28,2,FALSE))))</f>
        <v/>
      </c>
      <c r="V31" s="299" t="str">
        <f>IF(T31="","",HLOOKUP(T31,名簿!$AB$8:$BG$58,26,FALSE))</f>
        <v/>
      </c>
      <c r="W31" s="204"/>
      <c r="X31" s="205" t="str">
        <f>IF(W31="","",IF(I31=1,VLOOKUP(W31,男子種目コード!$D$2:$E$30,2,FALSE),IF(I31=2,VLOOKUP(W31,女子種目コード!$D$2:$E$30,2,FALSE))))</f>
        <v/>
      </c>
      <c r="Y31" s="454"/>
      <c r="Z31" s="362"/>
      <c r="AA31" s="362"/>
      <c r="AB31" s="468"/>
      <c r="AC31" s="464" t="str">
        <f>IF(AB31="","",IF(I31=1,VLOOKUP(AB31,男子種目コード!$A$82:$B$85,2,FALSE),IF(I31=2,VLOOKUP(AB31,女子種目コード!$A$82:$B$85,2,FALSE))))</f>
        <v/>
      </c>
      <c r="AD31" s="454"/>
      <c r="AE31" s="362">
        <v>0</v>
      </c>
      <c r="AF31" s="362">
        <v>2</v>
      </c>
      <c r="AG31" s="455"/>
      <c r="AH31" s="104" t="str">
        <f>IF(AG31="","",IF(I31=1,VLOOKUP(AG31,男子種目コード!$A$78:$B$81,2,FALSE),IF(I31=2,VLOOKUP(AG31,女子種目コード!$A$78:$B$81,2,FALSE))))</f>
        <v/>
      </c>
      <c r="AI31" s="407"/>
      <c r="AJ31" s="344">
        <v>0</v>
      </c>
      <c r="AK31" s="344">
        <v>2</v>
      </c>
      <c r="AL31" s="354">
        <v>0</v>
      </c>
      <c r="AM31" s="354"/>
      <c r="AN31" s="103"/>
      <c r="AO31" s="422" t="s">
        <v>183</v>
      </c>
      <c r="AP31" s="103" t="str">
        <f t="shared" si="21"/>
        <v/>
      </c>
      <c r="AQ31" s="103" t="str">
        <f t="shared" si="6"/>
        <v/>
      </c>
      <c r="AR31" s="103"/>
      <c r="AS31" s="103"/>
      <c r="AT31" s="240" t="str">
        <f t="shared" si="7"/>
        <v/>
      </c>
      <c r="AU31" s="240">
        <f t="shared" si="1"/>
        <v>0</v>
      </c>
      <c r="AV31" s="240">
        <f t="shared" si="2"/>
        <v>0</v>
      </c>
      <c r="AW31" s="240">
        <f t="shared" si="3"/>
        <v>0</v>
      </c>
      <c r="AX31" s="240">
        <f t="shared" si="8"/>
        <v>0</v>
      </c>
      <c r="AY31" s="237">
        <v>200</v>
      </c>
      <c r="AZ31" s="237">
        <v>200</v>
      </c>
      <c r="BA31" s="4"/>
      <c r="BB31" s="4">
        <f t="shared" si="9"/>
        <v>0</v>
      </c>
      <c r="BC31" s="4">
        <f t="shared" si="10"/>
        <v>0</v>
      </c>
      <c r="BD31" s="4" t="str">
        <f t="shared" si="11"/>
        <v/>
      </c>
      <c r="BE31" s="4" t="str">
        <f t="shared" si="12"/>
        <v/>
      </c>
      <c r="BF31" s="311" t="s">
        <v>270</v>
      </c>
      <c r="BG31" s="438">
        <f>COUNTIF($P$7:$P$56,26)+COUNTIF($U$7:$U$56,26)</f>
        <v>0</v>
      </c>
      <c r="BH31" s="451" t="s">
        <v>239</v>
      </c>
      <c r="BI31" s="589"/>
      <c r="BJ31" s="446" t="s">
        <v>239</v>
      </c>
      <c r="BK31" s="589"/>
      <c r="BL31" s="446" t="s">
        <v>239</v>
      </c>
      <c r="BM31" s="589"/>
      <c r="BN31" s="446" t="s">
        <v>239</v>
      </c>
      <c r="BO31" s="590"/>
    </row>
    <row r="32" spans="1:79" ht="14.25" thickBot="1">
      <c r="A32" s="5">
        <f t="shared" si="4"/>
        <v>0</v>
      </c>
      <c r="B32" s="18" t="str">
        <f>名簿!Q34</f>
        <v/>
      </c>
      <c r="C32" s="5">
        <f t="shared" si="5"/>
        <v>0</v>
      </c>
      <c r="D32" s="776">
        <f>名簿!D34</f>
        <v>0</v>
      </c>
      <c r="E32" s="19">
        <f>名簿!E34</f>
        <v>0</v>
      </c>
      <c r="F32" s="205" t="str">
        <f>名簿!BN34</f>
        <v/>
      </c>
      <c r="G32" s="19" t="str">
        <f>名簿!Z34</f>
        <v/>
      </c>
      <c r="H32" s="122" t="str">
        <f t="shared" si="0"/>
        <v/>
      </c>
      <c r="I32" s="361" t="str">
        <f>名簿!O34</f>
        <v/>
      </c>
      <c r="J32" s="361">
        <f>名簿!I34</f>
        <v>0</v>
      </c>
      <c r="K32" s="807">
        <f>名簿!K34</f>
        <v>0</v>
      </c>
      <c r="L32" s="409" t="str">
        <f>名簿!BQ34</f>
        <v>00</v>
      </c>
      <c r="M32" s="19" t="str">
        <f>名簿!R34</f>
        <v/>
      </c>
      <c r="N32" s="689">
        <f>名簿!C34</f>
        <v>0</v>
      </c>
      <c r="O32" s="461"/>
      <c r="P32" s="187" t="str">
        <f>IF(O32="","",IF(I32=1,VLOOKUP(O32,男子種目コード!$A$1:$B$33,2,FALSE),IF(I32=2,VLOOKUP(O32,女子種目コード!$A$1:$B$28,2,FALSE))))</f>
        <v/>
      </c>
      <c r="Q32" s="299" t="str">
        <f>IF(O32="","",HLOOKUP(O32,名簿!$AB$8:$BG$58,27,FALSE))</f>
        <v/>
      </c>
      <c r="R32" s="362">
        <v>0</v>
      </c>
      <c r="S32" s="401">
        <v>2</v>
      </c>
      <c r="T32" s="200"/>
      <c r="U32" s="187" t="str">
        <f>IF(T32="","",IF(I32=1,VLOOKUP(T32,男子種目コード!$A$1:$B$33,2,FALSE),IF(I32=2,VLOOKUP(T32,女子種目コード!$A$1:$B$28,2,FALSE))))</f>
        <v/>
      </c>
      <c r="V32" s="299" t="str">
        <f>IF(T32="","",HLOOKUP(T32,名簿!$AB$8:$BG$58,27,FALSE))</f>
        <v/>
      </c>
      <c r="W32" s="204"/>
      <c r="X32" s="205" t="str">
        <f>IF(W32="","",IF(I32=1,VLOOKUP(W32,男子種目コード!$D$2:$E$30,2,FALSE),IF(I32=2,VLOOKUP(W32,女子種目コード!$D$2:$E$30,2,FALSE))))</f>
        <v/>
      </c>
      <c r="Y32" s="454"/>
      <c r="Z32" s="362"/>
      <c r="AA32" s="362"/>
      <c r="AB32" s="468"/>
      <c r="AC32" s="464" t="str">
        <f>IF(AB32="","",IF(I32=1,VLOOKUP(AB32,男子種目コード!$A$82:$B$85,2,FALSE),IF(I32=2,VLOOKUP(AB32,女子種目コード!$A$82:$B$85,2,FALSE))))</f>
        <v/>
      </c>
      <c r="AD32" s="454"/>
      <c r="AE32" s="362">
        <v>0</v>
      </c>
      <c r="AF32" s="362">
        <v>2</v>
      </c>
      <c r="AG32" s="455"/>
      <c r="AH32" s="104" t="str">
        <f>IF(AG32="","",IF(I32=1,VLOOKUP(AG32,男子種目コード!$A$78:$B$81,2,FALSE),IF(I32=2,VLOOKUP(AG32,女子種目コード!$A$78:$B$81,2,FALSE))))</f>
        <v/>
      </c>
      <c r="AI32" s="407"/>
      <c r="AJ32" s="344">
        <v>0</v>
      </c>
      <c r="AK32" s="344">
        <v>2</v>
      </c>
      <c r="AL32" s="354">
        <v>0</v>
      </c>
      <c r="AM32" s="354"/>
      <c r="AN32" s="103"/>
      <c r="AO32" s="424" t="s">
        <v>210</v>
      </c>
      <c r="AP32" s="103" t="str">
        <f t="shared" si="21"/>
        <v/>
      </c>
      <c r="AQ32" s="103" t="str">
        <f t="shared" si="6"/>
        <v/>
      </c>
      <c r="AR32" s="103"/>
      <c r="AS32" s="103"/>
      <c r="AT32" s="240" t="str">
        <f t="shared" si="7"/>
        <v/>
      </c>
      <c r="AU32" s="240">
        <f t="shared" si="1"/>
        <v>0</v>
      </c>
      <c r="AV32" s="240">
        <f t="shared" si="2"/>
        <v>0</v>
      </c>
      <c r="AW32" s="240">
        <f t="shared" si="3"/>
        <v>0</v>
      </c>
      <c r="AX32" s="240">
        <f t="shared" si="8"/>
        <v>0</v>
      </c>
      <c r="AY32" s="237">
        <v>400</v>
      </c>
      <c r="AZ32" s="237">
        <v>400</v>
      </c>
      <c r="BA32" s="4"/>
      <c r="BB32" s="4">
        <f t="shared" si="9"/>
        <v>0</v>
      </c>
      <c r="BC32" s="4">
        <f t="shared" si="10"/>
        <v>0</v>
      </c>
      <c r="BD32" s="4" t="str">
        <f t="shared" si="11"/>
        <v/>
      </c>
      <c r="BE32" s="4" t="str">
        <f t="shared" si="12"/>
        <v/>
      </c>
      <c r="BF32" s="312" t="s">
        <v>272</v>
      </c>
      <c r="BG32" s="443">
        <f>COUNTIF($P$7:$P$56,27)+COUNTIF($U$7:$U$56,27)</f>
        <v>0</v>
      </c>
      <c r="BH32" s="513" t="str">
        <f t="shared" ref="BH32:BH37" ca="1" si="38">IF(ISERROR(BP32),"",BP32)</f>
        <v/>
      </c>
      <c r="BI32" s="514" t="str">
        <f t="shared" ref="BI32:BI37" ca="1" si="39">IF(ISERROR(BQ32),"",BQ32)</f>
        <v/>
      </c>
      <c r="BJ32" s="515" t="str">
        <f t="shared" ref="BJ32:BJ37" ca="1" si="40">IF(ISERROR(BR32),"",BR32)</f>
        <v/>
      </c>
      <c r="BK32" s="514" t="str">
        <f t="shared" ref="BK32:BK37" ca="1" si="41">IF(ISERROR(BS32),"",BS32)</f>
        <v/>
      </c>
      <c r="BL32" s="515" t="str">
        <f t="shared" ref="BL32:BL37" ca="1" si="42">IF(ISERROR(BT32),"",BT32)</f>
        <v/>
      </c>
      <c r="BM32" s="514" t="str">
        <f t="shared" ref="BM32:BM37" ca="1" si="43">IF(ISERROR(BU32),"",BU32)</f>
        <v/>
      </c>
      <c r="BN32" s="515" t="str">
        <f t="shared" ref="BN32:BN37" ca="1" si="44">IF(ISERROR(BV32),"",BV32)</f>
        <v/>
      </c>
      <c r="BO32" s="516" t="str">
        <f t="shared" ref="BO32:BO37" ca="1" si="45">IF(ISERROR(BW32),"",BW32)</f>
        <v/>
      </c>
      <c r="BP32" s="179" t="e">
        <f ca="1">VLookUpX("男子D",$A$7:$F$56,1,5)</f>
        <v>#N/A</v>
      </c>
      <c r="BQ32" s="179" t="e">
        <f ca="1">VLookUpX("男子D",$A$7:$F$56,1,6)</f>
        <v>#N/A</v>
      </c>
      <c r="BR32" s="179" t="e">
        <f ca="1">VLookUpX("男子D",$C$7:$F$56,1,3)</f>
        <v>#N/A</v>
      </c>
      <c r="BS32" s="179" t="e">
        <f ca="1">VLookUpX("男子D",$C$7:$F$56,1,4)</f>
        <v>#N/A</v>
      </c>
      <c r="BT32" s="179" t="e">
        <f ca="1">VLookUpX("女子D",$A$7:$F$56,1,5)</f>
        <v>#N/A</v>
      </c>
      <c r="BU32" s="179" t="e">
        <f ca="1">VLookUpX("女子D",$A$7:$F$56,1,6)</f>
        <v>#N/A</v>
      </c>
      <c r="BV32" s="179" t="e">
        <f ca="1">VLookUpX("女子D",$C$7:$F$56,1,3)</f>
        <v>#N/A</v>
      </c>
      <c r="BW32" s="179" t="e">
        <f ca="1">VLookUpX("女子D",$C$7:$F$56,1,4)</f>
        <v>#N/A</v>
      </c>
      <c r="BX32" s="4" t="str">
        <f ca="1">IF(BH32="","",1)</f>
        <v/>
      </c>
      <c r="BY32" s="4" t="str">
        <f ca="1">IF(BJ32="","",1)</f>
        <v/>
      </c>
      <c r="BZ32" s="4" t="str">
        <f ca="1">IF(BL32="","",1)</f>
        <v/>
      </c>
      <c r="CA32" s="4" t="str">
        <f ca="1">IF(BN32="","",1)</f>
        <v/>
      </c>
    </row>
    <row r="33" spans="1:80" ht="14.25" thickBot="1">
      <c r="A33" s="5">
        <f t="shared" si="4"/>
        <v>0</v>
      </c>
      <c r="B33" s="18" t="str">
        <f>名簿!Q35</f>
        <v/>
      </c>
      <c r="C33" s="5">
        <f t="shared" si="5"/>
        <v>0</v>
      </c>
      <c r="D33" s="776">
        <f>名簿!D35</f>
        <v>0</v>
      </c>
      <c r="E33" s="19">
        <f>名簿!E35</f>
        <v>0</v>
      </c>
      <c r="F33" s="205" t="str">
        <f>名簿!BN35</f>
        <v/>
      </c>
      <c r="G33" s="19" t="str">
        <f>名簿!Z35</f>
        <v/>
      </c>
      <c r="H33" s="122" t="str">
        <f t="shared" si="0"/>
        <v/>
      </c>
      <c r="I33" s="361" t="str">
        <f>名簿!O35</f>
        <v/>
      </c>
      <c r="J33" s="361">
        <f>名簿!I35</f>
        <v>0</v>
      </c>
      <c r="K33" s="807">
        <f>名簿!K35</f>
        <v>0</v>
      </c>
      <c r="L33" s="409" t="str">
        <f>名簿!BQ35</f>
        <v>00</v>
      </c>
      <c r="M33" s="19" t="str">
        <f>名簿!R35</f>
        <v/>
      </c>
      <c r="N33" s="689">
        <f>名簿!C35</f>
        <v>0</v>
      </c>
      <c r="O33" s="461"/>
      <c r="P33" s="187" t="str">
        <f>IF(O33="","",IF(I33=1,VLOOKUP(O33,男子種目コード!$A$1:$B$33,2,FALSE),IF(I33=2,VLOOKUP(O33,女子種目コード!$A$1:$B$28,2,FALSE))))</f>
        <v/>
      </c>
      <c r="Q33" s="299" t="str">
        <f>IF(O33="","",HLOOKUP(O33,名簿!$AB$8:$BG$58,28,FALSE))</f>
        <v/>
      </c>
      <c r="R33" s="362">
        <v>0</v>
      </c>
      <c r="S33" s="401">
        <v>2</v>
      </c>
      <c r="T33" s="200"/>
      <c r="U33" s="187" t="str">
        <f>IF(T33="","",IF(I33=1,VLOOKUP(T33,男子種目コード!$A$1:$B$33,2,FALSE),IF(I33=2,VLOOKUP(T33,女子種目コード!$A$1:$B$28,2,FALSE))))</f>
        <v/>
      </c>
      <c r="V33" s="299" t="str">
        <f>IF(T33="","",HLOOKUP(T33,名簿!$AB$8:$BG$58,28,FALSE))</f>
        <v/>
      </c>
      <c r="W33" s="204"/>
      <c r="X33" s="205" t="str">
        <f>IF(W33="","",IF(I33=1,VLOOKUP(W33,男子種目コード!$D$2:$E$30,2,FALSE),IF(I33=2,VLOOKUP(W33,女子種目コード!$D$2:$E$30,2,FALSE))))</f>
        <v/>
      </c>
      <c r="Y33" s="454"/>
      <c r="Z33" s="362"/>
      <c r="AA33" s="362"/>
      <c r="AB33" s="468"/>
      <c r="AC33" s="464" t="str">
        <f>IF(AB33="","",IF(I33=1,VLOOKUP(AB33,男子種目コード!$A$82:$B$85,2,FALSE),IF(I33=2,VLOOKUP(AB33,女子種目コード!$A$82:$B$85,2,FALSE))))</f>
        <v/>
      </c>
      <c r="AD33" s="454"/>
      <c r="AE33" s="362">
        <v>0</v>
      </c>
      <c r="AF33" s="362">
        <v>2</v>
      </c>
      <c r="AG33" s="455"/>
      <c r="AH33" s="104" t="str">
        <f>IF(AG33="","",IF(I33=1,VLOOKUP(AG33,男子種目コード!$A$78:$B$81,2,FALSE),IF(I33=2,VLOOKUP(AG33,女子種目コード!$A$78:$B$81,2,FALSE))))</f>
        <v/>
      </c>
      <c r="AI33" s="407"/>
      <c r="AJ33" s="344">
        <v>0</v>
      </c>
      <c r="AK33" s="344">
        <v>2</v>
      </c>
      <c r="AL33" s="354">
        <v>0</v>
      </c>
      <c r="AM33" s="354"/>
      <c r="AN33" s="103"/>
      <c r="AO33" s="424" t="s">
        <v>211</v>
      </c>
      <c r="AP33" s="103" t="str">
        <f t="shared" si="21"/>
        <v/>
      </c>
      <c r="AQ33" s="103" t="str">
        <f t="shared" si="6"/>
        <v/>
      </c>
      <c r="AR33" s="103"/>
      <c r="AS33" s="103"/>
      <c r="AT33" s="240" t="str">
        <f t="shared" si="7"/>
        <v/>
      </c>
      <c r="AU33" s="240">
        <f t="shared" si="1"/>
        <v>0</v>
      </c>
      <c r="AV33" s="240">
        <f t="shared" si="2"/>
        <v>0</v>
      </c>
      <c r="AW33" s="240">
        <f t="shared" si="3"/>
        <v>0</v>
      </c>
      <c r="AX33" s="240">
        <f t="shared" si="8"/>
        <v>0</v>
      </c>
      <c r="AY33" s="237">
        <v>800</v>
      </c>
      <c r="AZ33" s="237">
        <v>800</v>
      </c>
      <c r="BA33" s="4"/>
      <c r="BB33" s="4">
        <f t="shared" si="9"/>
        <v>0</v>
      </c>
      <c r="BC33" s="4">
        <f t="shared" si="10"/>
        <v>0</v>
      </c>
      <c r="BD33" s="4" t="str">
        <f t="shared" si="11"/>
        <v/>
      </c>
      <c r="BE33" s="4" t="str">
        <f t="shared" si="12"/>
        <v/>
      </c>
      <c r="BF33" s="314" t="s">
        <v>241</v>
      </c>
      <c r="BG33" s="444">
        <f>SUM(BG8:BG32)</f>
        <v>0</v>
      </c>
      <c r="BH33" s="517" t="str">
        <f t="shared" ca="1" si="38"/>
        <v/>
      </c>
      <c r="BI33" s="518" t="str">
        <f t="shared" ca="1" si="39"/>
        <v/>
      </c>
      <c r="BJ33" s="519" t="str">
        <f t="shared" ca="1" si="40"/>
        <v/>
      </c>
      <c r="BK33" s="518" t="str">
        <f t="shared" ca="1" si="41"/>
        <v/>
      </c>
      <c r="BL33" s="519" t="str">
        <f t="shared" ca="1" si="42"/>
        <v/>
      </c>
      <c r="BM33" s="518" t="str">
        <f t="shared" ca="1" si="43"/>
        <v/>
      </c>
      <c r="BN33" s="519" t="str">
        <f t="shared" ca="1" si="44"/>
        <v/>
      </c>
      <c r="BO33" s="520" t="str">
        <f t="shared" ca="1" si="45"/>
        <v/>
      </c>
      <c r="BP33" s="179" t="e">
        <f ca="1">VLookUpX("男子D",$A$7:$F$56,2,5)</f>
        <v>#N/A</v>
      </c>
      <c r="BQ33" s="179" t="e">
        <f ca="1">VLookUpX("男子D",$A$7:$F$56,2,6)</f>
        <v>#N/A</v>
      </c>
      <c r="BR33" s="179" t="e">
        <f ca="1">VLookUpX("男子D",$C$7:$F$56,2,3)</f>
        <v>#N/A</v>
      </c>
      <c r="BS33" s="179" t="e">
        <f ca="1">VLookUpX("男子D",$C$7:$F$56,2,4)</f>
        <v>#N/A</v>
      </c>
      <c r="BT33" s="179" t="e">
        <f ca="1">VLookUpX("女子D",$A$7:$F$56,2,5)</f>
        <v>#N/A</v>
      </c>
      <c r="BU33" s="179" t="e">
        <f ca="1">VLookUpX("女子D",$A$7:$F$56,2,6)</f>
        <v>#N/A</v>
      </c>
      <c r="BV33" s="179" t="e">
        <f ca="1">VLookUpX("女子D",$C$7:$F$56,2,3)</f>
        <v>#N/A</v>
      </c>
      <c r="BW33" s="179" t="e">
        <f ca="1">VLookUpX("女子D",$C$7:$F$56,2,4)</f>
        <v>#N/A</v>
      </c>
    </row>
    <row r="34" spans="1:80" ht="14.25" thickBot="1">
      <c r="A34" s="5">
        <f t="shared" si="4"/>
        <v>0</v>
      </c>
      <c r="B34" s="18" t="str">
        <f>名簿!Q36</f>
        <v/>
      </c>
      <c r="C34" s="5">
        <f t="shared" si="5"/>
        <v>0</v>
      </c>
      <c r="D34" s="776">
        <f>名簿!D36</f>
        <v>0</v>
      </c>
      <c r="E34" s="19">
        <f>名簿!E36</f>
        <v>0</v>
      </c>
      <c r="F34" s="205" t="str">
        <f>名簿!BN36</f>
        <v/>
      </c>
      <c r="G34" s="19" t="str">
        <f>名簿!Z36</f>
        <v/>
      </c>
      <c r="H34" s="122" t="str">
        <f t="shared" si="0"/>
        <v/>
      </c>
      <c r="I34" s="361" t="str">
        <f>名簿!O36</f>
        <v/>
      </c>
      <c r="J34" s="361">
        <f>名簿!I36</f>
        <v>0</v>
      </c>
      <c r="K34" s="807">
        <f>名簿!K36</f>
        <v>0</v>
      </c>
      <c r="L34" s="409" t="str">
        <f>名簿!BQ36</f>
        <v>00</v>
      </c>
      <c r="M34" s="19" t="str">
        <f>名簿!R36</f>
        <v/>
      </c>
      <c r="N34" s="689">
        <f>名簿!C36</f>
        <v>0</v>
      </c>
      <c r="O34" s="461"/>
      <c r="P34" s="187" t="str">
        <f>IF(O34="","",IF(I34=1,VLOOKUP(O34,男子種目コード!$A$1:$B$33,2,FALSE),IF(I34=2,VLOOKUP(O34,女子種目コード!$A$1:$B$28,2,FALSE))))</f>
        <v/>
      </c>
      <c r="Q34" s="299" t="str">
        <f>IF(O34="","",HLOOKUP(O34,名簿!$AB$8:$BG$58,29,FALSE))</f>
        <v/>
      </c>
      <c r="R34" s="362">
        <v>0</v>
      </c>
      <c r="S34" s="401">
        <v>2</v>
      </c>
      <c r="T34" s="200"/>
      <c r="U34" s="187" t="str">
        <f>IF(T34="","",IF(I34=1,VLOOKUP(T34,男子種目コード!$A$1:$B$33,2,FALSE),IF(I34=2,VLOOKUP(T34,女子種目コード!$A$1:$B$28,2,FALSE))))</f>
        <v/>
      </c>
      <c r="V34" s="299" t="str">
        <f>IF(T34="","",HLOOKUP(T34,名簿!$AB$8:$BG$58,29,FALSE))</f>
        <v/>
      </c>
      <c r="W34" s="204"/>
      <c r="X34" s="205" t="str">
        <f>IF(W34="","",IF(I34=1,VLOOKUP(W34,男子種目コード!$D$2:$E$30,2,FALSE),IF(I34=2,VLOOKUP(W34,女子種目コード!$D$2:$E$30,2,FALSE))))</f>
        <v/>
      </c>
      <c r="Y34" s="454"/>
      <c r="Z34" s="362"/>
      <c r="AA34" s="362"/>
      <c r="AB34" s="468"/>
      <c r="AC34" s="464" t="str">
        <f>IF(AB34="","",IF(I34=1,VLOOKUP(AB34,男子種目コード!$A$82:$B$85,2,FALSE),IF(I34=2,VLOOKUP(AB34,女子種目コード!$A$82:$B$85,2,FALSE))))</f>
        <v/>
      </c>
      <c r="AD34" s="454"/>
      <c r="AE34" s="362">
        <v>0</v>
      </c>
      <c r="AF34" s="362">
        <v>2</v>
      </c>
      <c r="AG34" s="455"/>
      <c r="AH34" s="104" t="str">
        <f>IF(AG34="","",IF(I34=1,VLOOKUP(AG34,男子種目コード!$A$78:$B$81,2,FALSE),IF(I34=2,VLOOKUP(AG34,女子種目コード!$A$78:$B$81,2,FALSE))))</f>
        <v/>
      </c>
      <c r="AI34" s="407"/>
      <c r="AJ34" s="344">
        <v>0</v>
      </c>
      <c r="AK34" s="344">
        <v>2</v>
      </c>
      <c r="AL34" s="354">
        <v>0</v>
      </c>
      <c r="AM34" s="354"/>
      <c r="AN34" s="103"/>
      <c r="AO34" s="424" t="s">
        <v>212</v>
      </c>
      <c r="AP34" s="103" t="str">
        <f t="shared" si="21"/>
        <v/>
      </c>
      <c r="AQ34" s="103" t="str">
        <f t="shared" si="6"/>
        <v/>
      </c>
      <c r="AR34" s="103"/>
      <c r="AS34" s="103"/>
      <c r="AT34" s="240" t="str">
        <f t="shared" si="7"/>
        <v/>
      </c>
      <c r="AU34" s="240">
        <f t="shared" si="1"/>
        <v>0</v>
      </c>
      <c r="AV34" s="240">
        <f t="shared" si="2"/>
        <v>0</v>
      </c>
      <c r="AW34" s="240">
        <f t="shared" si="3"/>
        <v>0</v>
      </c>
      <c r="AX34" s="240">
        <f t="shared" si="8"/>
        <v>0</v>
      </c>
      <c r="AY34" s="237">
        <v>1500</v>
      </c>
      <c r="AZ34" s="237">
        <v>1500</v>
      </c>
      <c r="BA34" s="4"/>
      <c r="BB34" s="4">
        <f t="shared" si="9"/>
        <v>0</v>
      </c>
      <c r="BC34" s="4">
        <f t="shared" si="10"/>
        <v>0</v>
      </c>
      <c r="BD34" s="4" t="str">
        <f t="shared" si="11"/>
        <v/>
      </c>
      <c r="BE34" s="4" t="str">
        <f t="shared" si="12"/>
        <v/>
      </c>
      <c r="BF34" s="316" t="s">
        <v>209</v>
      </c>
      <c r="BG34" s="445"/>
      <c r="BH34" s="517" t="str">
        <f t="shared" ca="1" si="38"/>
        <v/>
      </c>
      <c r="BI34" s="518" t="str">
        <f t="shared" ca="1" si="39"/>
        <v/>
      </c>
      <c r="BJ34" s="519" t="str">
        <f t="shared" ca="1" si="40"/>
        <v/>
      </c>
      <c r="BK34" s="518" t="str">
        <f t="shared" ca="1" si="41"/>
        <v/>
      </c>
      <c r="BL34" s="519" t="str">
        <f t="shared" ca="1" si="42"/>
        <v/>
      </c>
      <c r="BM34" s="518" t="str">
        <f t="shared" ca="1" si="43"/>
        <v/>
      </c>
      <c r="BN34" s="519" t="str">
        <f t="shared" ca="1" si="44"/>
        <v/>
      </c>
      <c r="BO34" s="520" t="str">
        <f t="shared" ca="1" si="45"/>
        <v/>
      </c>
      <c r="BP34" s="179" t="e">
        <f ca="1">VLookUpX("男子D",$A$7:$F$56,3,5)</f>
        <v>#N/A</v>
      </c>
      <c r="BQ34" s="179" t="e">
        <f ca="1">VLookUpX("男子D",$A$7:$F$56,3,6)</f>
        <v>#N/A</v>
      </c>
      <c r="BR34" s="179" t="e">
        <f ca="1">VLookUpX("男子D",$C$7:$F$56,3,3)</f>
        <v>#N/A</v>
      </c>
      <c r="BS34" s="179" t="e">
        <f ca="1">VLookUpX("男子D",$C$7:$F$56,3,4)</f>
        <v>#N/A</v>
      </c>
      <c r="BT34" s="179" t="e">
        <f ca="1">VLookUpX("女子D",$A$7:$F$56,3,5)</f>
        <v>#N/A</v>
      </c>
      <c r="BU34" s="179" t="e">
        <f ca="1">VLookUpX("女子D",$A$7:$F$56,3,6)</f>
        <v>#N/A</v>
      </c>
      <c r="BV34" s="179" t="e">
        <f ca="1">VLookUpX("女子D",$C$7:$F$56,3,3)</f>
        <v>#N/A</v>
      </c>
      <c r="BW34" s="179" t="e">
        <f ca="1">VLookUpX("女子D",$C$7:$F$56,3,4)</f>
        <v>#N/A</v>
      </c>
    </row>
    <row r="35" spans="1:80" ht="14.25" thickBot="1">
      <c r="A35" s="5">
        <f t="shared" si="4"/>
        <v>0</v>
      </c>
      <c r="B35" s="18" t="str">
        <f>名簿!Q37</f>
        <v/>
      </c>
      <c r="C35" s="5">
        <f t="shared" si="5"/>
        <v>0</v>
      </c>
      <c r="D35" s="776">
        <f>名簿!D37</f>
        <v>0</v>
      </c>
      <c r="E35" s="19">
        <f>名簿!E37</f>
        <v>0</v>
      </c>
      <c r="F35" s="205" t="str">
        <f>名簿!BN37</f>
        <v/>
      </c>
      <c r="G35" s="19" t="str">
        <f>名簿!Z37</f>
        <v/>
      </c>
      <c r="H35" s="122" t="str">
        <f t="shared" si="0"/>
        <v/>
      </c>
      <c r="I35" s="361" t="str">
        <f>名簿!O37</f>
        <v/>
      </c>
      <c r="J35" s="361">
        <f>名簿!I37</f>
        <v>0</v>
      </c>
      <c r="K35" s="807">
        <f>名簿!K37</f>
        <v>0</v>
      </c>
      <c r="L35" s="409" t="str">
        <f>名簿!BQ37</f>
        <v>00</v>
      </c>
      <c r="M35" s="19" t="str">
        <f>名簿!R37</f>
        <v/>
      </c>
      <c r="N35" s="689">
        <f>名簿!C37</f>
        <v>0</v>
      </c>
      <c r="O35" s="461"/>
      <c r="P35" s="187" t="str">
        <f>IF(O35="","",IF(I35=1,VLOOKUP(O35,男子種目コード!$A$1:$B$33,2,FALSE),IF(I35=2,VLOOKUP(O35,女子種目コード!$A$1:$B$28,2,FALSE))))</f>
        <v/>
      </c>
      <c r="Q35" s="299" t="str">
        <f>IF(O35="","",HLOOKUP(O35,名簿!$AB$8:$BG$58,30,FALSE))</f>
        <v/>
      </c>
      <c r="R35" s="362">
        <v>0</v>
      </c>
      <c r="S35" s="401">
        <v>2</v>
      </c>
      <c r="T35" s="200"/>
      <c r="U35" s="187" t="str">
        <f>IF(T35="","",IF(I35=1,VLOOKUP(T35,男子種目コード!$A$1:$B$33,2,FALSE),IF(I35=2,VLOOKUP(T35,女子種目コード!$A$1:$B$28,2,FALSE))))</f>
        <v/>
      </c>
      <c r="V35" s="299" t="str">
        <f>IF(T35="","",HLOOKUP(T35,名簿!$AB$8:$BG$58,30,FALSE))</f>
        <v/>
      </c>
      <c r="W35" s="204"/>
      <c r="X35" s="205" t="str">
        <f>IF(W35="","",IF(I35=1,VLOOKUP(W35,男子種目コード!$D$2:$E$30,2,FALSE),IF(I35=2,VLOOKUP(W35,女子種目コード!$D$2:$E$30,2,FALSE))))</f>
        <v/>
      </c>
      <c r="Y35" s="454"/>
      <c r="Z35" s="362"/>
      <c r="AA35" s="362"/>
      <c r="AB35" s="468"/>
      <c r="AC35" s="464" t="str">
        <f>IF(AB35="","",IF(I35=1,VLOOKUP(AB35,男子種目コード!$A$82:$B$85,2,FALSE),IF(I35=2,VLOOKUP(AB35,女子種目コード!$A$82:$B$85,2,FALSE))))</f>
        <v/>
      </c>
      <c r="AD35" s="454"/>
      <c r="AE35" s="362">
        <v>0</v>
      </c>
      <c r="AF35" s="362">
        <v>2</v>
      </c>
      <c r="AG35" s="455"/>
      <c r="AH35" s="104" t="str">
        <f>IF(AG35="","",IF(I35=1,VLOOKUP(AG35,男子種目コード!$A$78:$B$81,2,FALSE),IF(I35=2,VLOOKUP(AG35,女子種目コード!$A$78:$B$81,2,FALSE))))</f>
        <v/>
      </c>
      <c r="AI35" s="407"/>
      <c r="AJ35" s="344">
        <v>0</v>
      </c>
      <c r="AK35" s="344">
        <v>2</v>
      </c>
      <c r="AL35" s="354">
        <v>0</v>
      </c>
      <c r="AM35" s="354"/>
      <c r="AN35" s="103"/>
      <c r="AO35" s="424" t="s">
        <v>213</v>
      </c>
      <c r="AP35" s="103" t="str">
        <f t="shared" si="21"/>
        <v/>
      </c>
      <c r="AQ35" s="103" t="str">
        <f t="shared" si="6"/>
        <v/>
      </c>
      <c r="AR35" s="103"/>
      <c r="AS35" s="103"/>
      <c r="AT35" s="240" t="str">
        <f t="shared" si="7"/>
        <v/>
      </c>
      <c r="AU35" s="240">
        <f t="shared" si="1"/>
        <v>0</v>
      </c>
      <c r="AV35" s="240">
        <f t="shared" si="2"/>
        <v>0</v>
      </c>
      <c r="AW35" s="240">
        <f t="shared" si="3"/>
        <v>0</v>
      </c>
      <c r="AX35" s="240">
        <f t="shared" si="8"/>
        <v>0</v>
      </c>
      <c r="AY35" s="238" t="s">
        <v>180</v>
      </c>
      <c r="AZ35" s="238" t="s">
        <v>180</v>
      </c>
      <c r="BA35" s="4"/>
      <c r="BB35" s="4">
        <f t="shared" si="9"/>
        <v>0</v>
      </c>
      <c r="BC35" s="4">
        <f t="shared" si="10"/>
        <v>0</v>
      </c>
      <c r="BD35" s="4" t="str">
        <f t="shared" si="11"/>
        <v/>
      </c>
      <c r="BE35" s="4" t="str">
        <f t="shared" si="12"/>
        <v/>
      </c>
      <c r="BF35" s="752">
        <v>100</v>
      </c>
      <c r="BG35" s="661">
        <f>COUNTIF($P$7:$P$56,40)+COUNTIF($U$7:$U$56,40)</f>
        <v>0</v>
      </c>
      <c r="BH35" s="654" t="str">
        <f t="shared" ca="1" si="38"/>
        <v/>
      </c>
      <c r="BI35" s="518" t="str">
        <f t="shared" ca="1" si="39"/>
        <v/>
      </c>
      <c r="BJ35" s="519" t="str">
        <f t="shared" ca="1" si="40"/>
        <v/>
      </c>
      <c r="BK35" s="518" t="str">
        <f t="shared" ca="1" si="41"/>
        <v/>
      </c>
      <c r="BL35" s="519" t="str">
        <f t="shared" ca="1" si="42"/>
        <v/>
      </c>
      <c r="BM35" s="518" t="str">
        <f t="shared" ca="1" si="43"/>
        <v/>
      </c>
      <c r="BN35" s="519" t="str">
        <f t="shared" ca="1" si="44"/>
        <v/>
      </c>
      <c r="BO35" s="520" t="str">
        <f t="shared" ca="1" si="45"/>
        <v/>
      </c>
      <c r="BP35" s="179" t="e">
        <f ca="1">VLookUpX("男子D",$A$7:$F$56,4,5)</f>
        <v>#N/A</v>
      </c>
      <c r="BQ35" s="179" t="e">
        <f ca="1">VLookUpX("男子D",$A$7:$F$56,4,6)</f>
        <v>#N/A</v>
      </c>
      <c r="BR35" s="179" t="e">
        <f ca="1">VLookUpX("男子D",$C$7:$F$56,4,3)</f>
        <v>#N/A</v>
      </c>
      <c r="BS35" s="179" t="e">
        <f ca="1">VLookUpX("男子D",$C$7:$F$56,4,4)</f>
        <v>#N/A</v>
      </c>
      <c r="BT35" s="179" t="e">
        <f ca="1">VLookUpX("女子D",$A$7:$F$56,4,5)</f>
        <v>#N/A</v>
      </c>
      <c r="BU35" s="179" t="e">
        <f ca="1">VLookUpX("女子D",$A$7:$F$56,4,6)</f>
        <v>#N/A</v>
      </c>
      <c r="BV35" s="179" t="e">
        <f ca="1">VLookUpX("女子D",$C$7:$F$56,4,3)</f>
        <v>#N/A</v>
      </c>
      <c r="BW35" s="179" t="e">
        <f ca="1">VLookUpX("女子D",$C$7:$F$56,4,4)</f>
        <v>#N/A</v>
      </c>
    </row>
    <row r="36" spans="1:80" ht="14.25" thickBot="1">
      <c r="A36" s="5">
        <f t="shared" si="4"/>
        <v>0</v>
      </c>
      <c r="B36" s="18" t="str">
        <f>名簿!Q38</f>
        <v/>
      </c>
      <c r="C36" s="5">
        <f t="shared" si="5"/>
        <v>0</v>
      </c>
      <c r="D36" s="776">
        <f>名簿!D38</f>
        <v>0</v>
      </c>
      <c r="E36" s="19">
        <f>名簿!E38</f>
        <v>0</v>
      </c>
      <c r="F36" s="205" t="str">
        <f>名簿!BN38</f>
        <v/>
      </c>
      <c r="G36" s="19" t="str">
        <f>名簿!Z38</f>
        <v/>
      </c>
      <c r="H36" s="122" t="str">
        <f t="shared" si="0"/>
        <v/>
      </c>
      <c r="I36" s="361" t="str">
        <f>名簿!O38</f>
        <v/>
      </c>
      <c r="J36" s="361">
        <f>名簿!I38</f>
        <v>0</v>
      </c>
      <c r="K36" s="807">
        <f>名簿!K38</f>
        <v>0</v>
      </c>
      <c r="L36" s="409" t="str">
        <f>名簿!BQ38</f>
        <v>00</v>
      </c>
      <c r="M36" s="19" t="str">
        <f>名簿!R38</f>
        <v/>
      </c>
      <c r="N36" s="689">
        <f>名簿!C38</f>
        <v>0</v>
      </c>
      <c r="O36" s="461"/>
      <c r="P36" s="187" t="str">
        <f>IF(O36="","",IF(I36=1,VLOOKUP(O36,男子種目コード!$A$1:$B$33,2,FALSE),IF(I36=2,VLOOKUP(O36,女子種目コード!$A$1:$B$28,2,FALSE))))</f>
        <v/>
      </c>
      <c r="Q36" s="299" t="str">
        <f>IF(O36="","",HLOOKUP(O36,名簿!$AB$8:$BG$58,31,FALSE))</f>
        <v/>
      </c>
      <c r="R36" s="362">
        <v>0</v>
      </c>
      <c r="S36" s="401">
        <v>2</v>
      </c>
      <c r="T36" s="200"/>
      <c r="U36" s="187" t="str">
        <f>IF(T36="","",IF(I36=1,VLOOKUP(T36,男子種目コード!$A$1:$B$33,2,FALSE),IF(I36=2,VLOOKUP(T36,女子種目コード!$A$1:$B$28,2,FALSE))))</f>
        <v/>
      </c>
      <c r="V36" s="299" t="str">
        <f>IF(T36="","",HLOOKUP(T36,名簿!$AB$8:$BG$58,31,FALSE))</f>
        <v/>
      </c>
      <c r="W36" s="204"/>
      <c r="X36" s="205" t="str">
        <f>IF(W36="","",IF(I36=1,VLOOKUP(W36,男子種目コード!$D$2:$E$30,2,FALSE),IF(I36=2,VLOOKUP(W36,女子種目コード!$D$2:$E$30,2,FALSE))))</f>
        <v/>
      </c>
      <c r="Y36" s="454"/>
      <c r="Z36" s="362"/>
      <c r="AA36" s="362"/>
      <c r="AB36" s="468"/>
      <c r="AC36" s="464" t="str">
        <f>IF(AB36="","",IF(I36=1,VLOOKUP(AB36,男子種目コード!$A$82:$B$85,2,FALSE),IF(I36=2,VLOOKUP(AB36,女子種目コード!$A$82:$B$85,2,FALSE))))</f>
        <v/>
      </c>
      <c r="AD36" s="454"/>
      <c r="AE36" s="362">
        <v>0</v>
      </c>
      <c r="AF36" s="362">
        <v>2</v>
      </c>
      <c r="AG36" s="455"/>
      <c r="AH36" s="104" t="str">
        <f>IF(AG36="","",IF(I36=1,VLOOKUP(AG36,男子種目コード!$A$78:$B$81,2,FALSE),IF(I36=2,VLOOKUP(AG36,女子種目コード!$A$78:$B$81,2,FALSE))))</f>
        <v/>
      </c>
      <c r="AI36" s="407"/>
      <c r="AJ36" s="344">
        <v>0</v>
      </c>
      <c r="AK36" s="344">
        <v>2</v>
      </c>
      <c r="AL36" s="354">
        <v>0</v>
      </c>
      <c r="AM36" s="354"/>
      <c r="AN36" s="103"/>
      <c r="AO36" s="424" t="s">
        <v>214</v>
      </c>
      <c r="AP36" s="103" t="str">
        <f t="shared" si="21"/>
        <v/>
      </c>
      <c r="AQ36" s="103" t="str">
        <f t="shared" si="6"/>
        <v/>
      </c>
      <c r="AR36" s="103"/>
      <c r="AS36" s="103"/>
      <c r="AT36" s="240" t="str">
        <f t="shared" si="7"/>
        <v/>
      </c>
      <c r="AU36" s="240">
        <f t="shared" si="1"/>
        <v>0</v>
      </c>
      <c r="AV36" s="240">
        <f t="shared" si="2"/>
        <v>0</v>
      </c>
      <c r="AW36" s="240">
        <f t="shared" si="3"/>
        <v>0</v>
      </c>
      <c r="AX36" s="240">
        <f t="shared" si="8"/>
        <v>0</v>
      </c>
      <c r="AY36" s="237">
        <v>5000</v>
      </c>
      <c r="AZ36" s="237">
        <v>5000</v>
      </c>
      <c r="BA36" s="4"/>
      <c r="BB36" s="4">
        <f t="shared" si="9"/>
        <v>0</v>
      </c>
      <c r="BC36" s="4">
        <f t="shared" si="10"/>
        <v>0</v>
      </c>
      <c r="BD36" s="4" t="str">
        <f t="shared" si="11"/>
        <v/>
      </c>
      <c r="BE36" s="4" t="str">
        <f t="shared" si="12"/>
        <v/>
      </c>
      <c r="BF36" s="665"/>
      <c r="BG36" s="432"/>
      <c r="BH36" s="654" t="str">
        <f t="shared" ca="1" si="38"/>
        <v/>
      </c>
      <c r="BI36" s="518" t="str">
        <f t="shared" ca="1" si="39"/>
        <v/>
      </c>
      <c r="BJ36" s="519" t="str">
        <f t="shared" ca="1" si="40"/>
        <v/>
      </c>
      <c r="BK36" s="518" t="str">
        <f t="shared" ca="1" si="41"/>
        <v/>
      </c>
      <c r="BL36" s="519" t="str">
        <f t="shared" ca="1" si="42"/>
        <v/>
      </c>
      <c r="BM36" s="518" t="str">
        <f t="shared" ca="1" si="43"/>
        <v/>
      </c>
      <c r="BN36" s="519" t="str">
        <f t="shared" ca="1" si="44"/>
        <v/>
      </c>
      <c r="BO36" s="520" t="str">
        <f t="shared" ca="1" si="45"/>
        <v/>
      </c>
      <c r="BP36" s="179" t="e">
        <f ca="1">VLookUpX("男子D",$A$7:$F$56,5,5)</f>
        <v>#N/A</v>
      </c>
      <c r="BQ36" s="179" t="e">
        <f ca="1">VLookUpX("男子D",$A$7:$F$56,5,6)</f>
        <v>#N/A</v>
      </c>
      <c r="BR36" s="179" t="e">
        <f ca="1">VLookUpX("男子D",$C$7:$F$56,5,3)</f>
        <v>#N/A</v>
      </c>
      <c r="BS36" s="179" t="e">
        <f ca="1">VLookUpX("男子D",$C$7:$F$56,5,4)</f>
        <v>#N/A</v>
      </c>
      <c r="BT36" s="179" t="e">
        <f ca="1">VLookUpX("女子D",$A$7:$F$56,5,5)</f>
        <v>#N/A</v>
      </c>
      <c r="BU36" s="179" t="e">
        <f ca="1">VLookUpX("女子D",$A$7:$F$56,5,6)</f>
        <v>#N/A</v>
      </c>
      <c r="BV36" s="179" t="e">
        <f ca="1">VLookUpX("女子D",$C$7:$F$56,5,3)</f>
        <v>#N/A</v>
      </c>
      <c r="BW36" s="179" t="e">
        <f ca="1">VLookUpX("女子D",$C$7:$F$56,5,4)</f>
        <v>#N/A</v>
      </c>
    </row>
    <row r="37" spans="1:80" ht="14.25" thickBot="1">
      <c r="A37" s="5">
        <f t="shared" si="4"/>
        <v>0</v>
      </c>
      <c r="B37" s="18" t="str">
        <f>名簿!Q39</f>
        <v/>
      </c>
      <c r="C37" s="5">
        <f t="shared" si="5"/>
        <v>0</v>
      </c>
      <c r="D37" s="776">
        <f>名簿!D39</f>
        <v>0</v>
      </c>
      <c r="E37" s="19">
        <f>名簿!E39</f>
        <v>0</v>
      </c>
      <c r="F37" s="205" t="str">
        <f>名簿!BN39</f>
        <v/>
      </c>
      <c r="G37" s="19" t="str">
        <f>名簿!Z39</f>
        <v/>
      </c>
      <c r="H37" s="122" t="str">
        <f t="shared" si="0"/>
        <v/>
      </c>
      <c r="I37" s="361" t="str">
        <f>名簿!O39</f>
        <v/>
      </c>
      <c r="J37" s="361">
        <f>名簿!I39</f>
        <v>0</v>
      </c>
      <c r="K37" s="807">
        <f>名簿!K39</f>
        <v>0</v>
      </c>
      <c r="L37" s="409" t="str">
        <f>名簿!BQ39</f>
        <v>00</v>
      </c>
      <c r="M37" s="19" t="str">
        <f>名簿!R39</f>
        <v/>
      </c>
      <c r="N37" s="689">
        <f>名簿!C39</f>
        <v>0</v>
      </c>
      <c r="O37" s="461"/>
      <c r="P37" s="187" t="str">
        <f>IF(O37="","",IF(I37=1,VLOOKUP(O37,男子種目コード!$A$1:$B$33,2,FALSE),IF(I37=2,VLOOKUP(O37,女子種目コード!$A$1:$B$28,2,FALSE))))</f>
        <v/>
      </c>
      <c r="Q37" s="299" t="str">
        <f>IF(O37="","",HLOOKUP(O37,名簿!$AB$8:$BG$58,32,FALSE))</f>
        <v/>
      </c>
      <c r="R37" s="362">
        <v>0</v>
      </c>
      <c r="S37" s="401">
        <v>2</v>
      </c>
      <c r="T37" s="200"/>
      <c r="U37" s="187" t="str">
        <f>IF(T37="","",IF(I37=1,VLOOKUP(T37,男子種目コード!$A$1:$B$33,2,FALSE),IF(I37=2,VLOOKUP(T37,女子種目コード!$A$1:$B$28,2,FALSE))))</f>
        <v/>
      </c>
      <c r="V37" s="299" t="str">
        <f>IF(T37="","",HLOOKUP(T37,名簿!$AB$8:$BG$58,32,FALSE))</f>
        <v/>
      </c>
      <c r="W37" s="204"/>
      <c r="X37" s="205" t="str">
        <f>IF(W37="","",IF(I37=1,VLOOKUP(W37,男子種目コード!$D$2:$E$30,2,FALSE),IF(I37=2,VLOOKUP(W37,女子種目コード!$D$2:$E$30,2,FALSE))))</f>
        <v/>
      </c>
      <c r="Y37" s="454"/>
      <c r="Z37" s="362"/>
      <c r="AA37" s="362"/>
      <c r="AB37" s="468"/>
      <c r="AC37" s="464" t="str">
        <f>IF(AB37="","",IF(I37=1,VLOOKUP(AB37,男子種目コード!$A$82:$B$85,2,FALSE),IF(I37=2,VLOOKUP(AB37,女子種目コード!$A$82:$B$85,2,FALSE))))</f>
        <v/>
      </c>
      <c r="AD37" s="454"/>
      <c r="AE37" s="362">
        <v>0</v>
      </c>
      <c r="AF37" s="362">
        <v>2</v>
      </c>
      <c r="AG37" s="455"/>
      <c r="AH37" s="104" t="str">
        <f>IF(AG37="","",IF(I37=1,VLOOKUP(AG37,男子種目コード!$A$78:$B$81,2,FALSE),IF(I37=2,VLOOKUP(AG37,女子種目コード!$A$78:$B$81,2,FALSE))))</f>
        <v/>
      </c>
      <c r="AI37" s="407"/>
      <c r="AJ37" s="344">
        <v>0</v>
      </c>
      <c r="AK37" s="344">
        <v>2</v>
      </c>
      <c r="AL37" s="354">
        <v>0</v>
      </c>
      <c r="AM37" s="354"/>
      <c r="AN37" s="103"/>
      <c r="AO37" s="424" t="s">
        <v>215</v>
      </c>
      <c r="AP37" s="103" t="str">
        <f t="shared" si="21"/>
        <v/>
      </c>
      <c r="AQ37" s="103" t="str">
        <f t="shared" si="6"/>
        <v/>
      </c>
      <c r="AR37" s="103"/>
      <c r="AS37" s="103"/>
      <c r="AT37" s="240" t="str">
        <f t="shared" si="7"/>
        <v/>
      </c>
      <c r="AU37" s="240">
        <f t="shared" si="1"/>
        <v>0</v>
      </c>
      <c r="AV37" s="240">
        <f t="shared" si="2"/>
        <v>0</v>
      </c>
      <c r="AW37" s="240">
        <f t="shared" si="3"/>
        <v>0</v>
      </c>
      <c r="AX37" s="240">
        <f t="shared" si="8"/>
        <v>0</v>
      </c>
      <c r="AY37" s="237">
        <v>10000</v>
      </c>
      <c r="AZ37" s="237">
        <v>10000</v>
      </c>
      <c r="BA37" s="4"/>
      <c r="BB37" s="4">
        <f t="shared" si="9"/>
        <v>0</v>
      </c>
      <c r="BC37" s="4">
        <f t="shared" si="10"/>
        <v>0</v>
      </c>
      <c r="BD37" s="4" t="str">
        <f t="shared" si="11"/>
        <v/>
      </c>
      <c r="BE37" s="4" t="str">
        <f t="shared" si="12"/>
        <v/>
      </c>
      <c r="BF37" s="666">
        <v>200</v>
      </c>
      <c r="BG37" s="432">
        <f>COUNTIF($P$7:$P$56,41)+COUNTIF($U$7:$U$56,41)</f>
        <v>0</v>
      </c>
      <c r="BH37" s="749" t="str">
        <f t="shared" ca="1" si="38"/>
        <v/>
      </c>
      <c r="BI37" s="526" t="str">
        <f t="shared" ca="1" si="39"/>
        <v/>
      </c>
      <c r="BJ37" s="527" t="str">
        <f t="shared" ca="1" si="40"/>
        <v/>
      </c>
      <c r="BK37" s="526" t="str">
        <f t="shared" ca="1" si="41"/>
        <v/>
      </c>
      <c r="BL37" s="527" t="str">
        <f t="shared" ca="1" si="42"/>
        <v/>
      </c>
      <c r="BM37" s="526" t="str">
        <f t="shared" ca="1" si="43"/>
        <v/>
      </c>
      <c r="BN37" s="527" t="str">
        <f t="shared" ca="1" si="44"/>
        <v/>
      </c>
      <c r="BO37" s="528" t="str">
        <f t="shared" ca="1" si="45"/>
        <v/>
      </c>
      <c r="BP37" s="179" t="e">
        <f ca="1">VLookUpX("男子D",$A$7:$F$56,6,5)</f>
        <v>#N/A</v>
      </c>
      <c r="BQ37" s="179" t="e">
        <f ca="1">VLookUpX("男子D",$A$7:$F$56,6,6)</f>
        <v>#N/A</v>
      </c>
      <c r="BR37" s="179" t="e">
        <f ca="1">VLookUpX("男子D",$C$7:$F$56,6,3)</f>
        <v>#N/A</v>
      </c>
      <c r="BS37" s="179" t="e">
        <f ca="1">VLookUpX("男子D",$C$7:$F$56,6,4)</f>
        <v>#N/A</v>
      </c>
      <c r="BT37" s="179" t="e">
        <f ca="1">VLookUpX("女子D",$A$7:$F$56,6,5)</f>
        <v>#N/A</v>
      </c>
      <c r="BU37" s="179" t="e">
        <f ca="1">VLookUpX("女子D",$A$7:$F$56,6,6)</f>
        <v>#N/A</v>
      </c>
      <c r="BV37" s="179" t="e">
        <f ca="1">VLookUpX("女子D",$C$7:$F$56,6,3)</f>
        <v>#N/A</v>
      </c>
      <c r="BW37" s="179" t="e">
        <f ca="1">VLookUpX("女子D",$C$7:$F$56,6,4)</f>
        <v>#N/A</v>
      </c>
    </row>
    <row r="38" spans="1:80" ht="13.5" customHeight="1" thickBot="1">
      <c r="A38" s="5">
        <f t="shared" si="4"/>
        <v>0</v>
      </c>
      <c r="B38" s="18" t="str">
        <f>名簿!Q40</f>
        <v/>
      </c>
      <c r="C38" s="5">
        <f t="shared" si="5"/>
        <v>0</v>
      </c>
      <c r="D38" s="776">
        <f>名簿!D40</f>
        <v>0</v>
      </c>
      <c r="E38" s="19">
        <f>名簿!E40</f>
        <v>0</v>
      </c>
      <c r="F38" s="205" t="str">
        <f>名簿!BN40</f>
        <v/>
      </c>
      <c r="G38" s="19" t="str">
        <f>名簿!Z40</f>
        <v/>
      </c>
      <c r="H38" s="122" t="str">
        <f t="shared" si="0"/>
        <v/>
      </c>
      <c r="I38" s="361" t="str">
        <f>名簿!O40</f>
        <v/>
      </c>
      <c r="J38" s="361">
        <f>名簿!I40</f>
        <v>0</v>
      </c>
      <c r="K38" s="807">
        <f>名簿!K40</f>
        <v>0</v>
      </c>
      <c r="L38" s="409" t="str">
        <f>名簿!BQ40</f>
        <v>00</v>
      </c>
      <c r="M38" s="19" t="str">
        <f>名簿!R40</f>
        <v/>
      </c>
      <c r="N38" s="689">
        <f>名簿!C40</f>
        <v>0</v>
      </c>
      <c r="O38" s="461"/>
      <c r="P38" s="187" t="str">
        <f>IF(O38="","",IF(I38=1,VLOOKUP(O38,男子種目コード!$A$1:$B$33,2,FALSE),IF(I38=2,VLOOKUP(O38,女子種目コード!$A$1:$B$28,2,FALSE))))</f>
        <v/>
      </c>
      <c r="Q38" s="299" t="str">
        <f>IF(O38="","",HLOOKUP(O38,名簿!$AB$8:$BG$58,33,FALSE))</f>
        <v/>
      </c>
      <c r="R38" s="362">
        <v>0</v>
      </c>
      <c r="S38" s="401">
        <v>2</v>
      </c>
      <c r="T38" s="200"/>
      <c r="U38" s="187" t="str">
        <f>IF(T38="","",IF(I38=1,VLOOKUP(T38,男子種目コード!$A$1:$B$33,2,FALSE),IF(I38=2,VLOOKUP(T38,女子種目コード!$A$1:$B$28,2,FALSE))))</f>
        <v/>
      </c>
      <c r="V38" s="299" t="str">
        <f>IF(T38="","",HLOOKUP(T38,名簿!$AB$8:$BG$58,33,FALSE))</f>
        <v/>
      </c>
      <c r="W38" s="204"/>
      <c r="X38" s="205" t="str">
        <f>IF(W38="","",IF(I38=1,VLOOKUP(W38,男子種目コード!$D$2:$E$30,2,FALSE),IF(I38=2,VLOOKUP(W38,女子種目コード!$D$2:$E$30,2,FALSE))))</f>
        <v/>
      </c>
      <c r="Y38" s="454"/>
      <c r="Z38" s="362"/>
      <c r="AA38" s="362"/>
      <c r="AB38" s="468"/>
      <c r="AC38" s="464" t="str">
        <f>IF(AB38="","",IF(I38=1,VLOOKUP(AB38,男子種目コード!$A$82:$B$85,2,FALSE),IF(I38=2,VLOOKUP(AB38,女子種目コード!$A$82:$B$85,2,FALSE))))</f>
        <v/>
      </c>
      <c r="AD38" s="454"/>
      <c r="AE38" s="362">
        <v>0</v>
      </c>
      <c r="AF38" s="362">
        <v>2</v>
      </c>
      <c r="AG38" s="455"/>
      <c r="AH38" s="104" t="str">
        <f>IF(AG38="","",IF(I38=1,VLOOKUP(AG38,男子種目コード!$A$78:$B$81,2,FALSE),IF(I38=2,VLOOKUP(AG38,女子種目コード!$A$78:$B$81,2,FALSE))))</f>
        <v/>
      </c>
      <c r="AI38" s="407"/>
      <c r="AJ38" s="344">
        <v>0</v>
      </c>
      <c r="AK38" s="344">
        <v>2</v>
      </c>
      <c r="AL38" s="354">
        <v>0</v>
      </c>
      <c r="AM38" s="354"/>
      <c r="AN38" s="103"/>
      <c r="AO38" s="358"/>
      <c r="AP38" s="103" t="str">
        <f t="shared" si="21"/>
        <v/>
      </c>
      <c r="AQ38" s="103" t="str">
        <f t="shared" si="6"/>
        <v/>
      </c>
      <c r="AR38" s="103"/>
      <c r="AS38" s="103"/>
      <c r="AT38" s="240" t="str">
        <f t="shared" si="7"/>
        <v/>
      </c>
      <c r="AU38" s="240">
        <f t="shared" si="1"/>
        <v>0</v>
      </c>
      <c r="AV38" s="240">
        <f t="shared" si="2"/>
        <v>0</v>
      </c>
      <c r="AW38" s="240">
        <f t="shared" si="3"/>
        <v>0</v>
      </c>
      <c r="AX38" s="240">
        <f t="shared" si="8"/>
        <v>0</v>
      </c>
      <c r="AY38" s="238" t="s">
        <v>289</v>
      </c>
      <c r="AZ38" s="238" t="s">
        <v>288</v>
      </c>
      <c r="BA38" s="4"/>
      <c r="BB38" s="4">
        <f t="shared" si="9"/>
        <v>0</v>
      </c>
      <c r="BC38" s="4">
        <f t="shared" si="10"/>
        <v>0</v>
      </c>
      <c r="BD38" s="4" t="str">
        <f t="shared" si="11"/>
        <v/>
      </c>
      <c r="BE38" s="4" t="str">
        <f t="shared" si="12"/>
        <v/>
      </c>
      <c r="BF38" s="666">
        <v>400</v>
      </c>
      <c r="BG38" s="432">
        <f>COUNTIF($P$7:$P$56,42)+COUNTIF($U$7:$U$56,42)</f>
        <v>0</v>
      </c>
      <c r="BH38" s="470"/>
      <c r="BI38" s="181"/>
      <c r="BJ38" s="412"/>
      <c r="BK38" s="146"/>
      <c r="BL38" s="412"/>
      <c r="BM38" s="146"/>
      <c r="BN38" s="412"/>
      <c r="BO38" s="146"/>
      <c r="BX38" s="4">
        <f ca="1">SUM(BX8:BX37)</f>
        <v>0</v>
      </c>
      <c r="BY38" s="4">
        <f ca="1">SUM(BY8:BY37)</f>
        <v>0</v>
      </c>
      <c r="BZ38" s="4">
        <f ca="1">SUM(BZ8:BZ37)</f>
        <v>0</v>
      </c>
      <c r="CA38" s="4">
        <f ca="1">SUM(CA8:CA37)</f>
        <v>0</v>
      </c>
      <c r="CB38" s="4">
        <f ca="1">SUM(BX38:CA38)</f>
        <v>0</v>
      </c>
    </row>
    <row r="39" spans="1:80" ht="14.25" customHeight="1" thickBot="1">
      <c r="A39" s="5">
        <f t="shared" si="4"/>
        <v>0</v>
      </c>
      <c r="B39" s="18" t="str">
        <f>名簿!Q41</f>
        <v/>
      </c>
      <c r="C39" s="5">
        <f t="shared" si="5"/>
        <v>0</v>
      </c>
      <c r="D39" s="776">
        <f>名簿!D41</f>
        <v>0</v>
      </c>
      <c r="E39" s="19">
        <f>名簿!E41</f>
        <v>0</v>
      </c>
      <c r="F39" s="205" t="str">
        <f>名簿!BN41</f>
        <v/>
      </c>
      <c r="G39" s="19" t="str">
        <f>名簿!Z41</f>
        <v/>
      </c>
      <c r="H39" s="122" t="str">
        <f t="shared" ref="H39:H56" si="46">F39</f>
        <v/>
      </c>
      <c r="I39" s="361" t="str">
        <f>名簿!O41</f>
        <v/>
      </c>
      <c r="J39" s="361">
        <f>名簿!I41</f>
        <v>0</v>
      </c>
      <c r="K39" s="807">
        <f>名簿!K41</f>
        <v>0</v>
      </c>
      <c r="L39" s="409" t="str">
        <f>名簿!BQ41</f>
        <v>00</v>
      </c>
      <c r="M39" s="19" t="str">
        <f>名簿!R41</f>
        <v/>
      </c>
      <c r="N39" s="689">
        <f>名簿!C41</f>
        <v>0</v>
      </c>
      <c r="O39" s="461"/>
      <c r="P39" s="187" t="str">
        <f>IF(O39="","",IF(I39=1,VLOOKUP(O39,男子種目コード!$A$1:$B$33,2,FALSE),IF(I39=2,VLOOKUP(O39,女子種目コード!$A$1:$B$28,2,FALSE))))</f>
        <v/>
      </c>
      <c r="Q39" s="299" t="str">
        <f>IF(O39="","",HLOOKUP(O39,名簿!$AB$8:$BG$58,34,FALSE))</f>
        <v/>
      </c>
      <c r="R39" s="362">
        <v>0</v>
      </c>
      <c r="S39" s="401">
        <v>2</v>
      </c>
      <c r="T39" s="200"/>
      <c r="U39" s="187" t="str">
        <f>IF(T39="","",IF(I39=1,VLOOKUP(T39,男子種目コード!$A$1:$B$33,2,FALSE),IF(I39=2,VLOOKUP(T39,女子種目コード!$A$1:$B$28,2,FALSE))))</f>
        <v/>
      </c>
      <c r="V39" s="299" t="str">
        <f>IF(T39="","",HLOOKUP(T39,名簿!$AB$8:$BG$58,34,FALSE))</f>
        <v/>
      </c>
      <c r="W39" s="204"/>
      <c r="X39" s="205" t="str">
        <f>IF(W39="","",IF(I39=1,VLOOKUP(W39,男子種目コード!$D$2:$E$30,2,FALSE),IF(I39=2,VLOOKUP(W39,女子種目コード!$D$2:$E$30,2,FALSE))))</f>
        <v/>
      </c>
      <c r="Y39" s="454"/>
      <c r="Z39" s="362"/>
      <c r="AA39" s="362"/>
      <c r="AB39" s="468"/>
      <c r="AC39" s="464" t="str">
        <f>IF(AB39="","",IF(I39=1,VLOOKUP(AB39,男子種目コード!$A$82:$B$85,2,FALSE),IF(I39=2,VLOOKUP(AB39,女子種目コード!$A$82:$B$85,2,FALSE))))</f>
        <v/>
      </c>
      <c r="AD39" s="454"/>
      <c r="AE39" s="362">
        <v>0</v>
      </c>
      <c r="AF39" s="362">
        <v>2</v>
      </c>
      <c r="AG39" s="455"/>
      <c r="AH39" s="104" t="str">
        <f>IF(AG39="","",IF(I39=1,VLOOKUP(AG39,男子種目コード!$A$78:$B$81,2,FALSE),IF(I39=2,VLOOKUP(AG39,女子種目コード!$A$78:$B$81,2,FALSE))))</f>
        <v/>
      </c>
      <c r="AI39" s="407"/>
      <c r="AJ39" s="344">
        <v>0</v>
      </c>
      <c r="AK39" s="344">
        <v>2</v>
      </c>
      <c r="AL39" s="354">
        <v>0</v>
      </c>
      <c r="AM39" s="354"/>
      <c r="AN39" s="103"/>
      <c r="AO39" s="358"/>
      <c r="AP39" s="103" t="str">
        <f>IF(O39="","",1)</f>
        <v/>
      </c>
      <c r="AQ39" s="103" t="str">
        <f t="shared" si="6"/>
        <v/>
      </c>
      <c r="AR39" s="103"/>
      <c r="AS39" s="103"/>
      <c r="AT39" s="240" t="str">
        <f t="shared" si="7"/>
        <v/>
      </c>
      <c r="AU39" s="240">
        <f t="shared" ref="AU39:AU56" si="47">IF(OR(AT39=1,T39=""),0,1)</f>
        <v>0</v>
      </c>
      <c r="AV39" s="240">
        <f t="shared" ref="AV39:AV56" si="48">IF(OR(AT39=1,AU39=1,AB39=""),0,1)</f>
        <v>0</v>
      </c>
      <c r="AW39" s="240">
        <f t="shared" ref="AW39:AW56" si="49">IF(OR(AT39=1,AU39=1,AV39=1,AG39=""),0,1)</f>
        <v>0</v>
      </c>
      <c r="AX39" s="240">
        <f t="shared" si="8"/>
        <v>0</v>
      </c>
      <c r="AY39" s="238" t="s">
        <v>184</v>
      </c>
      <c r="AZ39" s="238" t="s">
        <v>268</v>
      </c>
      <c r="BA39" s="4"/>
      <c r="BB39" s="4">
        <f t="shared" si="9"/>
        <v>0</v>
      </c>
      <c r="BC39" s="4">
        <f t="shared" si="10"/>
        <v>0</v>
      </c>
      <c r="BD39" s="4" t="str">
        <f t="shared" si="11"/>
        <v/>
      </c>
      <c r="BE39" s="4" t="str">
        <f t="shared" si="12"/>
        <v/>
      </c>
      <c r="BF39" s="666">
        <v>800</v>
      </c>
      <c r="BG39" s="432">
        <f>COUNTIF($P$7:$P$56,43)+COUNTIF($U$7:$U$56,43)</f>
        <v>0</v>
      </c>
      <c r="BH39" s="750" t="s">
        <v>438</v>
      </c>
      <c r="BI39" s="667" t="s">
        <v>208</v>
      </c>
      <c r="BJ39" s="667" t="s">
        <v>209</v>
      </c>
      <c r="BK39" s="146"/>
      <c r="BL39" s="412"/>
      <c r="BM39" s="146"/>
      <c r="BN39" s="412"/>
      <c r="BO39" s="146"/>
    </row>
    <row r="40" spans="1:80" ht="14.25" thickBot="1">
      <c r="A40" s="5">
        <f t="shared" si="4"/>
        <v>0</v>
      </c>
      <c r="B40" s="18" t="str">
        <f>名簿!Q42</f>
        <v/>
      </c>
      <c r="C40" s="5">
        <f t="shared" si="5"/>
        <v>0</v>
      </c>
      <c r="D40" s="776">
        <f>名簿!D42</f>
        <v>0</v>
      </c>
      <c r="E40" s="19">
        <f>名簿!E42</f>
        <v>0</v>
      </c>
      <c r="F40" s="205" t="str">
        <f>名簿!BN42</f>
        <v/>
      </c>
      <c r="G40" s="19" t="str">
        <f>名簿!Z42</f>
        <v/>
      </c>
      <c r="H40" s="122" t="str">
        <f t="shared" si="46"/>
        <v/>
      </c>
      <c r="I40" s="361" t="str">
        <f>名簿!O42</f>
        <v/>
      </c>
      <c r="J40" s="361">
        <f>名簿!I42</f>
        <v>0</v>
      </c>
      <c r="K40" s="807">
        <f>名簿!K42</f>
        <v>0</v>
      </c>
      <c r="L40" s="409" t="str">
        <f>名簿!BQ42</f>
        <v>00</v>
      </c>
      <c r="M40" s="19" t="str">
        <f>名簿!R42</f>
        <v/>
      </c>
      <c r="N40" s="689">
        <f>名簿!C42</f>
        <v>0</v>
      </c>
      <c r="O40" s="461"/>
      <c r="P40" s="187" t="str">
        <f>IF(O40="","",IF(I40=1,VLOOKUP(O40,男子種目コード!$A$1:$B$33,2,FALSE),IF(I40=2,VLOOKUP(O40,女子種目コード!$A$1:$B$28,2,FALSE))))</f>
        <v/>
      </c>
      <c r="Q40" s="299" t="str">
        <f>IF(O40="","",HLOOKUP(O40,名簿!$AB$8:$BG$58,35,FALSE))</f>
        <v/>
      </c>
      <c r="R40" s="362">
        <v>0</v>
      </c>
      <c r="S40" s="401">
        <v>2</v>
      </c>
      <c r="T40" s="200"/>
      <c r="U40" s="187" t="str">
        <f>IF(T40="","",IF(I40=1,VLOOKUP(T40,男子種目コード!$A$1:$B$33,2,FALSE),IF(I40=2,VLOOKUP(T40,女子種目コード!$A$1:$B$28,2,FALSE))))</f>
        <v/>
      </c>
      <c r="V40" s="299" t="str">
        <f>IF(T40="","",HLOOKUP(T40,名簿!$AB$8:$BG$58,35,FALSE))</f>
        <v/>
      </c>
      <c r="W40" s="204"/>
      <c r="X40" s="205" t="str">
        <f>IF(W40="","",IF(I40=1,VLOOKUP(W40,男子種目コード!$D$2:$E$30,2,FALSE),IF(I40=2,VLOOKUP(W40,女子種目コード!$D$2:$E$30,2,FALSE))))</f>
        <v/>
      </c>
      <c r="Y40" s="454"/>
      <c r="Z40" s="362"/>
      <c r="AA40" s="362"/>
      <c r="AB40" s="468"/>
      <c r="AC40" s="464" t="str">
        <f>IF(AB40="","",IF(I40=1,VLOOKUP(AB40,男子種目コード!$A$82:$B$85,2,FALSE),IF(I40=2,VLOOKUP(AB40,女子種目コード!$A$82:$B$85,2,FALSE))))</f>
        <v/>
      </c>
      <c r="AD40" s="454"/>
      <c r="AE40" s="362">
        <v>0</v>
      </c>
      <c r="AF40" s="362">
        <v>2</v>
      </c>
      <c r="AG40" s="455"/>
      <c r="AH40" s="104" t="str">
        <f>IF(AG40="","",IF(I40=1,VLOOKUP(AG40,男子種目コード!$A$78:$B$81,2,FALSE),IF(I40=2,VLOOKUP(AG40,女子種目コード!$A$78:$B$81,2,FALSE))))</f>
        <v/>
      </c>
      <c r="AI40" s="407"/>
      <c r="AJ40" s="344">
        <v>0</v>
      </c>
      <c r="AK40" s="344">
        <v>2</v>
      </c>
      <c r="AL40" s="354">
        <v>0</v>
      </c>
      <c r="AM40" s="354"/>
      <c r="AN40" s="103"/>
      <c r="AO40" s="358"/>
      <c r="AP40" s="103" t="str">
        <f t="shared" si="21"/>
        <v/>
      </c>
      <c r="AQ40" s="103" t="str">
        <f t="shared" si="6"/>
        <v/>
      </c>
      <c r="AR40" s="103"/>
      <c r="AS40" s="103"/>
      <c r="AT40" s="240" t="str">
        <f t="shared" si="7"/>
        <v/>
      </c>
      <c r="AU40" s="240">
        <f t="shared" si="47"/>
        <v>0</v>
      </c>
      <c r="AV40" s="240">
        <f t="shared" si="48"/>
        <v>0</v>
      </c>
      <c r="AW40" s="240">
        <f t="shared" si="49"/>
        <v>0</v>
      </c>
      <c r="AX40" s="240">
        <f t="shared" si="8"/>
        <v>0</v>
      </c>
      <c r="AY40" s="238" t="s">
        <v>290</v>
      </c>
      <c r="AZ40" s="238" t="s">
        <v>290</v>
      </c>
      <c r="BA40" s="4"/>
      <c r="BB40" s="4">
        <f t="shared" si="9"/>
        <v>0</v>
      </c>
      <c r="BC40" s="4">
        <f t="shared" si="10"/>
        <v>0</v>
      </c>
      <c r="BD40" s="4" t="str">
        <f t="shared" si="11"/>
        <v/>
      </c>
      <c r="BE40" s="4" t="str">
        <f t="shared" si="12"/>
        <v/>
      </c>
      <c r="BF40" s="666">
        <v>1500</v>
      </c>
      <c r="BG40" s="432">
        <f>COUNTIF($P$7:$P$56,44)+COUNTIF($U$7:$U$56,44)</f>
        <v>0</v>
      </c>
      <c r="BH40" s="751">
        <v>100</v>
      </c>
      <c r="BI40" s="673" t="s">
        <v>442</v>
      </c>
      <c r="BJ40" s="673" t="s">
        <v>449</v>
      </c>
      <c r="BK40" s="146"/>
      <c r="BL40" s="412"/>
      <c r="BM40" s="146"/>
      <c r="BN40" s="412"/>
      <c r="BO40" s="146"/>
    </row>
    <row r="41" spans="1:80" ht="14.25" thickBot="1">
      <c r="A41" s="5">
        <f t="shared" si="4"/>
        <v>0</v>
      </c>
      <c r="B41" s="18" t="str">
        <f>名簿!Q43</f>
        <v/>
      </c>
      <c r="C41" s="5">
        <f t="shared" si="5"/>
        <v>0</v>
      </c>
      <c r="D41" s="776">
        <f>名簿!D43</f>
        <v>0</v>
      </c>
      <c r="E41" s="19">
        <f>名簿!E43</f>
        <v>0</v>
      </c>
      <c r="F41" s="205" t="str">
        <f>名簿!BN43</f>
        <v/>
      </c>
      <c r="G41" s="19" t="str">
        <f>名簿!Z43</f>
        <v/>
      </c>
      <c r="H41" s="122" t="str">
        <f t="shared" si="46"/>
        <v/>
      </c>
      <c r="I41" s="361" t="str">
        <f>名簿!O43</f>
        <v/>
      </c>
      <c r="J41" s="361">
        <f>名簿!I43</f>
        <v>0</v>
      </c>
      <c r="K41" s="807">
        <f>名簿!K43</f>
        <v>0</v>
      </c>
      <c r="L41" s="409" t="str">
        <f>名簿!BQ43</f>
        <v>00</v>
      </c>
      <c r="M41" s="19" t="str">
        <f>名簿!R43</f>
        <v/>
      </c>
      <c r="N41" s="689">
        <f>名簿!C43</f>
        <v>0</v>
      </c>
      <c r="O41" s="461"/>
      <c r="P41" s="187" t="str">
        <f>IF(O41="","",IF(I41=1,VLOOKUP(O41,男子種目コード!$A$1:$B$33,2,FALSE),IF(I41=2,VLOOKUP(O41,女子種目コード!$A$1:$B$28,2,FALSE))))</f>
        <v/>
      </c>
      <c r="Q41" s="299" t="str">
        <f>IF(O41="","",HLOOKUP(O41,名簿!$AB$8:$BG$58,36,FALSE))</f>
        <v/>
      </c>
      <c r="R41" s="362">
        <v>0</v>
      </c>
      <c r="S41" s="401">
        <v>2</v>
      </c>
      <c r="T41" s="200"/>
      <c r="U41" s="187" t="str">
        <f>IF(T41="","",IF(I41=1,VLOOKUP(T41,男子種目コード!$A$1:$B$33,2,FALSE),IF(I41=2,VLOOKUP(T41,女子種目コード!$A$1:$B$28,2,FALSE))))</f>
        <v/>
      </c>
      <c r="V41" s="299" t="str">
        <f>IF(T41="","",HLOOKUP(T41,名簿!$AB$8:$BG$58,36,FALSE))</f>
        <v/>
      </c>
      <c r="W41" s="204"/>
      <c r="X41" s="205" t="str">
        <f>IF(W41="","",IF(I41=1,VLOOKUP(W41,男子種目コード!$D$2:$E$30,2,FALSE),IF(I41=2,VLOOKUP(W41,女子種目コード!$D$2:$E$30,2,FALSE))))</f>
        <v/>
      </c>
      <c r="Y41" s="454"/>
      <c r="Z41" s="362"/>
      <c r="AA41" s="362"/>
      <c r="AB41" s="468"/>
      <c r="AC41" s="464" t="str">
        <f>IF(AB41="","",IF(I41=1,VLOOKUP(AB41,男子種目コード!$A$82:$B$85,2,FALSE),IF(I41=2,VLOOKUP(AB41,女子種目コード!$A$82:$B$85,2,FALSE))))</f>
        <v/>
      </c>
      <c r="AD41" s="454"/>
      <c r="AE41" s="362">
        <v>0</v>
      </c>
      <c r="AF41" s="362">
        <v>2</v>
      </c>
      <c r="AG41" s="455"/>
      <c r="AH41" s="104" t="str">
        <f>IF(AG41="","",IF(I41=1,VLOOKUP(AG41,男子種目コード!$A$78:$B$81,2,FALSE),IF(I41=2,VLOOKUP(AG41,女子種目コード!$A$78:$B$81,2,FALSE))))</f>
        <v/>
      </c>
      <c r="AI41" s="407"/>
      <c r="AJ41" s="344">
        <v>0</v>
      </c>
      <c r="AK41" s="344">
        <v>2</v>
      </c>
      <c r="AL41" s="354">
        <v>0</v>
      </c>
      <c r="AM41" s="354"/>
      <c r="AN41" s="103"/>
      <c r="AO41" s="358"/>
      <c r="AP41" s="103" t="str">
        <f t="shared" si="21"/>
        <v/>
      </c>
      <c r="AQ41" s="103" t="str">
        <f t="shared" si="6"/>
        <v/>
      </c>
      <c r="AR41" s="103"/>
      <c r="AS41" s="103"/>
      <c r="AT41" s="240" t="str">
        <f t="shared" si="7"/>
        <v/>
      </c>
      <c r="AU41" s="240">
        <f t="shared" si="47"/>
        <v>0</v>
      </c>
      <c r="AV41" s="240">
        <f t="shared" si="48"/>
        <v>0</v>
      </c>
      <c r="AW41" s="240">
        <f t="shared" si="49"/>
        <v>0</v>
      </c>
      <c r="AX41" s="240">
        <f t="shared" si="8"/>
        <v>0</v>
      </c>
      <c r="AY41" s="238" t="s">
        <v>291</v>
      </c>
      <c r="AZ41" s="238" t="s">
        <v>291</v>
      </c>
      <c r="BA41" s="4"/>
      <c r="BB41" s="4">
        <f t="shared" si="9"/>
        <v>0</v>
      </c>
      <c r="BC41" s="4">
        <f t="shared" si="10"/>
        <v>0</v>
      </c>
      <c r="BD41" s="4" t="str">
        <f t="shared" si="11"/>
        <v/>
      </c>
      <c r="BE41" s="4" t="str">
        <f t="shared" si="12"/>
        <v/>
      </c>
      <c r="BF41" s="753" t="s">
        <v>269</v>
      </c>
      <c r="BG41" s="432">
        <f>COUNTIF($P$7:$P$56,64)+COUNTIF($U$7:$U$56,64)</f>
        <v>0</v>
      </c>
      <c r="BH41" s="751">
        <v>200</v>
      </c>
      <c r="BI41" s="673" t="s">
        <v>443</v>
      </c>
      <c r="BJ41" s="669" t="s">
        <v>402</v>
      </c>
      <c r="BK41" s="146"/>
      <c r="BL41" s="412"/>
      <c r="BM41" s="146"/>
      <c r="BN41" s="412"/>
      <c r="BO41" s="146"/>
    </row>
    <row r="42" spans="1:80" ht="14.25" thickBot="1">
      <c r="A42" s="5">
        <f t="shared" si="4"/>
        <v>0</v>
      </c>
      <c r="B42" s="18" t="str">
        <f>名簿!Q44</f>
        <v/>
      </c>
      <c r="C42" s="5">
        <f t="shared" si="5"/>
        <v>0</v>
      </c>
      <c r="D42" s="776">
        <f>名簿!D44</f>
        <v>0</v>
      </c>
      <c r="E42" s="19">
        <f>名簿!E44</f>
        <v>0</v>
      </c>
      <c r="F42" s="205" t="str">
        <f>名簿!BN44</f>
        <v/>
      </c>
      <c r="G42" s="19" t="str">
        <f>名簿!Z44</f>
        <v/>
      </c>
      <c r="H42" s="122" t="str">
        <f t="shared" si="46"/>
        <v/>
      </c>
      <c r="I42" s="361" t="str">
        <f>名簿!O44</f>
        <v/>
      </c>
      <c r="J42" s="361">
        <f>名簿!I44</f>
        <v>0</v>
      </c>
      <c r="K42" s="807">
        <f>名簿!K44</f>
        <v>0</v>
      </c>
      <c r="L42" s="409" t="str">
        <f>名簿!BQ44</f>
        <v>00</v>
      </c>
      <c r="M42" s="19" t="str">
        <f>名簿!R44</f>
        <v/>
      </c>
      <c r="N42" s="689">
        <f>名簿!C44</f>
        <v>0</v>
      </c>
      <c r="O42" s="461"/>
      <c r="P42" s="187" t="str">
        <f>IF(O42="","",IF(I42=1,VLOOKUP(O42,男子種目コード!$A$1:$B$33,2,FALSE),IF(I42=2,VLOOKUP(O42,女子種目コード!$A$1:$B$28,2,FALSE))))</f>
        <v/>
      </c>
      <c r="Q42" s="299" t="str">
        <f>IF(O42="","",HLOOKUP(O42,名簿!$AB$8:$BG$58,37,FALSE))</f>
        <v/>
      </c>
      <c r="R42" s="362">
        <v>0</v>
      </c>
      <c r="S42" s="401">
        <v>2</v>
      </c>
      <c r="T42" s="200"/>
      <c r="U42" s="187" t="str">
        <f>IF(T42="","",IF(I42=1,VLOOKUP(T42,男子種目コード!$A$1:$B$33,2,FALSE),IF(I42=2,VLOOKUP(T42,女子種目コード!$A$1:$B$28,2,FALSE))))</f>
        <v/>
      </c>
      <c r="V42" s="299" t="str">
        <f>IF(T42="","",HLOOKUP(T42,名簿!$AB$8:$BG$58,37,FALSE))</f>
        <v/>
      </c>
      <c r="W42" s="204"/>
      <c r="X42" s="205" t="str">
        <f>IF(W42="","",IF(I42=1,VLOOKUP(W42,男子種目コード!$D$2:$E$30,2,FALSE),IF(I42=2,VLOOKUP(W42,女子種目コード!$D$2:$E$30,2,FALSE))))</f>
        <v/>
      </c>
      <c r="Y42" s="454"/>
      <c r="Z42" s="362"/>
      <c r="AA42" s="362"/>
      <c r="AB42" s="468"/>
      <c r="AC42" s="464" t="str">
        <f>IF(AB42="","",IF(I42=1,VLOOKUP(AB42,男子種目コード!$A$82:$B$85,2,FALSE),IF(I42=2,VLOOKUP(AB42,女子種目コード!$A$82:$B$85,2,FALSE))))</f>
        <v/>
      </c>
      <c r="AD42" s="454"/>
      <c r="AE42" s="362">
        <v>0</v>
      </c>
      <c r="AF42" s="362">
        <v>2</v>
      </c>
      <c r="AG42" s="455"/>
      <c r="AH42" s="104" t="str">
        <f>IF(AG42="","",IF(I42=1,VLOOKUP(AG42,男子種目コード!$A$78:$B$81,2,FALSE),IF(I42=2,VLOOKUP(AG42,女子種目コード!$A$78:$B$81,2,FALSE))))</f>
        <v/>
      </c>
      <c r="AI42" s="407"/>
      <c r="AJ42" s="344">
        <v>0</v>
      </c>
      <c r="AK42" s="344">
        <v>2</v>
      </c>
      <c r="AL42" s="354">
        <v>0</v>
      </c>
      <c r="AM42" s="354"/>
      <c r="AN42" s="103"/>
      <c r="AO42" s="358"/>
      <c r="AP42" s="103" t="str">
        <f t="shared" si="21"/>
        <v/>
      </c>
      <c r="AQ42" s="103" t="str">
        <f t="shared" si="6"/>
        <v/>
      </c>
      <c r="AR42" s="103"/>
      <c r="AS42" s="103"/>
      <c r="AT42" s="240" t="str">
        <f t="shared" si="7"/>
        <v/>
      </c>
      <c r="AU42" s="240">
        <f t="shared" si="47"/>
        <v>0</v>
      </c>
      <c r="AV42" s="240">
        <f t="shared" si="48"/>
        <v>0</v>
      </c>
      <c r="AW42" s="240">
        <f t="shared" si="49"/>
        <v>0</v>
      </c>
      <c r="AX42" s="240">
        <f t="shared" si="8"/>
        <v>0</v>
      </c>
      <c r="AY42" s="238" t="s">
        <v>292</v>
      </c>
      <c r="AZ42" s="238" t="s">
        <v>292</v>
      </c>
      <c r="BA42" s="4"/>
      <c r="BB42" s="4">
        <f t="shared" si="9"/>
        <v>0</v>
      </c>
      <c r="BC42" s="4">
        <f t="shared" si="10"/>
        <v>0</v>
      </c>
      <c r="BD42" s="4" t="str">
        <f t="shared" si="11"/>
        <v/>
      </c>
      <c r="BE42" s="4" t="str">
        <f t="shared" si="12"/>
        <v/>
      </c>
      <c r="BF42" s="666">
        <v>5000</v>
      </c>
      <c r="BG42" s="432">
        <f>COUNTIF($P$7:$P$56,46)+COUNTIF($U$7:$U$56,46)</f>
        <v>0</v>
      </c>
      <c r="BH42" s="751">
        <v>400</v>
      </c>
      <c r="BI42" s="673" t="s">
        <v>444</v>
      </c>
      <c r="BJ42" s="673" t="s">
        <v>450</v>
      </c>
      <c r="BK42" s="146"/>
      <c r="BL42" s="412"/>
      <c r="BM42" s="146"/>
      <c r="BN42" s="412"/>
      <c r="BO42" s="146"/>
    </row>
    <row r="43" spans="1:80" ht="14.25" thickBot="1">
      <c r="A43" s="5">
        <f t="shared" si="4"/>
        <v>0</v>
      </c>
      <c r="B43" s="18" t="str">
        <f>名簿!Q45</f>
        <v/>
      </c>
      <c r="C43" s="5">
        <f t="shared" si="5"/>
        <v>0</v>
      </c>
      <c r="D43" s="776">
        <f>名簿!D45</f>
        <v>0</v>
      </c>
      <c r="E43" s="19">
        <f>名簿!E45</f>
        <v>0</v>
      </c>
      <c r="F43" s="205" t="str">
        <f>名簿!BN45</f>
        <v/>
      </c>
      <c r="G43" s="19" t="str">
        <f>名簿!Z45</f>
        <v/>
      </c>
      <c r="H43" s="122" t="str">
        <f t="shared" si="46"/>
        <v/>
      </c>
      <c r="I43" s="361" t="str">
        <f>名簿!O45</f>
        <v/>
      </c>
      <c r="J43" s="361">
        <f>名簿!I45</f>
        <v>0</v>
      </c>
      <c r="K43" s="807">
        <f>名簿!K45</f>
        <v>0</v>
      </c>
      <c r="L43" s="409" t="str">
        <f>名簿!BQ45</f>
        <v>00</v>
      </c>
      <c r="M43" s="19" t="str">
        <f>名簿!R45</f>
        <v/>
      </c>
      <c r="N43" s="689">
        <f>名簿!C45</f>
        <v>0</v>
      </c>
      <c r="O43" s="461"/>
      <c r="P43" s="187" t="str">
        <f>IF(O43="","",IF(I43=1,VLOOKUP(O43,男子種目コード!$A$1:$B$33,2,FALSE),IF(I43=2,VLOOKUP(O43,女子種目コード!$A$1:$B$28,2,FALSE))))</f>
        <v/>
      </c>
      <c r="Q43" s="299" t="str">
        <f>IF(O43="","",HLOOKUP(O43,名簿!$AB$8:$BG$58,38,FALSE))</f>
        <v/>
      </c>
      <c r="R43" s="362">
        <v>0</v>
      </c>
      <c r="S43" s="401">
        <v>2</v>
      </c>
      <c r="T43" s="200"/>
      <c r="U43" s="187" t="str">
        <f>IF(T43="","",IF(I43=1,VLOOKUP(T43,男子種目コード!$A$1:$B$33,2,FALSE),IF(I43=2,VLOOKUP(T43,女子種目コード!$A$1:$B$28,2,FALSE))))</f>
        <v/>
      </c>
      <c r="V43" s="299" t="str">
        <f>IF(T43="","",HLOOKUP(T43,名簿!$AB$8:$BG$58,38,FALSE))</f>
        <v/>
      </c>
      <c r="W43" s="204"/>
      <c r="X43" s="205" t="str">
        <f>IF(W43="","",IF(I43=1,VLOOKUP(W43,男子種目コード!$D$2:$E$30,2,FALSE),IF(I43=2,VLOOKUP(W43,女子種目コード!$D$2:$E$30,2,FALSE))))</f>
        <v/>
      </c>
      <c r="Y43" s="454"/>
      <c r="Z43" s="362"/>
      <c r="AA43" s="362"/>
      <c r="AB43" s="468"/>
      <c r="AC43" s="464" t="str">
        <f>IF(AB43="","",IF(I43=1,VLOOKUP(AB43,男子種目コード!$A$82:$B$85,2,FALSE),IF(I43=2,VLOOKUP(AB43,女子種目コード!$A$82:$B$85,2,FALSE))))</f>
        <v/>
      </c>
      <c r="AD43" s="454"/>
      <c r="AE43" s="362">
        <v>0</v>
      </c>
      <c r="AF43" s="362">
        <v>2</v>
      </c>
      <c r="AG43" s="455"/>
      <c r="AH43" s="104" t="str">
        <f>IF(AG43="","",IF(I43=1,VLOOKUP(AG43,男子種目コード!$A$78:$B$81,2,FALSE),IF(I43=2,VLOOKUP(AG43,女子種目コード!$A$78:$B$81,2,FALSE))))</f>
        <v/>
      </c>
      <c r="AI43" s="407"/>
      <c r="AJ43" s="344">
        <v>0</v>
      </c>
      <c r="AK43" s="344">
        <v>2</v>
      </c>
      <c r="AL43" s="354">
        <v>0</v>
      </c>
      <c r="AM43" s="354"/>
      <c r="AN43" s="103"/>
      <c r="AO43" s="358"/>
      <c r="AP43" s="103" t="str">
        <f t="shared" si="21"/>
        <v/>
      </c>
      <c r="AQ43" s="103" t="str">
        <f t="shared" si="6"/>
        <v/>
      </c>
      <c r="AR43" s="103"/>
      <c r="AS43" s="103"/>
      <c r="AT43" s="240" t="str">
        <f t="shared" si="7"/>
        <v/>
      </c>
      <c r="AU43" s="240">
        <f t="shared" si="47"/>
        <v>0</v>
      </c>
      <c r="AV43" s="240">
        <f t="shared" si="48"/>
        <v>0</v>
      </c>
      <c r="AW43" s="240">
        <f t="shared" si="49"/>
        <v>0</v>
      </c>
      <c r="AX43" s="240">
        <f t="shared" si="8"/>
        <v>0</v>
      </c>
      <c r="AY43" s="238" t="s">
        <v>35</v>
      </c>
      <c r="AZ43" s="238" t="s">
        <v>35</v>
      </c>
      <c r="BA43" s="4"/>
      <c r="BB43" s="4">
        <f t="shared" si="9"/>
        <v>0</v>
      </c>
      <c r="BC43" s="4">
        <f t="shared" si="10"/>
        <v>0</v>
      </c>
      <c r="BD43" s="4" t="str">
        <f t="shared" si="11"/>
        <v/>
      </c>
      <c r="BE43" s="4" t="str">
        <f t="shared" si="12"/>
        <v/>
      </c>
      <c r="BF43" s="666">
        <v>10000</v>
      </c>
      <c r="BG43" s="432">
        <f>COUNTIF($P$7:$P$56,47)+COUNTIF($U$7:$U$56,47)</f>
        <v>0</v>
      </c>
      <c r="BH43" s="751">
        <v>800</v>
      </c>
      <c r="BI43" s="673" t="s">
        <v>456</v>
      </c>
      <c r="BJ43" s="669" t="s">
        <v>403</v>
      </c>
      <c r="BK43" s="146"/>
      <c r="BL43" s="412"/>
      <c r="BM43" s="146"/>
      <c r="BN43" s="412"/>
      <c r="BO43" s="146"/>
    </row>
    <row r="44" spans="1:80" ht="14.25" thickBot="1">
      <c r="A44" s="5">
        <f t="shared" si="4"/>
        <v>0</v>
      </c>
      <c r="B44" s="18" t="str">
        <f>名簿!Q46</f>
        <v/>
      </c>
      <c r="C44" s="5">
        <f t="shared" si="5"/>
        <v>0</v>
      </c>
      <c r="D44" s="776">
        <f>名簿!D46</f>
        <v>0</v>
      </c>
      <c r="E44" s="19">
        <f>名簿!E46</f>
        <v>0</v>
      </c>
      <c r="F44" s="205" t="str">
        <f>名簿!BN46</f>
        <v/>
      </c>
      <c r="G44" s="19" t="str">
        <f>名簿!Z46</f>
        <v/>
      </c>
      <c r="H44" s="122" t="str">
        <f t="shared" si="46"/>
        <v/>
      </c>
      <c r="I44" s="361" t="str">
        <f>名簿!O46</f>
        <v/>
      </c>
      <c r="J44" s="361">
        <f>名簿!I46</f>
        <v>0</v>
      </c>
      <c r="K44" s="807">
        <f>名簿!K46</f>
        <v>0</v>
      </c>
      <c r="L44" s="409" t="str">
        <f>名簿!BQ46</f>
        <v>00</v>
      </c>
      <c r="M44" s="19" t="str">
        <f>名簿!R46</f>
        <v/>
      </c>
      <c r="N44" s="689">
        <f>名簿!C46</f>
        <v>0</v>
      </c>
      <c r="O44" s="461"/>
      <c r="P44" s="187" t="str">
        <f>IF(O44="","",IF(I44=1,VLOOKUP(O44,男子種目コード!$A$1:$B$33,2,FALSE),IF(I44=2,VLOOKUP(O44,女子種目コード!$A$1:$B$28,2,FALSE))))</f>
        <v/>
      </c>
      <c r="Q44" s="299" t="str">
        <f>IF(O44="","",HLOOKUP(O44,名簿!$AB$8:$BG$58,39,FALSE))</f>
        <v/>
      </c>
      <c r="R44" s="362">
        <v>0</v>
      </c>
      <c r="S44" s="401">
        <v>2</v>
      </c>
      <c r="T44" s="200"/>
      <c r="U44" s="187" t="str">
        <f>IF(T44="","",IF(I44=1,VLOOKUP(T44,男子種目コード!$A$1:$B$33,2,FALSE),IF(I44=2,VLOOKUP(T44,女子種目コード!$A$1:$B$28,2,FALSE))))</f>
        <v/>
      </c>
      <c r="V44" s="299" t="str">
        <f>IF(T44="","",HLOOKUP(T44,名簿!$AB$8:$BG$58,39,FALSE))</f>
        <v/>
      </c>
      <c r="W44" s="204"/>
      <c r="X44" s="205" t="str">
        <f>IF(W44="","",IF(I44=1,VLOOKUP(W44,男子種目コード!$D$2:$E$30,2,FALSE),IF(I44=2,VLOOKUP(W44,女子種目コード!$D$2:$E$30,2,FALSE))))</f>
        <v/>
      </c>
      <c r="Y44" s="454"/>
      <c r="Z44" s="362"/>
      <c r="AA44" s="362"/>
      <c r="AB44" s="468"/>
      <c r="AC44" s="464" t="str">
        <f>IF(AB44="","",IF(I44=1,VLOOKUP(AB44,男子種目コード!$A$82:$B$85,2,FALSE),IF(I44=2,VLOOKUP(AB44,女子種目コード!$A$82:$B$85,2,FALSE))))</f>
        <v/>
      </c>
      <c r="AD44" s="454"/>
      <c r="AE44" s="362">
        <v>0</v>
      </c>
      <c r="AF44" s="362">
        <v>2</v>
      </c>
      <c r="AG44" s="455"/>
      <c r="AH44" s="104" t="str">
        <f>IF(AG44="","",IF(I44=1,VLOOKUP(AG44,男子種目コード!$A$78:$B$81,2,FALSE),IF(I44=2,VLOOKUP(AG44,女子種目コード!$A$78:$B$81,2,FALSE))))</f>
        <v/>
      </c>
      <c r="AI44" s="407"/>
      <c r="AJ44" s="344">
        <v>0</v>
      </c>
      <c r="AK44" s="344">
        <v>2</v>
      </c>
      <c r="AL44" s="354">
        <v>0</v>
      </c>
      <c r="AM44" s="354"/>
      <c r="AN44" s="103"/>
      <c r="AO44" s="358"/>
      <c r="AP44" s="103" t="str">
        <f t="shared" si="21"/>
        <v/>
      </c>
      <c r="AQ44" s="103" t="str">
        <f t="shared" si="6"/>
        <v/>
      </c>
      <c r="AR44" s="103"/>
      <c r="AS44" s="103"/>
      <c r="AT44" s="240" t="str">
        <f t="shared" si="7"/>
        <v/>
      </c>
      <c r="AU44" s="240">
        <f t="shared" si="47"/>
        <v>0</v>
      </c>
      <c r="AV44" s="240">
        <f t="shared" si="48"/>
        <v>0</v>
      </c>
      <c r="AW44" s="240">
        <f t="shared" si="49"/>
        <v>0</v>
      </c>
      <c r="AX44" s="240">
        <f t="shared" si="8"/>
        <v>0</v>
      </c>
      <c r="AY44" s="238" t="s">
        <v>137</v>
      </c>
      <c r="AZ44" s="238" t="s">
        <v>137</v>
      </c>
      <c r="BA44" s="4"/>
      <c r="BB44" s="4">
        <f t="shared" si="9"/>
        <v>0</v>
      </c>
      <c r="BC44" s="4">
        <f t="shared" si="10"/>
        <v>0</v>
      </c>
      <c r="BD44" s="4" t="str">
        <f t="shared" si="11"/>
        <v/>
      </c>
      <c r="BE44" s="4" t="str">
        <f t="shared" si="12"/>
        <v/>
      </c>
      <c r="BF44" s="666" t="s">
        <v>361</v>
      </c>
      <c r="BG44" s="432">
        <f>COUNTIF($P$7:$P$56,48)+COUNTIF($U$7:$U$56,48)</f>
        <v>0</v>
      </c>
      <c r="BH44" s="751">
        <v>1500</v>
      </c>
      <c r="BI44" s="673" t="s">
        <v>445</v>
      </c>
      <c r="BJ44" s="669" t="s">
        <v>404</v>
      </c>
      <c r="BK44" s="146"/>
      <c r="BL44" s="412"/>
      <c r="BM44" s="146"/>
      <c r="BN44" s="412"/>
      <c r="BO44" s="146"/>
    </row>
    <row r="45" spans="1:80" ht="14.25" thickBot="1">
      <c r="A45" s="5">
        <f t="shared" si="4"/>
        <v>0</v>
      </c>
      <c r="B45" s="18" t="str">
        <f>名簿!Q47</f>
        <v/>
      </c>
      <c r="C45" s="5">
        <f t="shared" si="5"/>
        <v>0</v>
      </c>
      <c r="D45" s="776">
        <f>名簿!D47</f>
        <v>0</v>
      </c>
      <c r="E45" s="19">
        <f>名簿!E47</f>
        <v>0</v>
      </c>
      <c r="F45" s="205" t="str">
        <f>名簿!BN47</f>
        <v/>
      </c>
      <c r="G45" s="19" t="str">
        <f>名簿!Z47</f>
        <v/>
      </c>
      <c r="H45" s="122" t="str">
        <f t="shared" si="46"/>
        <v/>
      </c>
      <c r="I45" s="361" t="str">
        <f>名簿!O47</f>
        <v/>
      </c>
      <c r="J45" s="361">
        <f>名簿!I47</f>
        <v>0</v>
      </c>
      <c r="K45" s="807">
        <f>名簿!K47</f>
        <v>0</v>
      </c>
      <c r="L45" s="409" t="str">
        <f>名簿!BQ47</f>
        <v>00</v>
      </c>
      <c r="M45" s="19" t="str">
        <f>名簿!R47</f>
        <v/>
      </c>
      <c r="N45" s="689">
        <f>名簿!C47</f>
        <v>0</v>
      </c>
      <c r="O45" s="461"/>
      <c r="P45" s="187" t="str">
        <f>IF(O45="","",IF(I45=1,VLOOKUP(O45,男子種目コード!$A$1:$B$33,2,FALSE),IF(I45=2,VLOOKUP(O45,女子種目コード!$A$1:$B$28,2,FALSE))))</f>
        <v/>
      </c>
      <c r="Q45" s="299" t="str">
        <f>IF(O45="","",HLOOKUP(O45,名簿!$AB$8:$BG$58,40,FALSE))</f>
        <v/>
      </c>
      <c r="R45" s="362">
        <v>0</v>
      </c>
      <c r="S45" s="401">
        <v>2</v>
      </c>
      <c r="T45" s="200"/>
      <c r="U45" s="187" t="str">
        <f>IF(T45="","",IF(I45=1,VLOOKUP(T45,男子種目コード!$A$1:$B$33,2,FALSE),IF(I45=2,VLOOKUP(T45,女子種目コード!$A$1:$B$28,2,FALSE))))</f>
        <v/>
      </c>
      <c r="V45" s="299" t="str">
        <f>IF(T45="","",HLOOKUP(T45,名簿!$AB$8:$BG$58,40,FALSE))</f>
        <v/>
      </c>
      <c r="W45" s="204"/>
      <c r="X45" s="205" t="str">
        <f>IF(W45="","",IF(I45=1,VLOOKUP(W45,男子種目コード!$D$2:$E$30,2,FALSE),IF(I45=2,VLOOKUP(W45,女子種目コード!$D$2:$E$30,2,FALSE))))</f>
        <v/>
      </c>
      <c r="Y45" s="454"/>
      <c r="Z45" s="362"/>
      <c r="AA45" s="362"/>
      <c r="AB45" s="468"/>
      <c r="AC45" s="464" t="str">
        <f>IF(AB45="","",IF(I45=1,VLOOKUP(AB45,男子種目コード!$A$82:$B$85,2,FALSE),IF(I45=2,VLOOKUP(AB45,女子種目コード!$A$82:$B$85,2,FALSE))))</f>
        <v/>
      </c>
      <c r="AD45" s="454"/>
      <c r="AE45" s="362">
        <v>0</v>
      </c>
      <c r="AF45" s="362">
        <v>2</v>
      </c>
      <c r="AG45" s="455"/>
      <c r="AH45" s="104" t="str">
        <f>IF(AG45="","",IF(I45=1,VLOOKUP(AG45,男子種目コード!$A$78:$B$81,2,FALSE),IF(I45=2,VLOOKUP(AG45,女子種目コード!$A$78:$B$81,2,FALSE))))</f>
        <v/>
      </c>
      <c r="AI45" s="407"/>
      <c r="AJ45" s="344">
        <v>0</v>
      </c>
      <c r="AK45" s="344">
        <v>2</v>
      </c>
      <c r="AL45" s="354">
        <v>0</v>
      </c>
      <c r="AM45" s="354"/>
      <c r="AN45" s="103"/>
      <c r="AO45" s="358"/>
      <c r="AP45" s="103" t="str">
        <f t="shared" si="21"/>
        <v/>
      </c>
      <c r="AQ45" s="103" t="str">
        <f t="shared" si="6"/>
        <v/>
      </c>
      <c r="AR45" s="103"/>
      <c r="AS45" s="103"/>
      <c r="AT45" s="240" t="str">
        <f t="shared" si="7"/>
        <v/>
      </c>
      <c r="AU45" s="240">
        <f t="shared" si="47"/>
        <v>0</v>
      </c>
      <c r="AV45" s="240">
        <f t="shared" si="48"/>
        <v>0</v>
      </c>
      <c r="AW45" s="240">
        <f t="shared" si="49"/>
        <v>0</v>
      </c>
      <c r="AX45" s="240">
        <f t="shared" si="8"/>
        <v>0</v>
      </c>
      <c r="AY45" s="238" t="s">
        <v>136</v>
      </c>
      <c r="AZ45" s="238" t="s">
        <v>136</v>
      </c>
      <c r="BA45" s="4"/>
      <c r="BB45" s="4">
        <f t="shared" si="9"/>
        <v>0</v>
      </c>
      <c r="BC45" s="4">
        <f t="shared" si="10"/>
        <v>0</v>
      </c>
      <c r="BD45" s="4" t="str">
        <f t="shared" si="11"/>
        <v/>
      </c>
      <c r="BE45" s="4" t="str">
        <f t="shared" si="12"/>
        <v/>
      </c>
      <c r="BF45" s="753"/>
      <c r="BG45" s="432"/>
      <c r="BH45" s="751">
        <v>5000</v>
      </c>
      <c r="BI45" s="669" t="s">
        <v>405</v>
      </c>
      <c r="BJ45" s="669" t="s">
        <v>406</v>
      </c>
      <c r="BK45" s="146"/>
      <c r="BL45" s="412"/>
      <c r="BM45" s="146"/>
      <c r="BN45" s="412"/>
      <c r="BO45" s="146"/>
    </row>
    <row r="46" spans="1:80" ht="14.25" thickBot="1">
      <c r="A46" s="5">
        <f t="shared" si="4"/>
        <v>0</v>
      </c>
      <c r="B46" s="18" t="str">
        <f>名簿!Q48</f>
        <v/>
      </c>
      <c r="C46" s="5">
        <f t="shared" si="5"/>
        <v>0</v>
      </c>
      <c r="D46" s="776">
        <f>名簿!D48</f>
        <v>0</v>
      </c>
      <c r="E46" s="19">
        <f>名簿!E48</f>
        <v>0</v>
      </c>
      <c r="F46" s="205" t="str">
        <f>名簿!BN48</f>
        <v/>
      </c>
      <c r="G46" s="19" t="str">
        <f>名簿!Z48</f>
        <v/>
      </c>
      <c r="H46" s="122" t="str">
        <f t="shared" si="46"/>
        <v/>
      </c>
      <c r="I46" s="361" t="str">
        <f>名簿!O48</f>
        <v/>
      </c>
      <c r="J46" s="361">
        <f>名簿!I48</f>
        <v>0</v>
      </c>
      <c r="K46" s="807">
        <f>名簿!K48</f>
        <v>0</v>
      </c>
      <c r="L46" s="409" t="str">
        <f>名簿!BQ48</f>
        <v>00</v>
      </c>
      <c r="M46" s="19" t="str">
        <f>名簿!R48</f>
        <v/>
      </c>
      <c r="N46" s="689">
        <f>名簿!C48</f>
        <v>0</v>
      </c>
      <c r="O46" s="461"/>
      <c r="P46" s="187" t="str">
        <f>IF(O46="","",IF(I46=1,VLOOKUP(O46,男子種目コード!$A$1:$B$33,2,FALSE),IF(I46=2,VLOOKUP(O46,女子種目コード!$A$1:$B$28,2,FALSE))))</f>
        <v/>
      </c>
      <c r="Q46" s="299" t="str">
        <f>IF(O46="","",HLOOKUP(O46,名簿!$AB$8:$BG$58,41,FALSE))</f>
        <v/>
      </c>
      <c r="R46" s="362">
        <v>0</v>
      </c>
      <c r="S46" s="401">
        <v>2</v>
      </c>
      <c r="T46" s="200"/>
      <c r="U46" s="187" t="str">
        <f>IF(T46="","",IF(I46=1,VLOOKUP(T46,男子種目コード!$A$1:$B$33,2,FALSE),IF(I46=2,VLOOKUP(T46,女子種目コード!$A$1:$B$28,2,FALSE))))</f>
        <v/>
      </c>
      <c r="V46" s="299" t="str">
        <f>IF(T46="","",HLOOKUP(T46,名簿!$AB$8:$BG$58,41,FALSE))</f>
        <v/>
      </c>
      <c r="W46" s="204"/>
      <c r="X46" s="205" t="str">
        <f>IF(W46="","",IF(I46=1,VLOOKUP(W46,男子種目コード!$D$2:$E$30,2,FALSE),IF(I46=2,VLOOKUP(W46,女子種目コード!$D$2:$E$30,2,FALSE))))</f>
        <v/>
      </c>
      <c r="Y46" s="454"/>
      <c r="Z46" s="362"/>
      <c r="AA46" s="362"/>
      <c r="AB46" s="468"/>
      <c r="AC46" s="464" t="str">
        <f>IF(AB46="","",IF(I46=1,VLOOKUP(AB46,男子種目コード!$A$82:$B$85,2,FALSE),IF(I46=2,VLOOKUP(AB46,女子種目コード!$A$82:$B$85,2,FALSE))))</f>
        <v/>
      </c>
      <c r="AD46" s="454"/>
      <c r="AE46" s="362">
        <v>0</v>
      </c>
      <c r="AF46" s="362">
        <v>2</v>
      </c>
      <c r="AG46" s="455"/>
      <c r="AH46" s="104" t="str">
        <f>IF(AG46="","",IF(I46=1,VLOOKUP(AG46,男子種目コード!$A$78:$B$81,2,FALSE),IF(I46=2,VLOOKUP(AG46,女子種目コード!$A$78:$B$81,2,FALSE))))</f>
        <v/>
      </c>
      <c r="AI46" s="407"/>
      <c r="AJ46" s="344">
        <v>0</v>
      </c>
      <c r="AK46" s="344">
        <v>2</v>
      </c>
      <c r="AL46" s="354">
        <v>0</v>
      </c>
      <c r="AM46" s="354"/>
      <c r="AN46" s="103"/>
      <c r="AO46" s="358"/>
      <c r="AP46" s="103" t="str">
        <f t="shared" si="21"/>
        <v/>
      </c>
      <c r="AQ46" s="103" t="str">
        <f t="shared" si="6"/>
        <v/>
      </c>
      <c r="AR46" s="103"/>
      <c r="AS46" s="103"/>
      <c r="AT46" s="240" t="str">
        <f t="shared" si="7"/>
        <v/>
      </c>
      <c r="AU46" s="240">
        <f t="shared" si="47"/>
        <v>0</v>
      </c>
      <c r="AV46" s="240">
        <f t="shared" si="48"/>
        <v>0</v>
      </c>
      <c r="AW46" s="240">
        <f t="shared" si="49"/>
        <v>0</v>
      </c>
      <c r="AX46" s="240">
        <f t="shared" si="8"/>
        <v>0</v>
      </c>
      <c r="AY46" s="238" t="s">
        <v>141</v>
      </c>
      <c r="AZ46" s="238" t="s">
        <v>141</v>
      </c>
      <c r="BA46" s="4"/>
      <c r="BB46" s="4">
        <f t="shared" si="9"/>
        <v>0</v>
      </c>
      <c r="BC46" s="4">
        <f t="shared" si="10"/>
        <v>0</v>
      </c>
      <c r="BD46" s="4" t="str">
        <f t="shared" si="11"/>
        <v/>
      </c>
      <c r="BE46" s="4" t="str">
        <f t="shared" si="12"/>
        <v/>
      </c>
      <c r="BF46" s="753" t="s">
        <v>358</v>
      </c>
      <c r="BG46" s="432">
        <f>COUNTIF($P$7:$P$56,49)+COUNTIF($U$7:$U$56,49)</f>
        <v>0</v>
      </c>
      <c r="BH46" s="751">
        <v>10000</v>
      </c>
      <c r="BI46" s="669" t="s">
        <v>407</v>
      </c>
      <c r="BJ46" s="669" t="s">
        <v>408</v>
      </c>
      <c r="BK46" s="146"/>
      <c r="BL46" s="412"/>
      <c r="BM46" s="146"/>
      <c r="BN46" s="412"/>
      <c r="BO46" s="146"/>
    </row>
    <row r="47" spans="1:80" ht="14.25" thickBot="1">
      <c r="A47" s="5">
        <f t="shared" si="4"/>
        <v>0</v>
      </c>
      <c r="B47" s="18" t="str">
        <f>名簿!Q49</f>
        <v/>
      </c>
      <c r="C47" s="5">
        <f t="shared" si="5"/>
        <v>0</v>
      </c>
      <c r="D47" s="776">
        <f>名簿!D49</f>
        <v>0</v>
      </c>
      <c r="E47" s="19">
        <f>名簿!E49</f>
        <v>0</v>
      </c>
      <c r="F47" s="205" t="str">
        <f>名簿!BN49</f>
        <v/>
      </c>
      <c r="G47" s="19" t="str">
        <f>名簿!Z49</f>
        <v/>
      </c>
      <c r="H47" s="122" t="str">
        <f t="shared" si="46"/>
        <v/>
      </c>
      <c r="I47" s="361" t="str">
        <f>名簿!O49</f>
        <v/>
      </c>
      <c r="J47" s="361">
        <f>名簿!I49</f>
        <v>0</v>
      </c>
      <c r="K47" s="807">
        <f>名簿!K49</f>
        <v>0</v>
      </c>
      <c r="L47" s="409" t="str">
        <f>名簿!BQ49</f>
        <v>00</v>
      </c>
      <c r="M47" s="19" t="str">
        <f>名簿!R49</f>
        <v/>
      </c>
      <c r="N47" s="689">
        <f>名簿!C49</f>
        <v>0</v>
      </c>
      <c r="O47" s="461"/>
      <c r="P47" s="187" t="str">
        <f>IF(O47="","",IF(I47=1,VLOOKUP(O47,男子種目コード!$A$1:$B$33,2,FALSE),IF(I47=2,VLOOKUP(O47,女子種目コード!$A$1:$B$28,2,FALSE))))</f>
        <v/>
      </c>
      <c r="Q47" s="299" t="str">
        <f>IF(O47="","",HLOOKUP(O47,名簿!$AB$8:$BG$58,42,FALSE))</f>
        <v/>
      </c>
      <c r="R47" s="362">
        <v>0</v>
      </c>
      <c r="S47" s="401">
        <v>2</v>
      </c>
      <c r="T47" s="200"/>
      <c r="U47" s="187" t="str">
        <f>IF(T47="","",IF(I47=1,VLOOKUP(T47,男子種目コード!$A$1:$B$33,2,FALSE),IF(I47=2,VLOOKUP(T47,女子種目コード!$A$1:$B$28,2,FALSE))))</f>
        <v/>
      </c>
      <c r="V47" s="299" t="str">
        <f>IF(T47="","",HLOOKUP(T47,名簿!$AB$8:$BG$58,42,FALSE))</f>
        <v/>
      </c>
      <c r="W47" s="204"/>
      <c r="X47" s="205" t="str">
        <f>IF(W47="","",IF(I47=1,VLOOKUP(W47,男子種目コード!$D$2:$E$30,2,FALSE),IF(I47=2,VLOOKUP(W47,女子種目コード!$D$2:$E$30,2,FALSE))))</f>
        <v/>
      </c>
      <c r="Y47" s="454"/>
      <c r="Z47" s="362"/>
      <c r="AA47" s="362"/>
      <c r="AB47" s="468"/>
      <c r="AC47" s="464" t="str">
        <f>IF(AB47="","",IF(I47=1,VLOOKUP(AB47,男子種目コード!$A$82:$B$85,2,FALSE),IF(I47=2,VLOOKUP(AB47,女子種目コード!$A$82:$B$85,2,FALSE))))</f>
        <v/>
      </c>
      <c r="AD47" s="454"/>
      <c r="AE47" s="362">
        <v>0</v>
      </c>
      <c r="AF47" s="362">
        <v>2</v>
      </c>
      <c r="AG47" s="455"/>
      <c r="AH47" s="104" t="str">
        <f>IF(AG47="","",IF(I47=1,VLOOKUP(AG47,男子種目コード!$A$78:$B$81,2,FALSE),IF(I47=2,VLOOKUP(AG47,女子種目コード!$A$78:$B$81,2,FALSE))))</f>
        <v/>
      </c>
      <c r="AI47" s="407"/>
      <c r="AJ47" s="344">
        <v>0</v>
      </c>
      <c r="AK47" s="344">
        <v>2</v>
      </c>
      <c r="AL47" s="354">
        <v>0</v>
      </c>
      <c r="AM47" s="354"/>
      <c r="AN47" s="103"/>
      <c r="AO47" s="358"/>
      <c r="AP47" s="103" t="str">
        <f t="shared" si="21"/>
        <v/>
      </c>
      <c r="AQ47" s="103" t="str">
        <f t="shared" si="6"/>
        <v/>
      </c>
      <c r="AR47" s="103"/>
      <c r="AS47" s="103"/>
      <c r="AT47" s="240" t="str">
        <f t="shared" si="7"/>
        <v/>
      </c>
      <c r="AU47" s="240">
        <f t="shared" si="47"/>
        <v>0</v>
      </c>
      <c r="AV47" s="240">
        <f t="shared" si="48"/>
        <v>0</v>
      </c>
      <c r="AW47" s="240">
        <f t="shared" si="49"/>
        <v>0</v>
      </c>
      <c r="AX47" s="240">
        <f t="shared" si="8"/>
        <v>0</v>
      </c>
      <c r="AY47" s="238" t="s">
        <v>142</v>
      </c>
      <c r="AZ47" s="238" t="s">
        <v>142</v>
      </c>
      <c r="BA47" s="4"/>
      <c r="BB47" s="4">
        <f t="shared" si="9"/>
        <v>0</v>
      </c>
      <c r="BC47" s="4">
        <f t="shared" si="10"/>
        <v>0</v>
      </c>
      <c r="BD47" s="4" t="str">
        <f t="shared" si="11"/>
        <v/>
      </c>
      <c r="BE47" s="4" t="str">
        <f t="shared" si="12"/>
        <v/>
      </c>
      <c r="BF47" s="753" t="s">
        <v>678</v>
      </c>
      <c r="BG47" s="432">
        <f>COUNTIF($P$7:$P$56,50)+COUNTIF($U$7:$U$56,50)</f>
        <v>0</v>
      </c>
      <c r="BH47" s="751" t="s">
        <v>409</v>
      </c>
      <c r="BI47" s="670"/>
      <c r="BJ47" s="670"/>
      <c r="BK47" s="146"/>
      <c r="BL47" s="412"/>
      <c r="BM47" s="146"/>
      <c r="BN47" s="412"/>
      <c r="BO47" s="146"/>
    </row>
    <row r="48" spans="1:80" ht="14.25" thickBot="1">
      <c r="A48" s="5">
        <f t="shared" si="4"/>
        <v>0</v>
      </c>
      <c r="B48" s="18" t="str">
        <f>名簿!Q50</f>
        <v/>
      </c>
      <c r="C48" s="5">
        <f t="shared" si="5"/>
        <v>0</v>
      </c>
      <c r="D48" s="776">
        <f>名簿!D50</f>
        <v>0</v>
      </c>
      <c r="E48" s="19">
        <f>名簿!E50</f>
        <v>0</v>
      </c>
      <c r="F48" s="205" t="str">
        <f>名簿!BN50</f>
        <v/>
      </c>
      <c r="G48" s="19" t="str">
        <f>名簿!Z50</f>
        <v/>
      </c>
      <c r="H48" s="122" t="str">
        <f t="shared" si="46"/>
        <v/>
      </c>
      <c r="I48" s="361" t="str">
        <f>名簿!O50</f>
        <v/>
      </c>
      <c r="J48" s="361">
        <f>名簿!I50</f>
        <v>0</v>
      </c>
      <c r="K48" s="807">
        <f>名簿!K50</f>
        <v>0</v>
      </c>
      <c r="L48" s="409" t="str">
        <f>名簿!BQ50</f>
        <v>00</v>
      </c>
      <c r="M48" s="19" t="str">
        <f>名簿!R50</f>
        <v/>
      </c>
      <c r="N48" s="689">
        <f>名簿!C50</f>
        <v>0</v>
      </c>
      <c r="O48" s="461"/>
      <c r="P48" s="187" t="str">
        <f>IF(O48="","",IF(I48=1,VLOOKUP(O48,男子種目コード!$A$1:$B$33,2,FALSE),IF(I48=2,VLOOKUP(O48,女子種目コード!$A$1:$B$28,2,FALSE))))</f>
        <v/>
      </c>
      <c r="Q48" s="299" t="str">
        <f>IF(O48="","",HLOOKUP(O48,名簿!$AB$8:$BG$58,43,FALSE))</f>
        <v/>
      </c>
      <c r="R48" s="362">
        <v>0</v>
      </c>
      <c r="S48" s="401">
        <v>2</v>
      </c>
      <c r="T48" s="200"/>
      <c r="U48" s="187" t="str">
        <f>IF(T48="","",IF(I48=1,VLOOKUP(T48,男子種目コード!$A$1:$B$33,2,FALSE),IF(I48=2,VLOOKUP(T48,女子種目コード!$A$1:$B$28,2,FALSE))))</f>
        <v/>
      </c>
      <c r="V48" s="299" t="str">
        <f>IF(T48="","",HLOOKUP(T48,名簿!$AB$8:$BG$58,43,FALSE))</f>
        <v/>
      </c>
      <c r="W48" s="204"/>
      <c r="X48" s="205" t="str">
        <f>IF(W48="","",IF(I48=1,VLOOKUP(W48,男子種目コード!$D$2:$E$30,2,FALSE),IF(I48=2,VLOOKUP(W48,女子種目コード!$D$2:$E$30,2,FALSE))))</f>
        <v/>
      </c>
      <c r="Y48" s="454"/>
      <c r="Z48" s="362"/>
      <c r="AA48" s="362"/>
      <c r="AB48" s="468"/>
      <c r="AC48" s="464" t="str">
        <f>IF(AB48="","",IF(I48=1,VLOOKUP(AB48,男子種目コード!$A$82:$B$85,2,FALSE),IF(I48=2,VLOOKUP(AB48,女子種目コード!$A$82:$B$85,2,FALSE))))</f>
        <v/>
      </c>
      <c r="AD48" s="454"/>
      <c r="AE48" s="362">
        <v>0</v>
      </c>
      <c r="AF48" s="362">
        <v>2</v>
      </c>
      <c r="AG48" s="455"/>
      <c r="AH48" s="104" t="str">
        <f>IF(AG48="","",IF(I48=1,VLOOKUP(AG48,男子種目コード!$A$78:$B$81,2,FALSE),IF(I48=2,VLOOKUP(AG48,女子種目コード!$A$78:$B$81,2,FALSE))))</f>
        <v/>
      </c>
      <c r="AI48" s="407"/>
      <c r="AJ48" s="344">
        <v>0</v>
      </c>
      <c r="AK48" s="344">
        <v>2</v>
      </c>
      <c r="AL48" s="354">
        <v>0</v>
      </c>
      <c r="AM48" s="354"/>
      <c r="AN48" s="103"/>
      <c r="AO48" s="358"/>
      <c r="AP48" s="103" t="str">
        <f t="shared" si="21"/>
        <v/>
      </c>
      <c r="AQ48" s="103" t="str">
        <f t="shared" si="6"/>
        <v/>
      </c>
      <c r="AR48" s="103"/>
      <c r="AS48" s="103"/>
      <c r="AT48" s="240" t="str">
        <f t="shared" si="7"/>
        <v/>
      </c>
      <c r="AU48" s="240">
        <f t="shared" si="47"/>
        <v>0</v>
      </c>
      <c r="AV48" s="240">
        <f t="shared" si="48"/>
        <v>0</v>
      </c>
      <c r="AW48" s="240">
        <f t="shared" si="49"/>
        <v>0</v>
      </c>
      <c r="AX48" s="240">
        <f t="shared" si="8"/>
        <v>0</v>
      </c>
      <c r="AY48" s="238" t="s">
        <v>181</v>
      </c>
      <c r="AZ48" s="238" t="s">
        <v>138</v>
      </c>
      <c r="BA48" s="4"/>
      <c r="BB48" s="4">
        <f t="shared" si="9"/>
        <v>0</v>
      </c>
      <c r="BC48" s="4">
        <f t="shared" si="10"/>
        <v>0</v>
      </c>
      <c r="BD48" s="4" t="str">
        <f t="shared" si="11"/>
        <v/>
      </c>
      <c r="BE48" s="4" t="str">
        <f t="shared" si="12"/>
        <v/>
      </c>
      <c r="BF48" s="753" t="s">
        <v>360</v>
      </c>
      <c r="BG48" s="432">
        <f>COUNTIF($P$7:$P$56,52)+COUNTIF($U$7:$U$56,52)</f>
        <v>0</v>
      </c>
      <c r="BH48" s="751" t="s">
        <v>410</v>
      </c>
      <c r="BI48" s="670"/>
      <c r="BJ48" s="670"/>
      <c r="BK48" s="146"/>
      <c r="BL48" s="412"/>
      <c r="BM48" s="146"/>
      <c r="BN48" s="412"/>
      <c r="BO48" s="146"/>
    </row>
    <row r="49" spans="1:67" ht="14.25" thickBot="1">
      <c r="A49" s="5">
        <f t="shared" si="4"/>
        <v>0</v>
      </c>
      <c r="B49" s="18" t="str">
        <f>名簿!Q51</f>
        <v/>
      </c>
      <c r="C49" s="5">
        <f t="shared" si="5"/>
        <v>0</v>
      </c>
      <c r="D49" s="776">
        <f>名簿!D51</f>
        <v>0</v>
      </c>
      <c r="E49" s="19">
        <f>名簿!E51</f>
        <v>0</v>
      </c>
      <c r="F49" s="205" t="str">
        <f>名簿!BN51</f>
        <v/>
      </c>
      <c r="G49" s="19" t="str">
        <f>名簿!Z51</f>
        <v/>
      </c>
      <c r="H49" s="122" t="str">
        <f t="shared" si="46"/>
        <v/>
      </c>
      <c r="I49" s="361" t="str">
        <f>名簿!O51</f>
        <v/>
      </c>
      <c r="J49" s="361">
        <f>名簿!I51</f>
        <v>0</v>
      </c>
      <c r="K49" s="807">
        <f>名簿!K51</f>
        <v>0</v>
      </c>
      <c r="L49" s="409" t="str">
        <f>名簿!BQ51</f>
        <v>00</v>
      </c>
      <c r="M49" s="19" t="str">
        <f>名簿!R51</f>
        <v/>
      </c>
      <c r="N49" s="689">
        <f>名簿!C51</f>
        <v>0</v>
      </c>
      <c r="O49" s="461"/>
      <c r="P49" s="187" t="str">
        <f>IF(O49="","",IF(I49=1,VLOOKUP(O49,男子種目コード!$A$1:$B$33,2,FALSE),IF(I49=2,VLOOKUP(O49,女子種目コード!$A$1:$B$28,2,FALSE))))</f>
        <v/>
      </c>
      <c r="Q49" s="299" t="str">
        <f>IF(O49="","",HLOOKUP(O49,名簿!$AB$8:$BG$58,44,FALSE))</f>
        <v/>
      </c>
      <c r="R49" s="362">
        <v>0</v>
      </c>
      <c r="S49" s="401">
        <v>2</v>
      </c>
      <c r="T49" s="200"/>
      <c r="U49" s="187" t="str">
        <f>IF(T49="","",IF(I49=1,VLOOKUP(T49,男子種目コード!$A$1:$B$33,2,FALSE),IF(I49=2,VLOOKUP(T49,女子種目コード!$A$1:$B$28,2,FALSE))))</f>
        <v/>
      </c>
      <c r="V49" s="299" t="str">
        <f>IF(T49="","",HLOOKUP(T49,名簿!$AB$8:$BG$58,44,FALSE))</f>
        <v/>
      </c>
      <c r="W49" s="204"/>
      <c r="X49" s="205" t="str">
        <f>IF(W49="","",IF(I49=1,VLOOKUP(W49,男子種目コード!$D$2:$E$30,2,FALSE),IF(I49=2,VLOOKUP(W49,女子種目コード!$D$2:$E$30,2,FALSE))))</f>
        <v/>
      </c>
      <c r="Y49" s="454"/>
      <c r="Z49" s="362"/>
      <c r="AA49" s="362"/>
      <c r="AB49" s="468"/>
      <c r="AC49" s="464" t="str">
        <f>IF(AB49="","",IF(I49=1,VLOOKUP(AB49,男子種目コード!$A$82:$B$85,2,FALSE),IF(I49=2,VLOOKUP(AB49,女子種目コード!$A$82:$B$85,2,FALSE))))</f>
        <v/>
      </c>
      <c r="AD49" s="454"/>
      <c r="AE49" s="362">
        <v>0</v>
      </c>
      <c r="AF49" s="362">
        <v>2</v>
      </c>
      <c r="AG49" s="455"/>
      <c r="AH49" s="104" t="str">
        <f>IF(AG49="","",IF(I49=1,VLOOKUP(AG49,男子種目コード!$A$78:$B$81,2,FALSE),IF(I49=2,VLOOKUP(AG49,女子種目コード!$A$78:$B$81,2,FALSE))))</f>
        <v/>
      </c>
      <c r="AI49" s="407"/>
      <c r="AJ49" s="344">
        <v>0</v>
      </c>
      <c r="AK49" s="344">
        <v>2</v>
      </c>
      <c r="AL49" s="354">
        <v>0</v>
      </c>
      <c r="AM49" s="354"/>
      <c r="AN49" s="103"/>
      <c r="AO49" s="358"/>
      <c r="AP49" s="103" t="str">
        <f t="shared" si="21"/>
        <v/>
      </c>
      <c r="AQ49" s="103" t="str">
        <f t="shared" si="6"/>
        <v/>
      </c>
      <c r="AR49" s="103"/>
      <c r="AS49" s="103"/>
      <c r="AT49" s="240" t="str">
        <f t="shared" si="7"/>
        <v/>
      </c>
      <c r="AU49" s="240">
        <f t="shared" si="47"/>
        <v>0</v>
      </c>
      <c r="AV49" s="240">
        <f t="shared" si="48"/>
        <v>0</v>
      </c>
      <c r="AW49" s="240">
        <f t="shared" si="49"/>
        <v>0</v>
      </c>
      <c r="AX49" s="240">
        <f t="shared" si="8"/>
        <v>0</v>
      </c>
      <c r="AY49" s="66" t="s">
        <v>382</v>
      </c>
      <c r="AZ49" s="238" t="s">
        <v>140</v>
      </c>
      <c r="BA49" s="4"/>
      <c r="BB49" s="4">
        <f t="shared" si="9"/>
        <v>0</v>
      </c>
      <c r="BC49" s="4">
        <f t="shared" si="10"/>
        <v>0</v>
      </c>
      <c r="BD49" s="4" t="str">
        <f t="shared" si="11"/>
        <v/>
      </c>
      <c r="BE49" s="4" t="str">
        <f t="shared" si="12"/>
        <v/>
      </c>
      <c r="BF49" s="753" t="s">
        <v>35</v>
      </c>
      <c r="BG49" s="432">
        <f>COUNTIF($P$7:$P$56,55)+COUNTIF($U$7:$U$56,55)</f>
        <v>0</v>
      </c>
      <c r="BH49" s="751" t="s">
        <v>411</v>
      </c>
      <c r="BI49" s="669" t="s">
        <v>433</v>
      </c>
      <c r="BJ49" s="669" t="s">
        <v>433</v>
      </c>
      <c r="BK49" s="146"/>
      <c r="BL49" s="412"/>
      <c r="BM49" s="146"/>
      <c r="BN49" s="412"/>
      <c r="BO49" s="146"/>
    </row>
    <row r="50" spans="1:67" ht="14.25" thickBot="1">
      <c r="A50" s="5">
        <f t="shared" si="4"/>
        <v>0</v>
      </c>
      <c r="B50" s="18" t="str">
        <f>名簿!Q52</f>
        <v/>
      </c>
      <c r="C50" s="5">
        <f t="shared" si="5"/>
        <v>0</v>
      </c>
      <c r="D50" s="776">
        <f>名簿!D52</f>
        <v>0</v>
      </c>
      <c r="E50" s="19">
        <f>名簿!E52</f>
        <v>0</v>
      </c>
      <c r="F50" s="205" t="str">
        <f>名簿!BN52</f>
        <v/>
      </c>
      <c r="G50" s="19" t="str">
        <f>名簿!Z52</f>
        <v/>
      </c>
      <c r="H50" s="122" t="str">
        <f t="shared" si="46"/>
        <v/>
      </c>
      <c r="I50" s="361" t="str">
        <f>名簿!O52</f>
        <v/>
      </c>
      <c r="J50" s="361">
        <f>名簿!I52</f>
        <v>0</v>
      </c>
      <c r="K50" s="807">
        <f>名簿!K52</f>
        <v>0</v>
      </c>
      <c r="L50" s="409" t="str">
        <f>名簿!BQ52</f>
        <v>00</v>
      </c>
      <c r="M50" s="19" t="str">
        <f>名簿!R52</f>
        <v/>
      </c>
      <c r="N50" s="689">
        <f>名簿!C52</f>
        <v>0</v>
      </c>
      <c r="O50" s="461"/>
      <c r="P50" s="187" t="str">
        <f>IF(O50="","",IF(I50=1,VLOOKUP(O50,男子種目コード!$A$1:$B$33,2,FALSE),IF(I50=2,VLOOKUP(O50,女子種目コード!$A$1:$B$28,2,FALSE))))</f>
        <v/>
      </c>
      <c r="Q50" s="299" t="str">
        <f>IF(O50="","",HLOOKUP(O50,名簿!$AB$8:$BG$58,45,FALSE))</f>
        <v/>
      </c>
      <c r="R50" s="362">
        <v>0</v>
      </c>
      <c r="S50" s="401">
        <v>2</v>
      </c>
      <c r="T50" s="200"/>
      <c r="U50" s="187" t="str">
        <f>IF(T50="","",IF(I50=1,VLOOKUP(T50,男子種目コード!$A$1:$B$33,2,FALSE),IF(I50=2,VLOOKUP(T50,女子種目コード!$A$1:$B$28,2,FALSE))))</f>
        <v/>
      </c>
      <c r="V50" s="299" t="str">
        <f>IF(T50="","",HLOOKUP(T50,名簿!$AB$8:$BG$58,45,FALSE))</f>
        <v/>
      </c>
      <c r="W50" s="204"/>
      <c r="X50" s="205" t="str">
        <f>IF(W50="","",IF(I50=1,VLOOKUP(W50,男子種目コード!$D$2:$E$30,2,FALSE),IF(I50=2,VLOOKUP(W50,女子種目コード!$D$2:$E$30,2,FALSE))))</f>
        <v/>
      </c>
      <c r="Y50" s="454"/>
      <c r="Z50" s="362"/>
      <c r="AA50" s="362"/>
      <c r="AB50" s="468"/>
      <c r="AC50" s="464" t="str">
        <f>IF(AB50="","",IF(I50=1,VLOOKUP(AB50,男子種目コード!$A$82:$B$85,2,FALSE),IF(I50=2,VLOOKUP(AB50,女子種目コード!$A$82:$B$85,2,FALSE))))</f>
        <v/>
      </c>
      <c r="AD50" s="454"/>
      <c r="AE50" s="362">
        <v>0</v>
      </c>
      <c r="AF50" s="362">
        <v>2</v>
      </c>
      <c r="AG50" s="455"/>
      <c r="AH50" s="104" t="str">
        <f>IF(AG50="","",IF(I50=1,VLOOKUP(AG50,男子種目コード!$A$78:$B$81,2,FALSE),IF(I50=2,VLOOKUP(AG50,女子種目コード!$A$78:$B$81,2,FALSE))))</f>
        <v/>
      </c>
      <c r="AI50" s="407"/>
      <c r="AJ50" s="344">
        <v>0</v>
      </c>
      <c r="AK50" s="344">
        <v>2</v>
      </c>
      <c r="AL50" s="354">
        <v>0</v>
      </c>
      <c r="AM50" s="354"/>
      <c r="AN50" s="103"/>
      <c r="AO50" s="358"/>
      <c r="AP50" s="103" t="str">
        <f t="shared" si="21"/>
        <v/>
      </c>
      <c r="AQ50" s="103" t="str">
        <f t="shared" si="6"/>
        <v/>
      </c>
      <c r="AR50" s="103"/>
      <c r="AS50" s="103"/>
      <c r="AT50" s="240" t="str">
        <f t="shared" si="7"/>
        <v/>
      </c>
      <c r="AU50" s="240">
        <f t="shared" si="47"/>
        <v>0</v>
      </c>
      <c r="AV50" s="240">
        <f t="shared" si="48"/>
        <v>0</v>
      </c>
      <c r="AW50" s="240">
        <f t="shared" si="49"/>
        <v>0</v>
      </c>
      <c r="AX50" s="240">
        <f t="shared" si="8"/>
        <v>0</v>
      </c>
      <c r="AY50" s="238" t="s">
        <v>138</v>
      </c>
      <c r="AZ50" s="238" t="s">
        <v>139</v>
      </c>
      <c r="BA50" s="4"/>
      <c r="BB50" s="4">
        <f t="shared" si="9"/>
        <v>0</v>
      </c>
      <c r="BC50" s="4">
        <f t="shared" si="10"/>
        <v>0</v>
      </c>
      <c r="BD50" s="4" t="str">
        <f t="shared" si="11"/>
        <v/>
      </c>
      <c r="BE50" s="4" t="str">
        <f t="shared" si="12"/>
        <v/>
      </c>
      <c r="BF50" s="753" t="s">
        <v>137</v>
      </c>
      <c r="BG50" s="432">
        <f>COUNTIF($P$7:$P$56,56)+COUNTIF($U$7:$U$56,56)</f>
        <v>0</v>
      </c>
      <c r="BH50" s="751" t="s">
        <v>412</v>
      </c>
      <c r="BI50" s="673" t="s">
        <v>446</v>
      </c>
      <c r="BJ50" s="669" t="s">
        <v>434</v>
      </c>
      <c r="BK50" s="146"/>
      <c r="BL50" s="412"/>
      <c r="BM50" s="146"/>
      <c r="BN50" s="412"/>
      <c r="BO50" s="146"/>
    </row>
    <row r="51" spans="1:67" ht="14.25" thickBot="1">
      <c r="A51" s="5">
        <f t="shared" si="4"/>
        <v>0</v>
      </c>
      <c r="B51" s="18" t="str">
        <f>名簿!Q53</f>
        <v/>
      </c>
      <c r="C51" s="5">
        <f t="shared" si="5"/>
        <v>0</v>
      </c>
      <c r="D51" s="776">
        <f>名簿!D53</f>
        <v>0</v>
      </c>
      <c r="E51" s="19">
        <f>名簿!E53</f>
        <v>0</v>
      </c>
      <c r="F51" s="205" t="str">
        <f>名簿!BN53</f>
        <v/>
      </c>
      <c r="G51" s="19" t="str">
        <f>名簿!Z53</f>
        <v/>
      </c>
      <c r="H51" s="122" t="str">
        <f t="shared" si="46"/>
        <v/>
      </c>
      <c r="I51" s="361" t="str">
        <f>名簿!O53</f>
        <v/>
      </c>
      <c r="J51" s="361">
        <f>名簿!I53</f>
        <v>0</v>
      </c>
      <c r="K51" s="807">
        <f>名簿!K53</f>
        <v>0</v>
      </c>
      <c r="L51" s="409" t="str">
        <f>名簿!BQ53</f>
        <v>00</v>
      </c>
      <c r="M51" s="19" t="str">
        <f>名簿!R53</f>
        <v/>
      </c>
      <c r="N51" s="689">
        <f>名簿!C53</f>
        <v>0</v>
      </c>
      <c r="O51" s="461"/>
      <c r="P51" s="187" t="str">
        <f>IF(O51="","",IF(I51=1,VLOOKUP(O51,男子種目コード!$A$1:$B$33,2,FALSE),IF(I51=2,VLOOKUP(O51,女子種目コード!$A$1:$B$28,2,FALSE))))</f>
        <v/>
      </c>
      <c r="Q51" s="299" t="str">
        <f>IF(O51="","",HLOOKUP(O51,名簿!$AB$8:$BG$58,46,FALSE))</f>
        <v/>
      </c>
      <c r="R51" s="362">
        <v>0</v>
      </c>
      <c r="S51" s="401">
        <v>2</v>
      </c>
      <c r="T51" s="200"/>
      <c r="U51" s="187" t="str">
        <f>IF(T51="","",IF(I51=1,VLOOKUP(T51,男子種目コード!$A$1:$B$33,2,FALSE),IF(I51=2,VLOOKUP(T51,女子種目コード!$A$1:$B$28,2,FALSE))))</f>
        <v/>
      </c>
      <c r="V51" s="299" t="str">
        <f>IF(T51="","",HLOOKUP(T51,名簿!$AB$8:$BG$58,46,FALSE))</f>
        <v/>
      </c>
      <c r="W51" s="204"/>
      <c r="X51" s="205" t="str">
        <f>IF(W51="","",IF(I51=1,VLOOKUP(W51,男子種目コード!$D$2:$E$30,2,FALSE),IF(I51=2,VLOOKUP(W51,女子種目コード!$D$2:$E$30,2,FALSE))))</f>
        <v/>
      </c>
      <c r="Y51" s="454"/>
      <c r="Z51" s="362"/>
      <c r="AA51" s="362"/>
      <c r="AB51" s="468"/>
      <c r="AC51" s="464" t="str">
        <f>IF(AB51="","",IF(I51=1,VLOOKUP(AB51,男子種目コード!$A$82:$B$85,2,FALSE),IF(I51=2,VLOOKUP(AB51,女子種目コード!$A$82:$B$85,2,FALSE))))</f>
        <v/>
      </c>
      <c r="AD51" s="454"/>
      <c r="AE51" s="362">
        <v>0</v>
      </c>
      <c r="AF51" s="362">
        <v>2</v>
      </c>
      <c r="AG51" s="455"/>
      <c r="AH51" s="104" t="str">
        <f>IF(AG51="","",IF(I51=1,VLOOKUP(AG51,男子種目コード!$A$78:$B$81,2,FALSE),IF(I51=2,VLOOKUP(AG51,女子種目コード!$A$78:$B$81,2,FALSE))))</f>
        <v/>
      </c>
      <c r="AI51" s="407"/>
      <c r="AJ51" s="344">
        <v>0</v>
      </c>
      <c r="AK51" s="344">
        <v>2</v>
      </c>
      <c r="AL51" s="354">
        <v>0</v>
      </c>
      <c r="AM51" s="354"/>
      <c r="AN51" s="103"/>
      <c r="AO51" s="358"/>
      <c r="AP51" s="103" t="str">
        <f t="shared" si="21"/>
        <v/>
      </c>
      <c r="AQ51" s="103" t="str">
        <f t="shared" si="6"/>
        <v/>
      </c>
      <c r="AR51" s="103"/>
      <c r="AS51" s="103"/>
      <c r="AT51" s="240" t="str">
        <f t="shared" si="7"/>
        <v/>
      </c>
      <c r="AU51" s="240">
        <f t="shared" si="47"/>
        <v>0</v>
      </c>
      <c r="AV51" s="240">
        <f t="shared" si="48"/>
        <v>0</v>
      </c>
      <c r="AW51" s="240">
        <f t="shared" si="49"/>
        <v>0</v>
      </c>
      <c r="AX51" s="240">
        <f t="shared" si="8"/>
        <v>0</v>
      </c>
      <c r="AY51" s="238" t="s">
        <v>182</v>
      </c>
      <c r="AZ51" s="238" t="s">
        <v>489</v>
      </c>
      <c r="BA51" s="4"/>
      <c r="BB51" s="4">
        <f t="shared" si="9"/>
        <v>0</v>
      </c>
      <c r="BC51" s="4">
        <f t="shared" si="10"/>
        <v>0</v>
      </c>
      <c r="BD51" s="4" t="str">
        <f t="shared" si="11"/>
        <v/>
      </c>
      <c r="BE51" s="4" t="str">
        <f t="shared" si="12"/>
        <v/>
      </c>
      <c r="BF51" s="753" t="s">
        <v>136</v>
      </c>
      <c r="BG51" s="432">
        <f>COUNTIF($P$7:$P$56,57)+COUNTIF($U$7:$U$56,57)</f>
        <v>0</v>
      </c>
      <c r="BH51" s="751" t="s">
        <v>413</v>
      </c>
      <c r="BI51" s="669" t="s">
        <v>435</v>
      </c>
      <c r="BJ51" s="671" t="s">
        <v>414</v>
      </c>
      <c r="BK51" s="146"/>
      <c r="BL51" s="412"/>
      <c r="BM51" s="146"/>
      <c r="BN51" s="412"/>
      <c r="BO51" s="146"/>
    </row>
    <row r="52" spans="1:67" ht="14.25" thickBot="1">
      <c r="A52" s="5">
        <f t="shared" si="4"/>
        <v>0</v>
      </c>
      <c r="B52" s="18" t="str">
        <f>名簿!Q54</f>
        <v/>
      </c>
      <c r="C52" s="5">
        <f t="shared" si="5"/>
        <v>0</v>
      </c>
      <c r="D52" s="776">
        <f>名簿!D54</f>
        <v>0</v>
      </c>
      <c r="E52" s="19">
        <f>名簿!E54</f>
        <v>0</v>
      </c>
      <c r="F52" s="205" t="str">
        <f>名簿!BN54</f>
        <v/>
      </c>
      <c r="G52" s="19" t="str">
        <f>名簿!Z54</f>
        <v/>
      </c>
      <c r="H52" s="122" t="str">
        <f t="shared" si="46"/>
        <v/>
      </c>
      <c r="I52" s="361" t="str">
        <f>名簿!O54</f>
        <v/>
      </c>
      <c r="J52" s="361">
        <f>名簿!I54</f>
        <v>0</v>
      </c>
      <c r="K52" s="807">
        <f>名簿!K54</f>
        <v>0</v>
      </c>
      <c r="L52" s="409" t="str">
        <f>名簿!BQ54</f>
        <v>00</v>
      </c>
      <c r="M52" s="19" t="str">
        <f>名簿!R54</f>
        <v/>
      </c>
      <c r="N52" s="689">
        <f>名簿!C54</f>
        <v>0</v>
      </c>
      <c r="O52" s="461"/>
      <c r="P52" s="187" t="str">
        <f>IF(O52="","",IF(I52=1,VLOOKUP(O52,男子種目コード!$A$1:$B$33,2,FALSE),IF(I52=2,VLOOKUP(O52,女子種目コード!$A$1:$B$28,2,FALSE))))</f>
        <v/>
      </c>
      <c r="Q52" s="299" t="str">
        <f>IF(O52="","",HLOOKUP(O52,名簿!$AB$8:$BG$58,47,FALSE))</f>
        <v/>
      </c>
      <c r="R52" s="362">
        <v>0</v>
      </c>
      <c r="S52" s="401">
        <v>2</v>
      </c>
      <c r="T52" s="200"/>
      <c r="U52" s="187" t="str">
        <f>IF(T52="","",IF(I52=1,VLOOKUP(T52,男子種目コード!$A$1:$B$33,2,FALSE),IF(I52=2,VLOOKUP(T52,女子種目コード!$A$1:$B$28,2,FALSE))))</f>
        <v/>
      </c>
      <c r="V52" s="299" t="str">
        <f>IF(T52="","",HLOOKUP(T52,名簿!$AB$8:$BG$58,47,FALSE))</f>
        <v/>
      </c>
      <c r="W52" s="204"/>
      <c r="X52" s="205" t="str">
        <f>IF(W52="","",IF(I52=1,VLOOKUP(W52,男子種目コード!$D$2:$E$30,2,FALSE),IF(I52=2,VLOOKUP(W52,女子種目コード!$D$2:$E$30,2,FALSE))))</f>
        <v/>
      </c>
      <c r="Y52" s="454"/>
      <c r="Z52" s="362"/>
      <c r="AA52" s="362"/>
      <c r="AB52" s="468"/>
      <c r="AC52" s="464" t="str">
        <f>IF(AB52="","",IF(I52=1,VLOOKUP(AB52,男子種目コード!$A$82:$B$85,2,FALSE),IF(I52=2,VLOOKUP(AB52,女子種目コード!$A$82:$B$85,2,FALSE))))</f>
        <v/>
      </c>
      <c r="AD52" s="454"/>
      <c r="AE52" s="362">
        <v>0</v>
      </c>
      <c r="AF52" s="362">
        <v>2</v>
      </c>
      <c r="AG52" s="455"/>
      <c r="AH52" s="104" t="str">
        <f>IF(AG52="","",IF(I52=1,VLOOKUP(AG52,男子種目コード!$A$78:$B$81,2,FALSE),IF(I52=2,VLOOKUP(AG52,女子種目コード!$A$78:$B$81,2,FALSE))))</f>
        <v/>
      </c>
      <c r="AI52" s="407"/>
      <c r="AJ52" s="344">
        <v>0</v>
      </c>
      <c r="AK52" s="344">
        <v>2</v>
      </c>
      <c r="AL52" s="354">
        <v>0</v>
      </c>
      <c r="AM52" s="354"/>
      <c r="AN52" s="103"/>
      <c r="AO52" s="358"/>
      <c r="AP52" s="103" t="str">
        <f t="shared" si="21"/>
        <v/>
      </c>
      <c r="AQ52" s="103" t="str">
        <f t="shared" si="6"/>
        <v/>
      </c>
      <c r="AR52" s="103"/>
      <c r="AS52" s="103"/>
      <c r="AT52" s="240" t="str">
        <f t="shared" si="7"/>
        <v/>
      </c>
      <c r="AU52" s="240">
        <f t="shared" si="47"/>
        <v>0</v>
      </c>
      <c r="AV52" s="240">
        <f t="shared" si="48"/>
        <v>0</v>
      </c>
      <c r="AW52" s="240">
        <f t="shared" si="49"/>
        <v>0</v>
      </c>
      <c r="AX52" s="240">
        <f t="shared" si="8"/>
        <v>0</v>
      </c>
      <c r="AY52" s="238" t="s">
        <v>140</v>
      </c>
      <c r="AZ52" s="99"/>
      <c r="BA52" s="4"/>
      <c r="BB52" s="4">
        <f t="shared" si="9"/>
        <v>0</v>
      </c>
      <c r="BC52" s="4">
        <f t="shared" si="10"/>
        <v>0</v>
      </c>
      <c r="BD52" s="4" t="str">
        <f t="shared" si="11"/>
        <v/>
      </c>
      <c r="BE52" s="4" t="str">
        <f t="shared" si="12"/>
        <v/>
      </c>
      <c r="BF52" s="753" t="s">
        <v>141</v>
      </c>
      <c r="BG52" s="432">
        <f>COUNTIF($P$7:$P$56,58)+COUNTIF($U$7:$U$56,58)</f>
        <v>0</v>
      </c>
      <c r="BH52" s="751" t="s">
        <v>415</v>
      </c>
      <c r="BI52" s="669" t="s">
        <v>436</v>
      </c>
      <c r="BJ52" s="669" t="s">
        <v>437</v>
      </c>
      <c r="BK52" s="146"/>
      <c r="BL52" s="412"/>
      <c r="BM52" s="146"/>
      <c r="BN52" s="412"/>
      <c r="BO52" s="146"/>
    </row>
    <row r="53" spans="1:67" ht="14.25" thickBot="1">
      <c r="A53" s="5">
        <f t="shared" si="4"/>
        <v>0</v>
      </c>
      <c r="B53" s="18" t="str">
        <f>名簿!Q55</f>
        <v/>
      </c>
      <c r="C53" s="5">
        <f t="shared" si="5"/>
        <v>0</v>
      </c>
      <c r="D53" s="776">
        <f>名簿!D55</f>
        <v>0</v>
      </c>
      <c r="E53" s="19">
        <f>名簿!E55</f>
        <v>0</v>
      </c>
      <c r="F53" s="205" t="str">
        <f>名簿!BN55</f>
        <v/>
      </c>
      <c r="G53" s="19" t="str">
        <f>名簿!Z55</f>
        <v/>
      </c>
      <c r="H53" s="122" t="str">
        <f t="shared" si="46"/>
        <v/>
      </c>
      <c r="I53" s="361" t="str">
        <f>名簿!O55</f>
        <v/>
      </c>
      <c r="J53" s="361">
        <f>名簿!I55</f>
        <v>0</v>
      </c>
      <c r="K53" s="807">
        <f>名簿!K55</f>
        <v>0</v>
      </c>
      <c r="L53" s="409" t="str">
        <f>名簿!BQ55</f>
        <v>00</v>
      </c>
      <c r="M53" s="19" t="str">
        <f>名簿!R55</f>
        <v/>
      </c>
      <c r="N53" s="689">
        <f>名簿!C55</f>
        <v>0</v>
      </c>
      <c r="O53" s="461"/>
      <c r="P53" s="187" t="str">
        <f>IF(O53="","",IF(I53=1,VLOOKUP(O53,男子種目コード!$A$1:$B$33,2,FALSE),IF(I53=2,VLOOKUP(O53,女子種目コード!$A$1:$B$28,2,FALSE))))</f>
        <v/>
      </c>
      <c r="Q53" s="299" t="str">
        <f>IF(O53="","",HLOOKUP(O53,名簿!$AB$8:$BG$58,48,FALSE))</f>
        <v/>
      </c>
      <c r="R53" s="362">
        <v>0</v>
      </c>
      <c r="S53" s="401">
        <v>2</v>
      </c>
      <c r="T53" s="200"/>
      <c r="U53" s="187" t="str">
        <f>IF(T53="","",IF(I53=1,VLOOKUP(T53,男子種目コード!$A$1:$B$33,2,FALSE),IF(I53=2,VLOOKUP(T53,女子種目コード!$A$1:$B$28,2,FALSE))))</f>
        <v/>
      </c>
      <c r="V53" s="299" t="str">
        <f>IF(T53="","",HLOOKUP(T53,名簿!$AB$8:$BG$58,48,FALSE))</f>
        <v/>
      </c>
      <c r="W53" s="204"/>
      <c r="X53" s="205" t="str">
        <f>IF(W53="","",IF(I53=1,VLOOKUP(W53,男子種目コード!$D$2:$E$30,2,FALSE),IF(I53=2,VLOOKUP(W53,女子種目コード!$D$2:$E$30,2,FALSE))))</f>
        <v/>
      </c>
      <c r="Y53" s="454"/>
      <c r="Z53" s="362"/>
      <c r="AA53" s="362"/>
      <c r="AB53" s="468"/>
      <c r="AC53" s="464" t="str">
        <f>IF(AB53="","",IF(I53=1,VLOOKUP(AB53,男子種目コード!$A$82:$B$85,2,FALSE),IF(I53=2,VLOOKUP(AB53,女子種目コード!$A$82:$B$85,2,FALSE))))</f>
        <v/>
      </c>
      <c r="AD53" s="454"/>
      <c r="AE53" s="362">
        <v>0</v>
      </c>
      <c r="AF53" s="362">
        <v>2</v>
      </c>
      <c r="AG53" s="455"/>
      <c r="AH53" s="104" t="str">
        <f>IF(AG53="","",IF(I53=1,VLOOKUP(AG53,男子種目コード!$A$78:$B$81,2,FALSE),IF(I53=2,VLOOKUP(AG53,女子種目コード!$A$78:$B$81,2,FALSE))))</f>
        <v/>
      </c>
      <c r="AI53" s="407"/>
      <c r="AJ53" s="344">
        <v>0</v>
      </c>
      <c r="AK53" s="344">
        <v>2</v>
      </c>
      <c r="AL53" s="354">
        <v>0</v>
      </c>
      <c r="AM53" s="354"/>
      <c r="AN53" s="103"/>
      <c r="AO53" s="358"/>
      <c r="AP53" s="103" t="str">
        <f t="shared" si="21"/>
        <v/>
      </c>
      <c r="AQ53" s="103" t="str">
        <f t="shared" si="6"/>
        <v/>
      </c>
      <c r="AR53" s="103"/>
      <c r="AS53" s="103"/>
      <c r="AT53" s="240" t="str">
        <f t="shared" si="7"/>
        <v/>
      </c>
      <c r="AU53" s="240">
        <f t="shared" si="47"/>
        <v>0</v>
      </c>
      <c r="AV53" s="240">
        <f t="shared" si="48"/>
        <v>0</v>
      </c>
      <c r="AW53" s="240">
        <f t="shared" si="49"/>
        <v>0</v>
      </c>
      <c r="AX53" s="240">
        <f t="shared" si="8"/>
        <v>0</v>
      </c>
      <c r="AY53" s="238" t="s">
        <v>183</v>
      </c>
      <c r="AZ53" s="99"/>
      <c r="BA53" s="4"/>
      <c r="BB53" s="4">
        <f t="shared" si="9"/>
        <v>0</v>
      </c>
      <c r="BC53" s="4">
        <f t="shared" si="10"/>
        <v>0</v>
      </c>
      <c r="BD53" s="4" t="str">
        <f t="shared" si="11"/>
        <v/>
      </c>
      <c r="BE53" s="4" t="str">
        <f t="shared" si="12"/>
        <v/>
      </c>
      <c r="BF53" s="753" t="s">
        <v>142</v>
      </c>
      <c r="BG53" s="432">
        <f>COUNTIF($P$7:$P$56,59)+COUNTIF($U$7:$U$56,59)</f>
        <v>0</v>
      </c>
      <c r="BH53" s="751" t="s">
        <v>416</v>
      </c>
      <c r="BI53" s="669" t="s">
        <v>417</v>
      </c>
      <c r="BJ53" s="669" t="s">
        <v>418</v>
      </c>
      <c r="BK53" s="146"/>
      <c r="BL53" s="412"/>
      <c r="BM53" s="146"/>
      <c r="BN53" s="412"/>
      <c r="BO53" s="146"/>
    </row>
    <row r="54" spans="1:67" ht="14.25" thickBot="1">
      <c r="A54" s="5">
        <f t="shared" si="4"/>
        <v>0</v>
      </c>
      <c r="B54" s="18" t="str">
        <f>名簿!Q56</f>
        <v/>
      </c>
      <c r="C54" s="5">
        <f t="shared" si="5"/>
        <v>0</v>
      </c>
      <c r="D54" s="776">
        <f>名簿!D56</f>
        <v>0</v>
      </c>
      <c r="E54" s="19">
        <f>名簿!E56</f>
        <v>0</v>
      </c>
      <c r="F54" s="205" t="str">
        <f>名簿!BN56</f>
        <v/>
      </c>
      <c r="G54" s="19" t="str">
        <f>名簿!Z56</f>
        <v/>
      </c>
      <c r="H54" s="122" t="str">
        <f t="shared" si="46"/>
        <v/>
      </c>
      <c r="I54" s="361" t="str">
        <f>名簿!O56</f>
        <v/>
      </c>
      <c r="J54" s="361">
        <f>名簿!I56</f>
        <v>0</v>
      </c>
      <c r="K54" s="807">
        <f>名簿!K56</f>
        <v>0</v>
      </c>
      <c r="L54" s="409" t="str">
        <f>名簿!BQ56</f>
        <v>00</v>
      </c>
      <c r="M54" s="19" t="str">
        <f>名簿!R56</f>
        <v/>
      </c>
      <c r="N54" s="689">
        <f>名簿!C56</f>
        <v>0</v>
      </c>
      <c r="O54" s="461"/>
      <c r="P54" s="187" t="str">
        <f>IF(O54="","",IF(I54=1,VLOOKUP(O54,男子種目コード!$A$1:$B$33,2,FALSE),IF(I54=2,VLOOKUP(O54,女子種目コード!$A$1:$B$28,2,FALSE))))</f>
        <v/>
      </c>
      <c r="Q54" s="299" t="str">
        <f>IF(O54="","",HLOOKUP(O54,名簿!$AB$8:$BG$58,49,FALSE))</f>
        <v/>
      </c>
      <c r="R54" s="362">
        <v>0</v>
      </c>
      <c r="S54" s="401">
        <v>2</v>
      </c>
      <c r="T54" s="200"/>
      <c r="U54" s="187" t="str">
        <f>IF(T54="","",IF(I54=1,VLOOKUP(T54,男子種目コード!$A$1:$B$33,2,FALSE),IF(I54=2,VLOOKUP(T54,女子種目コード!$A$1:$B$28,2,FALSE))))</f>
        <v/>
      </c>
      <c r="V54" s="299" t="str">
        <f>IF(T54="","",HLOOKUP(T54,名簿!$AB$8:$BG$58,49,FALSE))</f>
        <v/>
      </c>
      <c r="W54" s="204"/>
      <c r="X54" s="205" t="str">
        <f>IF(W54="","",IF(I54=1,VLOOKUP(W54,男子種目コード!$D$2:$E$30,2,FALSE),IF(I54=2,VLOOKUP(W54,女子種目コード!$D$2:$E$30,2,FALSE))))</f>
        <v/>
      </c>
      <c r="Y54" s="454"/>
      <c r="Z54" s="362"/>
      <c r="AA54" s="362"/>
      <c r="AB54" s="468"/>
      <c r="AC54" s="464" t="str">
        <f>IF(AB54="","",IF(I54=1,VLOOKUP(AB54,男子種目コード!$A$82:$B$85,2,FALSE),IF(I54=2,VLOOKUP(AB54,女子種目コード!$A$82:$B$85,2,FALSE))))</f>
        <v/>
      </c>
      <c r="AD54" s="454"/>
      <c r="AE54" s="362">
        <v>0</v>
      </c>
      <c r="AF54" s="362">
        <v>2</v>
      </c>
      <c r="AG54" s="455"/>
      <c r="AH54" s="104" t="str">
        <f>IF(AG54="","",IF(I54=1,VLOOKUP(AG54,男子種目コード!$A$78:$B$81,2,FALSE),IF(I54=2,VLOOKUP(AG54,女子種目コード!$A$78:$B$81,2,FALSE))))</f>
        <v/>
      </c>
      <c r="AI54" s="407"/>
      <c r="AJ54" s="344">
        <v>0</v>
      </c>
      <c r="AK54" s="344">
        <v>2</v>
      </c>
      <c r="AL54" s="354">
        <v>0</v>
      </c>
      <c r="AM54" s="354"/>
      <c r="AN54" s="103"/>
      <c r="AO54" s="358"/>
      <c r="AP54" s="103" t="str">
        <f t="shared" si="21"/>
        <v/>
      </c>
      <c r="AQ54" s="103" t="str">
        <f t="shared" si="6"/>
        <v/>
      </c>
      <c r="AR54" s="103"/>
      <c r="AS54" s="103"/>
      <c r="AT54" s="240" t="str">
        <f t="shared" si="7"/>
        <v/>
      </c>
      <c r="AU54" s="240">
        <f t="shared" si="47"/>
        <v>0</v>
      </c>
      <c r="AV54" s="240">
        <f t="shared" si="48"/>
        <v>0</v>
      </c>
      <c r="AW54" s="240">
        <f t="shared" si="49"/>
        <v>0</v>
      </c>
      <c r="AX54" s="240">
        <f t="shared" si="8"/>
        <v>0</v>
      </c>
      <c r="AY54" s="238" t="s">
        <v>139</v>
      </c>
      <c r="AZ54" s="99"/>
      <c r="BA54" s="4"/>
      <c r="BB54" s="4">
        <f t="shared" si="9"/>
        <v>0</v>
      </c>
      <c r="BC54" s="4">
        <f t="shared" si="10"/>
        <v>0</v>
      </c>
      <c r="BD54" s="4" t="str">
        <f t="shared" si="11"/>
        <v/>
      </c>
      <c r="BE54" s="4" t="str">
        <f t="shared" si="12"/>
        <v/>
      </c>
      <c r="BF54" s="753" t="s">
        <v>138</v>
      </c>
      <c r="BG54" s="432">
        <f>COUNTIF($P$7:$P$56,60)+COUNTIF($U$7:$U$56,60)</f>
        <v>0</v>
      </c>
      <c r="BH54" s="751" t="s">
        <v>419</v>
      </c>
      <c r="BI54" s="669" t="s">
        <v>420</v>
      </c>
      <c r="BJ54" s="670"/>
      <c r="BK54" s="146"/>
      <c r="BL54" s="412"/>
      <c r="BM54" s="146"/>
      <c r="BN54" s="412"/>
      <c r="BO54" s="146"/>
    </row>
    <row r="55" spans="1:67" ht="14.25" thickBot="1">
      <c r="A55" s="5">
        <f t="shared" si="4"/>
        <v>0</v>
      </c>
      <c r="B55" s="18" t="str">
        <f>名簿!Q57</f>
        <v/>
      </c>
      <c r="C55" s="5">
        <f t="shared" si="5"/>
        <v>0</v>
      </c>
      <c r="D55" s="776">
        <f>名簿!D57</f>
        <v>0</v>
      </c>
      <c r="E55" s="19">
        <f>名簿!E57</f>
        <v>0</v>
      </c>
      <c r="F55" s="205" t="str">
        <f>名簿!BN57</f>
        <v/>
      </c>
      <c r="G55" s="19" t="str">
        <f>名簿!Z57</f>
        <v/>
      </c>
      <c r="H55" s="122" t="str">
        <f t="shared" si="46"/>
        <v/>
      </c>
      <c r="I55" s="361" t="str">
        <f>名簿!O57</f>
        <v/>
      </c>
      <c r="J55" s="361">
        <f>名簿!I57</f>
        <v>0</v>
      </c>
      <c r="K55" s="807">
        <f>名簿!K57</f>
        <v>0</v>
      </c>
      <c r="L55" s="409" t="str">
        <f>名簿!BQ57</f>
        <v>00</v>
      </c>
      <c r="M55" s="19" t="str">
        <f>名簿!R57</f>
        <v/>
      </c>
      <c r="N55" s="689">
        <f>名簿!C57</f>
        <v>0</v>
      </c>
      <c r="O55" s="461"/>
      <c r="P55" s="187" t="str">
        <f>IF(O55="","",IF(I55=1,VLOOKUP(O55,男子種目コード!$A$1:$B$33,2,FALSE),IF(I55=2,VLOOKUP(O55,女子種目コード!$A$1:$B$28,2,FALSE))))</f>
        <v/>
      </c>
      <c r="Q55" s="299" t="str">
        <f>IF(O55="","",HLOOKUP(O55,名簿!$AB$8:$BG$58,50,FALSE))</f>
        <v/>
      </c>
      <c r="R55" s="362">
        <v>0</v>
      </c>
      <c r="S55" s="401">
        <v>2</v>
      </c>
      <c r="T55" s="200"/>
      <c r="U55" s="187" t="str">
        <f>IF(T55="","",IF(I55=1,VLOOKUP(T55,男子種目コード!$A$1:$B$33,2,FALSE),IF(I55=2,VLOOKUP(T55,女子種目コード!$A$1:$B$28,2,FALSE))))</f>
        <v/>
      </c>
      <c r="V55" s="299" t="str">
        <f>IF(T55="","",HLOOKUP(T55,名簿!$AB$8:$BG$58,50,FALSE))</f>
        <v/>
      </c>
      <c r="W55" s="204"/>
      <c r="X55" s="205" t="str">
        <f>IF(W55="","",IF(I55=1,VLOOKUP(W55,男子種目コード!$D$2:$E$30,2,FALSE),IF(I55=2,VLOOKUP(W55,女子種目コード!$D$2:$E$30,2,FALSE))))</f>
        <v/>
      </c>
      <c r="Y55" s="454"/>
      <c r="Z55" s="362"/>
      <c r="AA55" s="362"/>
      <c r="AB55" s="468"/>
      <c r="AC55" s="464" t="str">
        <f>IF(AB55="","",IF(I55=1,VLOOKUP(AB55,男子種目コード!$A$82:$B$85,2,FALSE),IF(I55=2,VLOOKUP(AB55,女子種目コード!$A$82:$B$85,2,FALSE))))</f>
        <v/>
      </c>
      <c r="AD55" s="454"/>
      <c r="AE55" s="362">
        <v>0</v>
      </c>
      <c r="AF55" s="362">
        <v>2</v>
      </c>
      <c r="AG55" s="455"/>
      <c r="AH55" s="104" t="str">
        <f>IF(AG55="","",IF(I55=1,VLOOKUP(AG55,男子種目コード!$A$78:$B$81,2,FALSE),IF(I55=2,VLOOKUP(AG55,女子種目コード!$A$78:$B$81,2,FALSE))))</f>
        <v/>
      </c>
      <c r="AI55" s="407"/>
      <c r="AJ55" s="344">
        <v>0</v>
      </c>
      <c r="AK55" s="344">
        <v>2</v>
      </c>
      <c r="AL55" s="354">
        <v>0</v>
      </c>
      <c r="AM55" s="354"/>
      <c r="AN55" s="103"/>
      <c r="AO55" s="358"/>
      <c r="AP55" s="103" t="str">
        <f t="shared" si="21"/>
        <v/>
      </c>
      <c r="AQ55" s="103" t="str">
        <f t="shared" si="6"/>
        <v/>
      </c>
      <c r="AR55" s="103"/>
      <c r="AS55" s="103"/>
      <c r="AT55" s="240" t="str">
        <f t="shared" si="7"/>
        <v/>
      </c>
      <c r="AU55" s="240">
        <f t="shared" si="47"/>
        <v>0</v>
      </c>
      <c r="AV55" s="240">
        <f t="shared" si="48"/>
        <v>0</v>
      </c>
      <c r="AW55" s="240">
        <f t="shared" si="49"/>
        <v>0</v>
      </c>
      <c r="AX55" s="240">
        <f t="shared" si="8"/>
        <v>0</v>
      </c>
      <c r="AY55" s="99"/>
      <c r="AZ55" s="99"/>
      <c r="BA55" s="4"/>
      <c r="BB55" s="4">
        <f t="shared" si="9"/>
        <v>0</v>
      </c>
      <c r="BC55" s="4">
        <f t="shared" si="10"/>
        <v>0</v>
      </c>
      <c r="BD55" s="4" t="str">
        <f t="shared" si="11"/>
        <v/>
      </c>
      <c r="BE55" s="4" t="str">
        <f t="shared" si="12"/>
        <v/>
      </c>
      <c r="BF55" s="753" t="s">
        <v>140</v>
      </c>
      <c r="BG55" s="432">
        <f>COUNTIF($P$7:$P$56,61)+COUNTIF($U$7:$U$56,61)</f>
        <v>0</v>
      </c>
      <c r="BH55" s="751" t="s">
        <v>421</v>
      </c>
      <c r="BI55" s="673" t="s">
        <v>447</v>
      </c>
      <c r="BJ55" s="673" t="s">
        <v>451</v>
      </c>
      <c r="BK55" s="146"/>
      <c r="BL55" s="412"/>
      <c r="BM55" s="146"/>
      <c r="BN55" s="412"/>
      <c r="BO55" s="146"/>
    </row>
    <row r="56" spans="1:67" ht="14.25" thickBot="1">
      <c r="A56" s="5">
        <f t="shared" si="4"/>
        <v>0</v>
      </c>
      <c r="B56" s="18" t="str">
        <f>名簿!Q58</f>
        <v/>
      </c>
      <c r="C56" s="5">
        <f t="shared" si="5"/>
        <v>0</v>
      </c>
      <c r="D56" s="777">
        <f>名簿!D58</f>
        <v>0</v>
      </c>
      <c r="E56" s="20">
        <f>名簿!E58</f>
        <v>0</v>
      </c>
      <c r="F56" s="208" t="str">
        <f>名簿!BN58</f>
        <v/>
      </c>
      <c r="G56" s="20" t="str">
        <f>名簿!Z58</f>
        <v/>
      </c>
      <c r="H56" s="123" t="str">
        <f t="shared" si="46"/>
        <v/>
      </c>
      <c r="I56" s="366" t="str">
        <f>名簿!O58</f>
        <v/>
      </c>
      <c r="J56" s="366">
        <f>名簿!I58</f>
        <v>0</v>
      </c>
      <c r="K56" s="808">
        <f>名簿!K58</f>
        <v>0</v>
      </c>
      <c r="L56" s="410" t="str">
        <f>名簿!BQ58</f>
        <v>00</v>
      </c>
      <c r="M56" s="20" t="str">
        <f>名簿!R58</f>
        <v/>
      </c>
      <c r="N56" s="690">
        <f>名簿!C58</f>
        <v>0</v>
      </c>
      <c r="O56" s="207"/>
      <c r="P56" s="189" t="str">
        <f>IF(O56="","",IF(I56=1,VLOOKUP(O56,男子種目コード!$A$1:$B$33,2,FALSE),IF(I56=2,VLOOKUP(O56,女子種目コード!$A$1:$B$28,2,FALSE))))</f>
        <v/>
      </c>
      <c r="Q56" s="300" t="str">
        <f>IF(O56="","",HLOOKUP(O56,名簿!$AB$8:$BG$58,51,FALSE))</f>
        <v/>
      </c>
      <c r="R56" s="367">
        <v>0</v>
      </c>
      <c r="S56" s="402">
        <v>2</v>
      </c>
      <c r="T56" s="188"/>
      <c r="U56" s="189" t="str">
        <f>IF(T56="","",IF(I56=1,VLOOKUP(T56,男子種目コード!$A$1:$B$33,2,FALSE),IF(I56=2,VLOOKUP(T56,女子種目コード!$A$1:$B$28,2,FALSE))))</f>
        <v/>
      </c>
      <c r="V56" s="300" t="str">
        <f>IF(T56="","",HLOOKUP(T56,名簿!$AB$8:$BG$58,51,FALSE))</f>
        <v/>
      </c>
      <c r="W56" s="207"/>
      <c r="X56" s="208" t="str">
        <f>IF(W56="","",IF(I56=1,VLOOKUP(W56,男子種目コード!$D$2:$E$30,2,FALSE),IF(I56=2,VLOOKUP(W56,女子種目コード!$D$2:$E$30,2,FALSE))))</f>
        <v/>
      </c>
      <c r="Y56" s="456"/>
      <c r="Z56" s="367"/>
      <c r="AA56" s="367"/>
      <c r="AB56" s="469"/>
      <c r="AC56" s="465" t="str">
        <f>IF(AB56="","",IF(I56=1,VLOOKUP(AB56,男子種目コード!$A$82:$B$85,2,FALSE),IF(I56=2,VLOOKUP(AB56,女子種目コード!$A$82:$B$85,2,FALSE))))</f>
        <v/>
      </c>
      <c r="AD56" s="456"/>
      <c r="AE56" s="367">
        <v>0</v>
      </c>
      <c r="AF56" s="367">
        <v>2</v>
      </c>
      <c r="AG56" s="457"/>
      <c r="AH56" s="104" t="str">
        <f>IF(AG56="","",IF(I56=1,VLOOKUP(AG56,男子種目コード!$A$78:$B$81,2,FALSE),IF(I56=2,VLOOKUP(AG56,女子種目コード!$A$78:$B$81,2,FALSE))))</f>
        <v/>
      </c>
      <c r="AI56" s="407"/>
      <c r="AJ56" s="344">
        <v>0</v>
      </c>
      <c r="AK56" s="344">
        <v>2</v>
      </c>
      <c r="AL56" s="354">
        <v>0</v>
      </c>
      <c r="AM56" s="354"/>
      <c r="AN56" s="103"/>
      <c r="AO56" s="358"/>
      <c r="AP56" s="103" t="str">
        <f t="shared" si="21"/>
        <v/>
      </c>
      <c r="AQ56" s="103" t="str">
        <f t="shared" si="6"/>
        <v/>
      </c>
      <c r="AR56" s="103"/>
      <c r="AS56" s="103"/>
      <c r="AT56" s="240" t="str">
        <f t="shared" si="7"/>
        <v/>
      </c>
      <c r="AU56" s="240">
        <f t="shared" si="47"/>
        <v>0</v>
      </c>
      <c r="AV56" s="240">
        <f t="shared" si="48"/>
        <v>0</v>
      </c>
      <c r="AW56" s="240">
        <f t="shared" si="49"/>
        <v>0</v>
      </c>
      <c r="AX56" s="240">
        <f t="shared" si="8"/>
        <v>0</v>
      </c>
      <c r="AY56" s="99"/>
      <c r="AZ56" s="99"/>
      <c r="BA56" s="4"/>
      <c r="BB56" s="4">
        <f t="shared" si="9"/>
        <v>0</v>
      </c>
      <c r="BC56" s="4">
        <f t="shared" si="10"/>
        <v>0</v>
      </c>
      <c r="BD56" s="4" t="str">
        <f t="shared" si="11"/>
        <v/>
      </c>
      <c r="BE56" s="4" t="str">
        <f t="shared" si="12"/>
        <v/>
      </c>
      <c r="BF56" s="754" t="s">
        <v>139</v>
      </c>
      <c r="BG56" s="433">
        <f>COUNTIF($P$7:$P$56,62)+COUNTIF($U$7:$U$56,62)</f>
        <v>0</v>
      </c>
      <c r="BH56" s="751" t="s">
        <v>422</v>
      </c>
      <c r="BI56" s="673" t="s">
        <v>448</v>
      </c>
      <c r="BJ56" s="670"/>
      <c r="BK56" s="146"/>
      <c r="BL56" s="412"/>
      <c r="BM56" s="146"/>
      <c r="BN56" s="412"/>
      <c r="BO56" s="146"/>
    </row>
    <row r="57" spans="1:67" s="103" customFormat="1" ht="14.25" thickBot="1">
      <c r="A57" s="428"/>
      <c r="C57" s="428"/>
      <c r="D57" s="694"/>
      <c r="E57" s="694"/>
      <c r="F57" s="146"/>
      <c r="G57" s="147"/>
      <c r="H57" s="148"/>
      <c r="I57" s="148"/>
      <c r="J57" s="154"/>
      <c r="K57" s="154"/>
      <c r="L57" s="146"/>
      <c r="M57" s="198"/>
      <c r="N57" s="149"/>
      <c r="O57" s="197"/>
      <c r="P57" s="198"/>
      <c r="Q57" s="149"/>
      <c r="R57" s="197"/>
      <c r="S57" s="198"/>
      <c r="T57" s="152"/>
      <c r="U57" s="197"/>
      <c r="V57" s="198"/>
      <c r="W57" s="152"/>
      <c r="X57" s="197"/>
      <c r="Y57" s="198"/>
      <c r="Z57" s="152"/>
      <c r="AA57" s="197"/>
      <c r="AB57" s="154"/>
      <c r="AC57" s="154"/>
      <c r="AD57" s="146"/>
      <c r="AE57" s="155"/>
      <c r="AF57" s="146"/>
      <c r="AG57" s="146"/>
      <c r="AH57" s="146"/>
      <c r="AI57" s="146"/>
      <c r="AJ57" s="146"/>
      <c r="AK57" s="146"/>
      <c r="AL57" s="146"/>
      <c r="AM57" s="146"/>
      <c r="AN57" s="146"/>
      <c r="AO57" s="146"/>
      <c r="AP57" s="146"/>
      <c r="AQ57" s="146"/>
      <c r="AR57" s="146"/>
      <c r="AS57" s="146"/>
      <c r="AT57" s="146"/>
      <c r="AU57" s="412"/>
      <c r="AV57" s="146"/>
      <c r="AW57" s="412"/>
      <c r="AX57" s="146"/>
      <c r="AY57" s="412"/>
      <c r="AZ57" s="146"/>
      <c r="BA57" s="412"/>
      <c r="BB57" s="412">
        <f>SUM(BB7:BB56)</f>
        <v>0</v>
      </c>
      <c r="BC57" s="146">
        <f>SUM(BC7:BC56)</f>
        <v>0</v>
      </c>
      <c r="BD57" s="146">
        <f>SUM(BD7:BD56)</f>
        <v>0</v>
      </c>
      <c r="BE57" s="146">
        <f>SUM(BE7:BE56)</f>
        <v>0</v>
      </c>
      <c r="BF57" s="315" t="s">
        <v>241</v>
      </c>
      <c r="BG57" s="434">
        <f>SUM(BG35:BG56)</f>
        <v>0</v>
      </c>
      <c r="BH57" s="668" t="s">
        <v>423</v>
      </c>
      <c r="BI57" s="669" t="s">
        <v>424</v>
      </c>
      <c r="BJ57" s="669" t="s">
        <v>425</v>
      </c>
      <c r="BK57" s="146"/>
      <c r="BL57" s="146"/>
      <c r="BM57" s="146"/>
      <c r="BN57" s="146"/>
      <c r="BO57" s="146"/>
    </row>
    <row r="58" spans="1:67" s="103" customFormat="1">
      <c r="A58" s="428"/>
      <c r="C58" s="428"/>
      <c r="D58" s="694"/>
      <c r="E58" s="694"/>
      <c r="F58" s="146"/>
      <c r="G58" s="147"/>
      <c r="H58" s="148"/>
      <c r="I58" s="148"/>
      <c r="J58" s="154"/>
      <c r="K58" s="154"/>
      <c r="L58" s="146"/>
      <c r="M58" s="198"/>
      <c r="N58" s="149"/>
      <c r="O58" s="197"/>
      <c r="P58" s="198"/>
      <c r="Q58" s="149"/>
      <c r="R58" s="197"/>
      <c r="S58" s="198"/>
      <c r="T58" s="152"/>
      <c r="U58" s="197"/>
      <c r="V58" s="198"/>
      <c r="W58" s="152"/>
      <c r="X58" s="197"/>
      <c r="Y58" s="198"/>
      <c r="Z58" s="152"/>
      <c r="AA58" s="197"/>
      <c r="AB58" s="154"/>
      <c r="AC58" s="154"/>
      <c r="AD58" s="146"/>
      <c r="AE58" s="155"/>
      <c r="AF58" s="146"/>
      <c r="AG58" s="146"/>
      <c r="AH58" s="146"/>
      <c r="AI58" s="146"/>
      <c r="AJ58" s="146"/>
      <c r="AK58" s="146"/>
      <c r="AL58" s="146"/>
      <c r="AM58" s="146"/>
      <c r="AN58" s="146"/>
      <c r="AO58" s="146"/>
      <c r="AP58" s="146"/>
      <c r="AQ58" s="146"/>
      <c r="AR58" s="146"/>
      <c r="AS58" s="146"/>
      <c r="AT58" s="146"/>
      <c r="AU58" s="412"/>
      <c r="AV58" s="146"/>
      <c r="AW58" s="412"/>
      <c r="AX58" s="146"/>
      <c r="AY58" s="412"/>
      <c r="AZ58" s="146"/>
      <c r="BA58" s="412"/>
      <c r="BB58" s="412"/>
      <c r="BC58" s="146"/>
      <c r="BD58" s="146"/>
      <c r="BE58" s="146"/>
      <c r="BF58" s="146"/>
      <c r="BG58" s="146"/>
      <c r="BH58" s="668" t="s">
        <v>426</v>
      </c>
      <c r="BI58" s="669" t="s">
        <v>427</v>
      </c>
      <c r="BJ58" s="669" t="s">
        <v>428</v>
      </c>
      <c r="BK58" s="146"/>
      <c r="BL58" s="146"/>
      <c r="BM58" s="146"/>
      <c r="BN58" s="146"/>
      <c r="BO58" s="146"/>
    </row>
    <row r="59" spans="1:67" s="103" customFormat="1">
      <c r="A59" s="428"/>
      <c r="C59" s="428"/>
      <c r="D59" s="694"/>
      <c r="E59" s="694"/>
      <c r="F59" s="146"/>
      <c r="G59" s="147"/>
      <c r="H59" s="148"/>
      <c r="I59" s="148"/>
      <c r="J59" s="154"/>
      <c r="K59" s="154"/>
      <c r="L59" s="146"/>
      <c r="M59" s="198"/>
      <c r="N59" s="149"/>
      <c r="O59" s="197"/>
      <c r="P59" s="198"/>
      <c r="Q59" s="149"/>
      <c r="R59" s="197"/>
      <c r="S59" s="198"/>
      <c r="T59" s="152"/>
      <c r="U59" s="197"/>
      <c r="V59" s="198"/>
      <c r="W59" s="152"/>
      <c r="X59" s="197"/>
      <c r="Y59" s="198"/>
      <c r="Z59" s="152"/>
      <c r="AA59" s="197"/>
      <c r="AB59" s="154"/>
      <c r="AC59" s="154"/>
      <c r="AD59" s="146"/>
      <c r="AE59" s="155"/>
      <c r="AF59" s="146"/>
      <c r="AG59" s="146"/>
      <c r="AH59" s="146"/>
      <c r="AI59" s="146"/>
      <c r="AJ59" s="146"/>
      <c r="AK59" s="146"/>
      <c r="AL59" s="146"/>
      <c r="AM59" s="146"/>
      <c r="AN59" s="146"/>
      <c r="AO59" s="146"/>
      <c r="AP59" s="146"/>
      <c r="AQ59" s="146"/>
      <c r="AR59" s="146"/>
      <c r="AS59" s="146"/>
      <c r="AT59" s="146"/>
      <c r="AU59" s="412"/>
      <c r="AV59" s="146"/>
      <c r="AW59" s="412"/>
      <c r="AX59" s="146"/>
      <c r="AY59" s="412"/>
      <c r="AZ59" s="146"/>
      <c r="BA59" s="412"/>
      <c r="BB59" s="412"/>
      <c r="BC59" s="146"/>
      <c r="BD59" s="146"/>
      <c r="BE59" s="146"/>
      <c r="BF59" s="146"/>
      <c r="BG59" s="146"/>
      <c r="BH59" s="668" t="s">
        <v>429</v>
      </c>
      <c r="BI59" s="669" t="s">
        <v>430</v>
      </c>
      <c r="BJ59" s="670"/>
      <c r="BK59" s="146"/>
      <c r="BL59" s="146"/>
      <c r="BM59" s="146"/>
      <c r="BN59" s="146"/>
      <c r="BO59" s="146"/>
    </row>
    <row r="60" spans="1:67" s="103" customFormat="1">
      <c r="A60" s="428"/>
      <c r="C60" s="428"/>
      <c r="D60" s="694"/>
      <c r="E60" s="694"/>
      <c r="F60" s="146"/>
      <c r="G60" s="147"/>
      <c r="H60" s="148"/>
      <c r="I60" s="148"/>
      <c r="J60" s="154"/>
      <c r="K60" s="154"/>
      <c r="L60" s="146"/>
      <c r="M60" s="198"/>
      <c r="N60" s="149"/>
      <c r="O60" s="197"/>
      <c r="P60" s="198"/>
      <c r="Q60" s="149"/>
      <c r="R60" s="197"/>
      <c r="S60" s="198"/>
      <c r="T60" s="152"/>
      <c r="U60" s="197"/>
      <c r="V60" s="198"/>
      <c r="W60" s="152"/>
      <c r="X60" s="197"/>
      <c r="Y60" s="198"/>
      <c r="Z60" s="152"/>
      <c r="AA60" s="197"/>
      <c r="AB60" s="154"/>
      <c r="AC60" s="154"/>
      <c r="AD60" s="146"/>
      <c r="AE60" s="155"/>
      <c r="AF60" s="146"/>
      <c r="AG60" s="146"/>
      <c r="AH60" s="146"/>
      <c r="AI60" s="146"/>
      <c r="AJ60" s="146"/>
      <c r="AK60" s="146"/>
      <c r="AL60" s="146"/>
      <c r="AM60" s="146"/>
      <c r="AN60" s="146"/>
      <c r="AO60" s="146"/>
      <c r="AP60" s="146"/>
      <c r="AQ60" s="146"/>
      <c r="AR60" s="146"/>
      <c r="AS60" s="146"/>
      <c r="AT60" s="146"/>
      <c r="AU60" s="412"/>
      <c r="AV60" s="146"/>
      <c r="AW60" s="412"/>
      <c r="AX60" s="146"/>
      <c r="AY60" s="412"/>
      <c r="AZ60" s="146"/>
      <c r="BA60" s="412"/>
      <c r="BB60" s="412"/>
      <c r="BC60" s="146"/>
      <c r="BD60" s="146"/>
      <c r="BE60" s="146"/>
      <c r="BF60" s="146"/>
      <c r="BG60" s="146"/>
      <c r="BH60" s="672" t="s">
        <v>431</v>
      </c>
      <c r="BI60" s="673" t="s">
        <v>432</v>
      </c>
      <c r="BJ60" s="673" t="s">
        <v>428</v>
      </c>
      <c r="BK60" s="629"/>
      <c r="BL60" s="146"/>
      <c r="BM60" s="146"/>
      <c r="BN60" s="146"/>
      <c r="BO60" s="146"/>
    </row>
    <row r="61" spans="1:67" s="103" customFormat="1">
      <c r="A61" s="428"/>
      <c r="C61" s="428"/>
      <c r="D61" s="694"/>
      <c r="E61" s="694"/>
      <c r="F61" s="146"/>
      <c r="G61" s="147"/>
      <c r="H61" s="148"/>
      <c r="I61" s="148"/>
      <c r="J61" s="154"/>
      <c r="K61" s="154"/>
      <c r="L61" s="146"/>
      <c r="M61" s="198"/>
      <c r="N61" s="149"/>
      <c r="O61" s="197"/>
      <c r="P61" s="198"/>
      <c r="Q61" s="149"/>
      <c r="R61" s="197"/>
      <c r="S61" s="198"/>
      <c r="T61" s="152"/>
      <c r="U61" s="197"/>
      <c r="V61" s="198"/>
      <c r="W61" s="152"/>
      <c r="X61" s="197"/>
      <c r="Y61" s="198"/>
      <c r="Z61" s="152"/>
      <c r="AA61" s="197"/>
      <c r="AB61" s="154"/>
      <c r="AC61" s="154"/>
      <c r="AD61" s="146"/>
      <c r="AE61" s="155"/>
      <c r="AF61" s="146"/>
      <c r="AG61" s="146"/>
      <c r="AH61" s="146"/>
      <c r="AI61" s="146"/>
      <c r="AJ61" s="146"/>
      <c r="AK61" s="146"/>
      <c r="AL61" s="146"/>
      <c r="AM61" s="146"/>
      <c r="AN61" s="146"/>
      <c r="AO61" s="146"/>
      <c r="AP61" s="146"/>
      <c r="AQ61" s="146"/>
      <c r="AR61" s="146"/>
      <c r="AS61" s="146"/>
      <c r="AT61" s="146"/>
      <c r="AU61" s="412"/>
      <c r="AV61" s="146"/>
      <c r="AW61" s="412"/>
      <c r="AX61" s="146"/>
      <c r="AY61" s="412"/>
      <c r="AZ61" s="146"/>
      <c r="BA61" s="412"/>
      <c r="BB61" s="412"/>
      <c r="BC61" s="146"/>
      <c r="BD61" s="146"/>
      <c r="BE61" s="146"/>
      <c r="BF61" s="146"/>
      <c r="BG61" s="146"/>
      <c r="BH61" s="629"/>
      <c r="BI61" s="629"/>
      <c r="BJ61" s="629"/>
      <c r="BK61" s="629"/>
      <c r="BL61" s="146"/>
      <c r="BM61" s="146"/>
      <c r="BN61" s="146"/>
      <c r="BO61" s="146"/>
    </row>
    <row r="62" spans="1:67" s="103" customFormat="1">
      <c r="A62" s="428"/>
      <c r="C62" s="428"/>
      <c r="D62" s="694"/>
      <c r="E62" s="694"/>
      <c r="F62" s="146"/>
      <c r="G62" s="147"/>
      <c r="H62" s="148"/>
      <c r="I62" s="148"/>
      <c r="J62" s="154"/>
      <c r="K62" s="154"/>
      <c r="L62" s="146"/>
      <c r="M62" s="198"/>
      <c r="N62" s="149"/>
      <c r="O62" s="197"/>
      <c r="P62" s="198"/>
      <c r="Q62" s="149"/>
      <c r="R62" s="197"/>
      <c r="S62" s="198"/>
      <c r="T62" s="152"/>
      <c r="U62" s="197"/>
      <c r="V62" s="198"/>
      <c r="W62" s="152"/>
      <c r="X62" s="197"/>
      <c r="Y62" s="198"/>
      <c r="Z62" s="152"/>
      <c r="AA62" s="197"/>
      <c r="AB62" s="154"/>
      <c r="AC62" s="154"/>
      <c r="AD62" s="146"/>
      <c r="AE62" s="155"/>
      <c r="AF62" s="146"/>
      <c r="AG62" s="146"/>
      <c r="AH62" s="146"/>
      <c r="AI62" s="146"/>
      <c r="AJ62" s="146"/>
      <c r="AK62" s="146"/>
      <c r="AL62" s="146"/>
      <c r="AM62" s="146"/>
      <c r="AN62" s="146"/>
      <c r="AO62" s="146"/>
      <c r="AP62" s="146"/>
      <c r="AQ62" s="146"/>
      <c r="AR62" s="146"/>
      <c r="AS62" s="146"/>
      <c r="AT62" s="146"/>
      <c r="AU62" s="412"/>
      <c r="AV62" s="146"/>
      <c r="AW62" s="412"/>
      <c r="AX62" s="146"/>
      <c r="AY62" s="412"/>
      <c r="AZ62" s="146"/>
      <c r="BA62" s="412"/>
      <c r="BB62" s="412"/>
      <c r="BC62" s="146"/>
      <c r="BD62" s="146"/>
      <c r="BE62" s="146"/>
      <c r="BF62" s="146"/>
      <c r="BG62" s="629"/>
      <c r="BH62" s="629"/>
      <c r="BI62" s="629"/>
      <c r="BJ62" s="629"/>
      <c r="BK62" s="629"/>
      <c r="BL62" s="146"/>
      <c r="BM62" s="146"/>
      <c r="BN62" s="146"/>
      <c r="BO62" s="146"/>
    </row>
    <row r="63" spans="1:67" s="103" customFormat="1">
      <c r="A63" s="428"/>
      <c r="C63" s="428"/>
      <c r="D63" s="694"/>
      <c r="E63" s="694"/>
      <c r="F63" s="146"/>
      <c r="G63" s="147"/>
      <c r="H63" s="148"/>
      <c r="I63" s="148"/>
      <c r="J63" s="154"/>
      <c r="K63" s="154"/>
      <c r="L63" s="146"/>
      <c r="M63" s="198"/>
      <c r="N63" s="149"/>
      <c r="O63" s="197"/>
      <c r="P63" s="198"/>
      <c r="Q63" s="149"/>
      <c r="R63" s="197"/>
      <c r="S63" s="198"/>
      <c r="T63" s="152"/>
      <c r="U63" s="197"/>
      <c r="V63" s="198"/>
      <c r="W63" s="152"/>
      <c r="X63" s="197"/>
      <c r="Y63" s="198"/>
      <c r="Z63" s="152"/>
      <c r="AA63" s="197"/>
      <c r="AB63" s="154"/>
      <c r="AC63" s="154"/>
      <c r="AD63" s="146"/>
      <c r="AE63" s="155"/>
      <c r="AF63" s="146"/>
      <c r="AG63" s="146"/>
      <c r="AH63" s="146"/>
      <c r="AI63" s="146"/>
      <c r="AJ63" s="146"/>
      <c r="AK63" s="146"/>
      <c r="AL63" s="146"/>
      <c r="AM63" s="146"/>
      <c r="AN63" s="146"/>
      <c r="AO63" s="146"/>
      <c r="AP63" s="146"/>
      <c r="AQ63" s="146"/>
      <c r="AR63" s="146"/>
      <c r="AS63" s="146"/>
      <c r="AT63" s="146"/>
      <c r="AU63" s="412"/>
      <c r="AV63" s="146"/>
      <c r="AW63" s="412"/>
      <c r="AX63" s="146"/>
      <c r="AY63" s="412"/>
      <c r="AZ63" s="146"/>
      <c r="BA63" s="412"/>
      <c r="BB63" s="412"/>
      <c r="BC63" s="146"/>
      <c r="BD63" s="146"/>
      <c r="BE63" s="146"/>
      <c r="BF63" s="146"/>
      <c r="BG63" s="629"/>
      <c r="BH63" s="629"/>
      <c r="BI63" s="629"/>
      <c r="BJ63" s="629"/>
      <c r="BK63" s="629"/>
      <c r="BL63" s="146"/>
      <c r="BM63" s="146"/>
      <c r="BN63" s="146"/>
      <c r="BO63" s="146"/>
    </row>
    <row r="64" spans="1:67" s="103" customFormat="1">
      <c r="A64" s="428"/>
      <c r="C64" s="428"/>
      <c r="D64" s="694"/>
      <c r="E64" s="694"/>
      <c r="F64" s="146"/>
      <c r="G64" s="147"/>
      <c r="H64" s="148"/>
      <c r="I64" s="148"/>
      <c r="J64" s="154"/>
      <c r="K64" s="154"/>
      <c r="L64" s="146"/>
      <c r="M64" s="198"/>
      <c r="N64" s="149"/>
      <c r="O64" s="197"/>
      <c r="P64" s="198"/>
      <c r="Q64" s="149"/>
      <c r="R64" s="197"/>
      <c r="S64" s="198"/>
      <c r="T64" s="152"/>
      <c r="U64" s="197"/>
      <c r="V64" s="198"/>
      <c r="W64" s="152"/>
      <c r="X64" s="197"/>
      <c r="Y64" s="198"/>
      <c r="Z64" s="152"/>
      <c r="AA64" s="197"/>
      <c r="AB64" s="154"/>
      <c r="AC64" s="154"/>
      <c r="AD64" s="146"/>
      <c r="AE64" s="155"/>
      <c r="AF64" s="146"/>
      <c r="AG64" s="146"/>
      <c r="AH64" s="146"/>
      <c r="AI64" s="146"/>
      <c r="AJ64" s="146"/>
      <c r="AK64" s="146"/>
      <c r="AL64" s="146"/>
      <c r="AM64" s="146"/>
      <c r="AN64" s="146"/>
      <c r="AO64" s="146"/>
      <c r="AP64" s="146"/>
      <c r="AQ64" s="146"/>
      <c r="AR64" s="146"/>
      <c r="AS64" s="146"/>
      <c r="AT64" s="146"/>
      <c r="AU64" s="412"/>
      <c r="AV64" s="146"/>
      <c r="AW64" s="412"/>
      <c r="AX64" s="146"/>
      <c r="AY64" s="412"/>
      <c r="AZ64" s="146"/>
      <c r="BA64" s="412"/>
      <c r="BB64" s="412"/>
      <c r="BC64" s="146"/>
      <c r="BD64" s="146"/>
      <c r="BE64" s="146"/>
      <c r="BF64" s="146"/>
      <c r="BG64" s="629"/>
      <c r="BH64" s="629"/>
      <c r="BI64" s="629"/>
      <c r="BJ64" s="629"/>
      <c r="BK64" s="629"/>
      <c r="BL64" s="146"/>
      <c r="BM64" s="146"/>
      <c r="BN64" s="146"/>
      <c r="BO64" s="146"/>
    </row>
    <row r="65" spans="1:67" s="103" customFormat="1" ht="12" customHeight="1">
      <c r="A65" s="428"/>
      <c r="C65" s="428"/>
      <c r="D65" s="694"/>
      <c r="E65" s="694"/>
      <c r="F65" s="146"/>
      <c r="G65" s="147"/>
      <c r="H65" s="148"/>
      <c r="I65" s="148"/>
      <c r="J65" s="154"/>
      <c r="K65" s="154"/>
      <c r="L65" s="146"/>
      <c r="M65" s="198"/>
      <c r="N65" s="149"/>
      <c r="O65" s="197"/>
      <c r="P65" s="198"/>
      <c r="Q65" s="149"/>
      <c r="R65" s="197"/>
      <c r="S65" s="198"/>
      <c r="T65" s="152"/>
      <c r="U65" s="197"/>
      <c r="V65" s="198"/>
      <c r="W65" s="152"/>
      <c r="X65" s="197"/>
      <c r="Y65" s="198"/>
      <c r="Z65" s="152"/>
      <c r="AA65" s="197"/>
      <c r="AB65" s="154"/>
      <c r="AC65" s="154"/>
      <c r="AD65" s="146"/>
      <c r="AE65" s="155"/>
      <c r="AF65" s="146"/>
      <c r="AG65" s="146"/>
      <c r="AH65" s="146"/>
      <c r="AI65" s="146"/>
      <c r="AJ65" s="146"/>
      <c r="AK65" s="146"/>
      <c r="AL65" s="146"/>
      <c r="AM65" s="146"/>
      <c r="AN65" s="146"/>
      <c r="AO65" s="146"/>
      <c r="AP65" s="146"/>
      <c r="AQ65" s="146"/>
      <c r="AR65" s="146"/>
      <c r="AS65" s="146"/>
      <c r="AT65" s="146"/>
      <c r="AU65" s="412"/>
      <c r="AV65" s="146"/>
      <c r="AW65" s="412"/>
      <c r="AX65" s="146"/>
      <c r="AY65" s="412"/>
      <c r="AZ65" s="146"/>
      <c r="BA65" s="412"/>
      <c r="BB65" s="412"/>
      <c r="BC65" s="146"/>
      <c r="BD65" s="146"/>
      <c r="BE65" s="146"/>
      <c r="BF65" s="629"/>
      <c r="BG65" s="629"/>
      <c r="BH65" s="629"/>
      <c r="BI65" s="629"/>
      <c r="BJ65" s="629"/>
      <c r="BK65" s="629"/>
      <c r="BL65" s="146"/>
      <c r="BM65" s="146"/>
      <c r="BN65" s="146"/>
      <c r="BO65" s="146"/>
    </row>
    <row r="66" spans="1:67" s="103" customFormat="1" ht="1.5" hidden="1" customHeight="1">
      <c r="A66" s="428"/>
      <c r="C66" s="428"/>
      <c r="G66" s="352"/>
      <c r="H66" s="353"/>
      <c r="I66" s="353"/>
      <c r="J66" s="354"/>
      <c r="K66" s="354"/>
      <c r="M66" s="11"/>
      <c r="N66" s="355"/>
      <c r="O66" s="129"/>
      <c r="P66" s="11"/>
      <c r="Q66" s="355"/>
      <c r="R66" s="129"/>
      <c r="S66" s="11"/>
      <c r="T66" s="357"/>
      <c r="U66" s="129"/>
      <c r="V66" s="11" t="s">
        <v>210</v>
      </c>
      <c r="W66" s="357"/>
      <c r="X66" s="129"/>
      <c r="Y66" s="11"/>
      <c r="Z66" s="357"/>
      <c r="AA66" s="129"/>
      <c r="AB66" s="549">
        <f>COUNTIF($AB$7:$AB$56,"男子A")</f>
        <v>0</v>
      </c>
      <c r="AC66" s="549">
        <f>COUNTIF($AB$7:$AB$56,"男子A")</f>
        <v>0</v>
      </c>
      <c r="AD66" s="549">
        <f>COUNTIF($AB$7:$AB$56,"男子A")</f>
        <v>0</v>
      </c>
      <c r="AE66" s="549">
        <f>COUNTIF($AB$7:$AB$56,"男子A")</f>
        <v>0</v>
      </c>
      <c r="AF66" s="549">
        <f>COUNTIF($AB$7:$AB$56,"男子A")</f>
        <v>0</v>
      </c>
      <c r="AG66" s="549">
        <f>COUNTIF($AG$7:$AG$56,"男子A")</f>
        <v>0</v>
      </c>
      <c r="AU66" s="413"/>
      <c r="AW66" s="413"/>
      <c r="AY66" s="413"/>
      <c r="BA66" s="413"/>
      <c r="BB66" s="413"/>
      <c r="BF66" s="146"/>
      <c r="BG66" s="629"/>
      <c r="BH66" s="4"/>
      <c r="BI66" s="4"/>
      <c r="BJ66" s="4"/>
    </row>
    <row r="67" spans="1:67" s="103" customFormat="1" hidden="1">
      <c r="A67" s="428"/>
      <c r="C67" s="428"/>
      <c r="G67" s="352"/>
      <c r="H67" s="353"/>
      <c r="I67" s="353"/>
      <c r="J67" s="354"/>
      <c r="K67" s="354"/>
      <c r="M67" s="11"/>
      <c r="N67" s="355"/>
      <c r="O67" s="129"/>
      <c r="P67" s="11"/>
      <c r="Q67" s="355"/>
      <c r="R67" s="129"/>
      <c r="S67" s="11"/>
      <c r="T67" s="357"/>
      <c r="U67" s="129"/>
      <c r="V67" s="11" t="s">
        <v>211</v>
      </c>
      <c r="W67" s="357"/>
      <c r="X67" s="129"/>
      <c r="Y67" s="11"/>
      <c r="Z67" s="357"/>
      <c r="AA67" s="129"/>
      <c r="AB67" s="549">
        <f>COUNTIF($AB$7:$AB$56,"男子B")</f>
        <v>0</v>
      </c>
      <c r="AC67" s="549">
        <f>COUNTIF($AB$7:$AB$56,"男子B")</f>
        <v>0</v>
      </c>
      <c r="AD67" s="549">
        <f>COUNTIF($AB$7:$AB$56,"男子B")</f>
        <v>0</v>
      </c>
      <c r="AE67" s="549">
        <f>COUNTIF($AB$7:$AB$56,"男子B")</f>
        <v>0</v>
      </c>
      <c r="AF67" s="549">
        <f>COUNTIF($AB$7:$AB$56,"男子B")</f>
        <v>0</v>
      </c>
      <c r="AG67" s="549">
        <f>COUNTIF($AG$7:$AG$56,"男子B")</f>
        <v>0</v>
      </c>
      <c r="AU67" s="413"/>
      <c r="AW67" s="413"/>
      <c r="AY67" s="413"/>
      <c r="BA67" s="413"/>
      <c r="BB67" s="413"/>
      <c r="BF67" s="146"/>
      <c r="BG67" s="629"/>
      <c r="BH67" s="4"/>
      <c r="BI67" s="4"/>
      <c r="BJ67" s="4"/>
    </row>
    <row r="68" spans="1:67" s="103" customFormat="1" hidden="1">
      <c r="A68" s="428"/>
      <c r="C68" s="428"/>
      <c r="G68" s="352"/>
      <c r="H68" s="353"/>
      <c r="I68" s="353"/>
      <c r="J68" s="354"/>
      <c r="K68" s="354"/>
      <c r="M68" s="11"/>
      <c r="N68" s="355"/>
      <c r="O68" s="129"/>
      <c r="P68" s="11"/>
      <c r="Q68" s="355"/>
      <c r="R68" s="129"/>
      <c r="S68" s="11"/>
      <c r="T68" s="357"/>
      <c r="U68" s="129"/>
      <c r="V68" s="11" t="s">
        <v>212</v>
      </c>
      <c r="W68" s="357"/>
      <c r="X68" s="129"/>
      <c r="Y68" s="11"/>
      <c r="Z68" s="357"/>
      <c r="AA68" s="129"/>
      <c r="AB68" s="549">
        <f>COUNTIF($AB$7:$AB$56,"男子C")</f>
        <v>0</v>
      </c>
      <c r="AC68" s="549">
        <f>COUNTIF($AB$7:$AB$56,"男子C")</f>
        <v>0</v>
      </c>
      <c r="AD68" s="549">
        <f>COUNTIF($AB$7:$AB$56,"男子C")</f>
        <v>0</v>
      </c>
      <c r="AE68" s="549">
        <f>COUNTIF($AB$7:$AB$56,"男子C")</f>
        <v>0</v>
      </c>
      <c r="AF68" s="549">
        <f>COUNTIF($AB$7:$AB$56,"男子C")</f>
        <v>0</v>
      </c>
      <c r="AG68" s="549">
        <f>COUNTIF($AG$7:$AG$56,"男子C")</f>
        <v>0</v>
      </c>
      <c r="AU68" s="413"/>
      <c r="AW68" s="413"/>
      <c r="AY68" s="413"/>
      <c r="BA68" s="413"/>
      <c r="BB68" s="413"/>
      <c r="BH68" s="4"/>
      <c r="BI68" s="4"/>
      <c r="BJ68" s="4"/>
    </row>
    <row r="69" spans="1:67" s="103" customFormat="1" hidden="1">
      <c r="A69" s="428"/>
      <c r="C69" s="428"/>
      <c r="G69" s="352"/>
      <c r="H69" s="353"/>
      <c r="I69" s="353"/>
      <c r="J69" s="354"/>
      <c r="K69" s="354"/>
      <c r="M69" s="11"/>
      <c r="N69" s="355"/>
      <c r="O69" s="129"/>
      <c r="P69" s="11"/>
      <c r="Q69" s="355"/>
      <c r="R69" s="129"/>
      <c r="S69" s="11"/>
      <c r="T69" s="357"/>
      <c r="U69" s="129"/>
      <c r="V69" s="11" t="s">
        <v>341</v>
      </c>
      <c r="W69" s="357"/>
      <c r="X69" s="129"/>
      <c r="Y69" s="11"/>
      <c r="Z69" s="357"/>
      <c r="AA69" s="129"/>
      <c r="AB69" s="549">
        <f>COUNTIF($AB$7:$AB$56,"男子D")</f>
        <v>0</v>
      </c>
      <c r="AC69" s="549">
        <f>COUNTIF($AB$7:$AB$56,"男子D")</f>
        <v>0</v>
      </c>
      <c r="AD69" s="549">
        <f>COUNTIF($AB$7:$AB$56,"男子D")</f>
        <v>0</v>
      </c>
      <c r="AE69" s="549">
        <f>COUNTIF($AB$7:$AB$56,"男子D")</f>
        <v>0</v>
      </c>
      <c r="AF69" s="549">
        <f>COUNTIF($AB$7:$AB$56,"男子D")</f>
        <v>0</v>
      </c>
      <c r="AG69" s="549">
        <f>COUNTIF($AG$7:$AG$56,"男子D")</f>
        <v>0</v>
      </c>
      <c r="AU69" s="413"/>
      <c r="AW69" s="413"/>
      <c r="AY69" s="413"/>
      <c r="BA69" s="413"/>
      <c r="BB69" s="413"/>
      <c r="BH69" s="4"/>
      <c r="BI69" s="4"/>
      <c r="BJ69" s="4"/>
    </row>
    <row r="70" spans="1:67" s="103" customFormat="1" hidden="1">
      <c r="A70" s="428"/>
      <c r="C70" s="428"/>
      <c r="G70" s="352"/>
      <c r="H70" s="353"/>
      <c r="I70" s="353"/>
      <c r="J70" s="354"/>
      <c r="K70" s="354"/>
      <c r="M70" s="11"/>
      <c r="N70" s="355"/>
      <c r="O70" s="129"/>
      <c r="P70" s="11"/>
      <c r="Q70" s="355"/>
      <c r="R70" s="129"/>
      <c r="S70" s="11"/>
      <c r="T70" s="357"/>
      <c r="U70" s="129"/>
      <c r="V70" s="11" t="s">
        <v>213</v>
      </c>
      <c r="W70" s="357"/>
      <c r="X70" s="129"/>
      <c r="Y70" s="11"/>
      <c r="Z70" s="357"/>
      <c r="AA70" s="129"/>
      <c r="AB70" s="549">
        <f>COUNTIF($AB$7:$AB$56,"女子A")</f>
        <v>0</v>
      </c>
      <c r="AC70" s="549"/>
      <c r="AD70" s="550"/>
      <c r="AE70" s="551"/>
      <c r="AF70" s="550"/>
      <c r="AG70" s="549">
        <f>COUNTIF($AG$7:$AG$56,"女子A")</f>
        <v>0</v>
      </c>
      <c r="AU70" s="413"/>
      <c r="AW70" s="413"/>
      <c r="AY70" s="413"/>
      <c r="BA70" s="413"/>
      <c r="BB70" s="413"/>
      <c r="BH70" s="4"/>
      <c r="BI70" s="4"/>
      <c r="BJ70" s="4"/>
    </row>
    <row r="71" spans="1:67" hidden="1">
      <c r="V71" s="11" t="s">
        <v>214</v>
      </c>
      <c r="AB71" s="549">
        <f>COUNTIF($AB$7:$AB$56,"女子B")</f>
        <v>0</v>
      </c>
      <c r="AC71" s="552"/>
      <c r="AD71" s="553"/>
      <c r="AE71" s="554"/>
      <c r="AF71" s="553"/>
      <c r="AG71" s="549">
        <f>COUNTIF($AG$7:$AG$56,"女子B")</f>
        <v>0</v>
      </c>
      <c r="BF71" s="103"/>
      <c r="BG71" s="103"/>
    </row>
    <row r="72" spans="1:67" hidden="1">
      <c r="V72" s="11" t="s">
        <v>215</v>
      </c>
      <c r="AB72" s="549">
        <f>COUNTIF($AB$7:$AB$56,"女子C")</f>
        <v>0</v>
      </c>
      <c r="AC72" s="552"/>
      <c r="AD72" s="553"/>
      <c r="AE72" s="554"/>
      <c r="AF72" s="553"/>
      <c r="AG72" s="549">
        <f>COUNTIF($AG$7:$AG$56,"女子C")</f>
        <v>0</v>
      </c>
      <c r="BF72" s="103"/>
      <c r="BG72" s="103"/>
    </row>
    <row r="73" spans="1:67" hidden="1">
      <c r="V73" s="11" t="s">
        <v>342</v>
      </c>
      <c r="AB73" s="549">
        <f>COUNTIF($AB$7:$AB$56,"女子D")</f>
        <v>0</v>
      </c>
      <c r="AC73" s="552"/>
      <c r="AD73" s="553"/>
      <c r="AE73" s="554"/>
      <c r="AF73" s="553"/>
      <c r="AG73" s="549">
        <f>COUNTIF($AG$7:$AG$56,"女子D")</f>
        <v>0</v>
      </c>
    </row>
    <row r="74" spans="1:67" hidden="1"/>
  </sheetData>
  <sheetProtection password="83D4" sheet="1" objects="1" scenarios="1"/>
  <mergeCells count="3">
    <mergeCell ref="T1:V1"/>
    <mergeCell ref="BF6:BG6"/>
    <mergeCell ref="O4:Q4"/>
  </mergeCells>
  <phoneticPr fontId="5"/>
  <conditionalFormatting sqref="N7:N56">
    <cfRule type="expression" dxfId="169" priority="241" stopIfTrue="1">
      <formula>I7=2</formula>
    </cfRule>
  </conditionalFormatting>
  <conditionalFormatting sqref="F7:F56">
    <cfRule type="expression" dxfId="168" priority="242" stopIfTrue="1">
      <formula>I7=2</formula>
    </cfRule>
  </conditionalFormatting>
  <conditionalFormatting sqref="J7:J56">
    <cfRule type="expression" dxfId="167" priority="243" stopIfTrue="1">
      <formula>I7=2</formula>
    </cfRule>
  </conditionalFormatting>
  <conditionalFormatting sqref="E7:E56">
    <cfRule type="expression" dxfId="166" priority="244" stopIfTrue="1">
      <formula>I7=2</formula>
    </cfRule>
  </conditionalFormatting>
  <conditionalFormatting sqref="G7:G56">
    <cfRule type="expression" dxfId="165" priority="245" stopIfTrue="1">
      <formula>I7=2</formula>
    </cfRule>
  </conditionalFormatting>
  <conditionalFormatting sqref="I7:I56">
    <cfRule type="cellIs" dxfId="164" priority="259" stopIfTrue="1" operator="equal">
      <formula>2</formula>
    </cfRule>
  </conditionalFormatting>
  <conditionalFormatting sqref="O7:O56">
    <cfRule type="expression" dxfId="163" priority="373" stopIfTrue="1">
      <formula>ISNA(P7)</formula>
    </cfRule>
    <cfRule type="expression" dxfId="162" priority="374" stopIfTrue="1">
      <formula>I7=""</formula>
    </cfRule>
  </conditionalFormatting>
  <conditionalFormatting sqref="T7:T56">
    <cfRule type="expression" dxfId="161" priority="721" stopIfTrue="1">
      <formula>ISNA(U7)</formula>
    </cfRule>
    <cfRule type="expression" dxfId="160" priority="722" stopIfTrue="1">
      <formula>I7=""</formula>
    </cfRule>
  </conditionalFormatting>
  <conditionalFormatting sqref="Q7:Q56">
    <cfRule type="expression" dxfId="159" priority="239" stopIfTrue="1">
      <formula>I7=""</formula>
    </cfRule>
  </conditionalFormatting>
  <conditionalFormatting sqref="V7:V56">
    <cfRule type="expression" dxfId="158" priority="238" stopIfTrue="1">
      <formula>I7=""</formula>
    </cfRule>
  </conditionalFormatting>
  <conditionalFormatting sqref="AB7:AB56">
    <cfRule type="expression" dxfId="157" priority="757" stopIfTrue="1">
      <formula>I7=""</formula>
    </cfRule>
  </conditionalFormatting>
  <conditionalFormatting sqref="AD7:AD56">
    <cfRule type="expression" dxfId="156" priority="761" stopIfTrue="1">
      <formula>ISNA(AG7)</formula>
    </cfRule>
    <cfRule type="expression" dxfId="155" priority="762" stopIfTrue="1">
      <formula>COUNTIF(#REF!,7)</formula>
    </cfRule>
  </conditionalFormatting>
  <conditionalFormatting sqref="AG7:AG56">
    <cfRule type="expression" dxfId="154" priority="763" stopIfTrue="1">
      <formula>ISNA(AH7)</formula>
    </cfRule>
    <cfRule type="expression" dxfId="153" priority="765" stopIfTrue="1">
      <formula>I7=""</formula>
    </cfRule>
  </conditionalFormatting>
  <conditionalFormatting sqref="Q7 V7">
    <cfRule type="expression" dxfId="152" priority="237" stopIfTrue="1">
      <formula>$I$7=""</formula>
    </cfRule>
  </conditionalFormatting>
  <conditionalFormatting sqref="Q8 V8">
    <cfRule type="expression" dxfId="151" priority="236" stopIfTrue="1">
      <formula>$I$8=""</formula>
    </cfRule>
  </conditionalFormatting>
  <conditionalFormatting sqref="Q9 V9">
    <cfRule type="expression" dxfId="150" priority="235" stopIfTrue="1">
      <formula>$I$9=""</formula>
    </cfRule>
  </conditionalFormatting>
  <conditionalFormatting sqref="Q10 V10">
    <cfRule type="expression" dxfId="149" priority="234" stopIfTrue="1">
      <formula>$I$10=""</formula>
    </cfRule>
  </conditionalFormatting>
  <conditionalFormatting sqref="Q11 V11">
    <cfRule type="expression" dxfId="148" priority="233" stopIfTrue="1">
      <formula>$I$11=""</formula>
    </cfRule>
  </conditionalFormatting>
  <conditionalFormatting sqref="Q12 V12">
    <cfRule type="expression" dxfId="147" priority="232" stopIfTrue="1">
      <formula>$I$12=""</formula>
    </cfRule>
  </conditionalFormatting>
  <conditionalFormatting sqref="Q13 V13">
    <cfRule type="expression" dxfId="146" priority="231" stopIfTrue="1">
      <formula>$I$13=""</formula>
    </cfRule>
  </conditionalFormatting>
  <conditionalFormatting sqref="Q14 V14">
    <cfRule type="expression" dxfId="145" priority="230" stopIfTrue="1">
      <formula>$I$14=""</formula>
    </cfRule>
  </conditionalFormatting>
  <conditionalFormatting sqref="Q15 V15">
    <cfRule type="expression" dxfId="144" priority="229" stopIfTrue="1">
      <formula>$I$15=""</formula>
    </cfRule>
  </conditionalFormatting>
  <conditionalFormatting sqref="Q16 V16">
    <cfRule type="expression" dxfId="143" priority="228" stopIfTrue="1">
      <formula>$I$16=""</formula>
    </cfRule>
  </conditionalFormatting>
  <conditionalFormatting sqref="Q17 V17">
    <cfRule type="expression" dxfId="142" priority="227" stopIfTrue="1">
      <formula>$I$17=""</formula>
    </cfRule>
  </conditionalFormatting>
  <conditionalFormatting sqref="Q18 V18">
    <cfRule type="expression" dxfId="141" priority="226" stopIfTrue="1">
      <formula>$I$18=""</formula>
    </cfRule>
  </conditionalFormatting>
  <conditionalFormatting sqref="Q19 V19">
    <cfRule type="expression" dxfId="140" priority="225" stopIfTrue="1">
      <formula>$I$19=""</formula>
    </cfRule>
  </conditionalFormatting>
  <conditionalFormatting sqref="Q20 V20">
    <cfRule type="expression" dxfId="139" priority="224" stopIfTrue="1">
      <formula>$I$20=""</formula>
    </cfRule>
  </conditionalFormatting>
  <conditionalFormatting sqref="Q21 V21">
    <cfRule type="expression" dxfId="138" priority="223" stopIfTrue="1">
      <formula>$I$21=""</formula>
    </cfRule>
  </conditionalFormatting>
  <conditionalFormatting sqref="Q22 V22">
    <cfRule type="expression" dxfId="137" priority="222" stopIfTrue="1">
      <formula>$I$22=""</formula>
    </cfRule>
  </conditionalFormatting>
  <conditionalFormatting sqref="Q23 V23">
    <cfRule type="expression" dxfId="136" priority="221" stopIfTrue="1">
      <formula>$I$23=""</formula>
    </cfRule>
  </conditionalFormatting>
  <conditionalFormatting sqref="Q24 V24">
    <cfRule type="expression" dxfId="135" priority="220" stopIfTrue="1">
      <formula>$I$24=""</formula>
    </cfRule>
  </conditionalFormatting>
  <conditionalFormatting sqref="Q25 V25">
    <cfRule type="expression" dxfId="134" priority="219" stopIfTrue="1">
      <formula>$I$25=""</formula>
    </cfRule>
  </conditionalFormatting>
  <conditionalFormatting sqref="Q26 V26">
    <cfRule type="expression" dxfId="133" priority="218" stopIfTrue="1">
      <formula>$I$26=""</formula>
    </cfRule>
  </conditionalFormatting>
  <conditionalFormatting sqref="Q27 V27">
    <cfRule type="expression" dxfId="132" priority="217" stopIfTrue="1">
      <formula>$I$27=""</formula>
    </cfRule>
  </conditionalFormatting>
  <conditionalFormatting sqref="Q28 V28">
    <cfRule type="expression" dxfId="131" priority="216" stopIfTrue="1">
      <formula>$I$28=""</formula>
    </cfRule>
  </conditionalFormatting>
  <conditionalFormatting sqref="Q29 V29">
    <cfRule type="expression" dxfId="130" priority="215" stopIfTrue="1">
      <formula>$I$29=""</formula>
    </cfRule>
  </conditionalFormatting>
  <conditionalFormatting sqref="Q30 V30">
    <cfRule type="expression" dxfId="129" priority="214" stopIfTrue="1">
      <formula>$I$30=""</formula>
    </cfRule>
  </conditionalFormatting>
  <conditionalFormatting sqref="Q31 V31">
    <cfRule type="expression" dxfId="128" priority="213" stopIfTrue="1">
      <formula>$I$31=""</formula>
    </cfRule>
  </conditionalFormatting>
  <conditionalFormatting sqref="Q32 V32">
    <cfRule type="expression" dxfId="127" priority="212" stopIfTrue="1">
      <formula>$I$32=""</formula>
    </cfRule>
  </conditionalFormatting>
  <conditionalFormatting sqref="Q33 V33">
    <cfRule type="expression" dxfId="126" priority="211" stopIfTrue="1">
      <formula>$I$33=""</formula>
    </cfRule>
  </conditionalFormatting>
  <conditionalFormatting sqref="Q34 V34">
    <cfRule type="expression" dxfId="125" priority="210" stopIfTrue="1">
      <formula>$I$34=""</formula>
    </cfRule>
  </conditionalFormatting>
  <conditionalFormatting sqref="Q35 V35">
    <cfRule type="expression" dxfId="124" priority="209" stopIfTrue="1">
      <formula>$I$35=""</formula>
    </cfRule>
  </conditionalFormatting>
  <conditionalFormatting sqref="Q47 V47">
    <cfRule type="expression" dxfId="123" priority="208" stopIfTrue="1">
      <formula>$I$47=""</formula>
    </cfRule>
  </conditionalFormatting>
  <conditionalFormatting sqref="Q48 V48">
    <cfRule type="expression" dxfId="122" priority="207" stopIfTrue="1">
      <formula>$I$48=""</formula>
    </cfRule>
  </conditionalFormatting>
  <conditionalFormatting sqref="Q49 V49">
    <cfRule type="expression" dxfId="121" priority="206" stopIfTrue="1">
      <formula>$I$49=""</formula>
    </cfRule>
  </conditionalFormatting>
  <conditionalFormatting sqref="Q50 V50">
    <cfRule type="expression" dxfId="120" priority="205" stopIfTrue="1">
      <formula>$I$50=""</formula>
    </cfRule>
  </conditionalFormatting>
  <conditionalFormatting sqref="Q51 V51">
    <cfRule type="expression" dxfId="119" priority="204" stopIfTrue="1">
      <formula>$I$51=""</formula>
    </cfRule>
  </conditionalFormatting>
  <conditionalFormatting sqref="Q52 V52">
    <cfRule type="expression" dxfId="118" priority="203" stopIfTrue="1">
      <formula>$I$52=""</formula>
    </cfRule>
  </conditionalFormatting>
  <conditionalFormatting sqref="Q53 V53">
    <cfRule type="expression" dxfId="117" priority="202" stopIfTrue="1">
      <formula>$I$53=""</formula>
    </cfRule>
  </conditionalFormatting>
  <conditionalFormatting sqref="Q54 V54">
    <cfRule type="expression" dxfId="116" priority="201" stopIfTrue="1">
      <formula>$I$54=""</formula>
    </cfRule>
  </conditionalFormatting>
  <conditionalFormatting sqref="Q55 V55">
    <cfRule type="expression" dxfId="115" priority="200" stopIfTrue="1">
      <formula>$I$55=""</formula>
    </cfRule>
  </conditionalFormatting>
  <conditionalFormatting sqref="Q56 V56">
    <cfRule type="expression" dxfId="114" priority="199" stopIfTrue="1">
      <formula>$I$56=""</formula>
    </cfRule>
  </conditionalFormatting>
  <conditionalFormatting sqref="Q36 V36">
    <cfRule type="expression" dxfId="113" priority="138" stopIfTrue="1">
      <formula>$I$36=""</formula>
    </cfRule>
  </conditionalFormatting>
  <conditionalFormatting sqref="Q37 V37">
    <cfRule type="expression" dxfId="112" priority="137" stopIfTrue="1">
      <formula>$I$37=""</formula>
    </cfRule>
  </conditionalFormatting>
  <conditionalFormatting sqref="Q38 V38">
    <cfRule type="expression" dxfId="111" priority="136" stopIfTrue="1">
      <formula>$I$38=""</formula>
    </cfRule>
  </conditionalFormatting>
  <conditionalFormatting sqref="Q39 V39">
    <cfRule type="expression" dxfId="110" priority="135" stopIfTrue="1">
      <formula>$I$39=""</formula>
    </cfRule>
  </conditionalFormatting>
  <conditionalFormatting sqref="Q40 V40">
    <cfRule type="expression" dxfId="109" priority="134" stopIfTrue="1">
      <formula>$I$40=""</formula>
    </cfRule>
  </conditionalFormatting>
  <conditionalFormatting sqref="Q41 V41">
    <cfRule type="expression" dxfId="108" priority="133" stopIfTrue="1">
      <formula>$I$41=""</formula>
    </cfRule>
  </conditionalFormatting>
  <conditionalFormatting sqref="Q42 V42">
    <cfRule type="expression" dxfId="107" priority="132" stopIfTrue="1">
      <formula>$I$42=""</formula>
    </cfRule>
  </conditionalFormatting>
  <conditionalFormatting sqref="Q43 V43">
    <cfRule type="expression" dxfId="106" priority="131" stopIfTrue="1">
      <formula>$I$43=""</formula>
    </cfRule>
  </conditionalFormatting>
  <conditionalFormatting sqref="Q44 V44">
    <cfRule type="expression" dxfId="105" priority="130" stopIfTrue="1">
      <formula>$I$44=""</formula>
    </cfRule>
  </conditionalFormatting>
  <conditionalFormatting sqref="Q45 V45">
    <cfRule type="expression" dxfId="104" priority="129" stopIfTrue="1">
      <formula>$I$45=""</formula>
    </cfRule>
  </conditionalFormatting>
  <conditionalFormatting sqref="Q46 V46">
    <cfRule type="expression" dxfId="103" priority="128" stopIfTrue="1">
      <formula>$I$46=""</formula>
    </cfRule>
  </conditionalFormatting>
  <conditionalFormatting sqref="BH8:BI13">
    <cfRule type="expression" dxfId="102" priority="16" stopIfTrue="1">
      <formula>$AB$66&gt;6</formula>
    </cfRule>
  </conditionalFormatting>
  <conditionalFormatting sqref="BH16:BI21">
    <cfRule type="expression" dxfId="101" priority="15" stopIfTrue="1">
      <formula>$AB$67&gt;6</formula>
    </cfRule>
  </conditionalFormatting>
  <conditionalFormatting sqref="BH24:BI29">
    <cfRule type="expression" dxfId="100" priority="14" stopIfTrue="1">
      <formula>$AB$68&gt;6</formula>
    </cfRule>
  </conditionalFormatting>
  <conditionalFormatting sqref="BH32:BI37">
    <cfRule type="expression" dxfId="99" priority="13" stopIfTrue="1">
      <formula>$AB$69&gt;6</formula>
    </cfRule>
  </conditionalFormatting>
  <conditionalFormatting sqref="BL8:BM13">
    <cfRule type="expression" dxfId="98" priority="12" stopIfTrue="1">
      <formula>$AB$70&gt;6</formula>
    </cfRule>
  </conditionalFormatting>
  <conditionalFormatting sqref="BL16:BM21">
    <cfRule type="expression" dxfId="97" priority="11" stopIfTrue="1">
      <formula>$AB$71&gt;6</formula>
    </cfRule>
  </conditionalFormatting>
  <conditionalFormatting sqref="BL24:BM29">
    <cfRule type="expression" dxfId="96" priority="10" stopIfTrue="1">
      <formula>$AB$72&gt;6</formula>
    </cfRule>
  </conditionalFormatting>
  <conditionalFormatting sqref="BL32:BM37">
    <cfRule type="expression" dxfId="95" priority="9" stopIfTrue="1">
      <formula>$AB$73&gt;6</formula>
    </cfRule>
  </conditionalFormatting>
  <conditionalFormatting sqref="BN8:BO13">
    <cfRule type="expression" dxfId="94" priority="8" stopIfTrue="1">
      <formula>$AG$70&gt;6</formula>
    </cfRule>
  </conditionalFormatting>
  <conditionalFormatting sqref="BN16:BO21">
    <cfRule type="expression" dxfId="93" priority="7" stopIfTrue="1">
      <formula>$AG$71&gt;6</formula>
    </cfRule>
  </conditionalFormatting>
  <conditionalFormatting sqref="BN24:BO29">
    <cfRule type="expression" dxfId="92" priority="6" stopIfTrue="1">
      <formula>$AG$72&gt;6</formula>
    </cfRule>
  </conditionalFormatting>
  <conditionalFormatting sqref="BN32:BO37">
    <cfRule type="expression" dxfId="91" priority="5" stopIfTrue="1">
      <formula>$AG$73&gt;6</formula>
    </cfRule>
  </conditionalFormatting>
  <conditionalFormatting sqref="BJ8:BK13">
    <cfRule type="expression" dxfId="90" priority="4" stopIfTrue="1">
      <formula>$AG$66&gt;6</formula>
    </cfRule>
  </conditionalFormatting>
  <conditionalFormatting sqref="BJ16:BK21">
    <cfRule type="expression" dxfId="89" priority="3" stopIfTrue="1">
      <formula>$AG$67&gt;6</formula>
    </cfRule>
  </conditionalFormatting>
  <conditionalFormatting sqref="BJ24:BK29">
    <cfRule type="expression" dxfId="88" priority="2" stopIfTrue="1">
      <formula>$AG$68&gt;6</formula>
    </cfRule>
  </conditionalFormatting>
  <conditionalFormatting sqref="BJ32:BK37">
    <cfRule type="expression" dxfId="87" priority="1" stopIfTrue="1">
      <formula>$AG$69&gt;6</formula>
    </cfRule>
  </conditionalFormatting>
  <dataValidations xWindow="713" yWindow="173" count="13">
    <dataValidation type="list" allowBlank="1" showInputMessage="1" showErrorMessage="1" prompt="ここは400mRです_x000a_" sqref="AB7:AB56">
      <formula1>IF(I7=1,$BA$6:$BA$9,$BA$10:$BA$13)</formula1>
    </dataValidation>
    <dataValidation type="list" allowBlank="1" showInputMessage="1" showErrorMessage="1" prompt="ここは1600mRです" sqref="AG7:AG56">
      <formula1>IF(I7=1,$BA$6:$BA$9,$BA$10:$BA$13)</formula1>
    </dataValidation>
    <dataValidation imeMode="disabled" allowBlank="1" sqref="O57:O65536 O1"/>
    <dataValidation allowBlank="1" showInputMessage="1" showErrorMessage="1" prompt="#N/Aが表示された時は選択ミスです" sqref="P7:P56"/>
    <dataValidation imeMode="halfAlpha" allowBlank="1" showInputMessage="1" showErrorMessage="1" prompt="半角英数字入力_x000a_例_x000a_10秒50→10.50_x000a_1分55秒11→1.55.11_x000a_7m50→7m50" sqref="Y7:Y56"/>
    <dataValidation allowBlank="1" showInputMessage="1" showErrorMessage="1" prompt="#N/Aが表示された時は入力ミスです" sqref="X7:X56 U7:U56"/>
    <dataValidation type="list" allowBlank="1" showInputMessage="1" showErrorMessage="1" prompt="種目を選択して下さい" sqref="W7:W56">
      <formula1>$AO$6:$AO$26</formula1>
    </dataValidation>
    <dataValidation imeMode="disabled" allowBlank="1" showInputMessage="1" prompt="記録は半角英数字で_x000a_例_x000a_11秒11→11.11_x000a_1分50秒00→1.50.00_x000a_15m50→15m50_x000a__x000a_" sqref="Q7:Q56 V7:V56"/>
    <dataValidation allowBlank="1" sqref="Q2:Q3 T2:T3 Q6 V6"/>
    <dataValidation imeMode="halfAlpha" allowBlank="1" showInputMessage="1" showErrorMessage="1" prompt="半角英数字入力_x000a_例_x000a_41秒00→41.50_x000a_3分20秒11→3.20.11" sqref="AI7:AI56 AD7:AD56"/>
    <dataValidation allowBlank="1" showInputMessage="1" showErrorMessage="1" prompt="ここでは入力できません_x000a_選手入力で所属を選択して下さい_x000a_" sqref="F1"/>
    <dataValidation type="list" allowBlank="1" showErrorMessage="1" prompt="種目を選択して下さい" sqref="O7:O56">
      <formula1>IF(I7=1,IF(J7=1,$AY$30:$AY$54,$AY$6:$AY$28),IF(J7=1,$AZ$30:$AZ$51,$AZ$6:$AZ$26))</formula1>
    </dataValidation>
    <dataValidation type="list" allowBlank="1" showErrorMessage="1" prompt="種目を選択して下さい" sqref="T7:T56">
      <formula1>IF(I7=1,IF(J7=1,$AY$30:$AY$54,$AY$6:$AY$28),IF(J7=1,$AZ$30:$AZ$50,$AZ$6:$AZ$26))</formula1>
    </dataValidation>
  </dataValidations>
  <printOptions horizontalCentered="1"/>
  <pageMargins left="0.59055118110236227" right="0.59055118110236227" top="0.59055118110236227" bottom="0.39370078740157483" header="0.31496062992125984" footer="0.51181102362204722"/>
  <pageSetup paperSize="9" scale="64" orientation="landscape" verticalDpi="300" r:id="rId1"/>
  <headerFooter alignWithMargins="0">
    <oddHeader>&amp;R&amp;D　&amp;T</oddHeader>
    <oddFooter>&amp;L&amp;P&amp;R三重陸上競技協会</oddFooter>
  </headerFooter>
  <legacyDrawing r:id="rId2"/>
</worksheet>
</file>

<file path=xl/worksheets/sheet8.xml><?xml version="1.0" encoding="utf-8"?>
<worksheet xmlns="http://schemas.openxmlformats.org/spreadsheetml/2006/main" xmlns:r="http://schemas.openxmlformats.org/officeDocument/2006/relationships">
  <sheetPr codeName="Sheet20" enableFormatConditionsCalculation="0">
    <tabColor indexed="24"/>
    <pageSetUpPr fitToPage="1"/>
  </sheetPr>
  <dimension ref="A1:AT56"/>
  <sheetViews>
    <sheetView showGridLines="0" showZeros="0" topLeftCell="E1" workbookViewId="0">
      <selection activeCell="L11" sqref="L11"/>
    </sheetView>
  </sheetViews>
  <sheetFormatPr defaultColWidth="8.625" defaultRowHeight="13.5"/>
  <cols>
    <col min="1" max="1" width="7.25" style="31" hidden="1" customWidth="1"/>
    <col min="2" max="2" width="7.375" style="31" hidden="1" customWidth="1"/>
    <col min="3" max="3" width="5.25" style="31" hidden="1" customWidth="1"/>
    <col min="4" max="4" width="6.25" style="31" hidden="1" customWidth="1"/>
    <col min="5" max="5" width="9.5" style="31" customWidth="1"/>
    <col min="6" max="6" width="12.75" style="31" customWidth="1"/>
    <col min="7" max="7" width="15.25" style="32" customWidth="1"/>
    <col min="8" max="8" width="13.625" style="31" customWidth="1"/>
    <col min="9" max="9" width="5.125" style="31" customWidth="1"/>
    <col min="10" max="10" width="10.5" style="6" bestFit="1" customWidth="1"/>
    <col min="11" max="11" width="9.125" style="6" customWidth="1"/>
    <col min="12" max="13" width="8.125" style="31" customWidth="1"/>
    <col min="14" max="14" width="11.5" style="35" customWidth="1"/>
    <col min="15" max="15" width="16.5" style="33" customWidth="1"/>
    <col min="16" max="16" width="8.5" style="34" bestFit="1" customWidth="1"/>
    <col min="17" max="17" width="26" style="35" customWidth="1"/>
    <col min="18" max="18" width="14.875" style="33" customWidth="1"/>
    <col min="19" max="19" width="9" style="33" bestFit="1" customWidth="1"/>
    <col min="20" max="20" width="6" style="33" bestFit="1" customWidth="1"/>
    <col min="21" max="21" width="6.75" style="34" customWidth="1"/>
    <col min="22" max="22" width="7.875" style="35" customWidth="1"/>
    <col min="23" max="23" width="35.125" style="33" customWidth="1"/>
    <col min="24" max="24" width="12" style="34" customWidth="1"/>
    <col min="25" max="25" width="8.625" style="35" hidden="1" customWidth="1"/>
    <col min="26" max="26" width="5.75" style="33" hidden="1" customWidth="1"/>
    <col min="27" max="27" width="10.75" style="34" hidden="1" customWidth="1"/>
    <col min="28" max="28" width="9" style="35" hidden="1" customWidth="1"/>
    <col min="29" max="29" width="9.625" style="33" hidden="1" customWidth="1"/>
    <col min="30" max="30" width="12.625" style="34" hidden="1" customWidth="1"/>
    <col min="31" max="31" width="12.125" style="6" hidden="1" customWidth="1"/>
    <col min="32" max="32" width="11.375" style="6" hidden="1" customWidth="1"/>
    <col min="33" max="33" width="10.5" style="31" hidden="1" customWidth="1"/>
    <col min="34" max="34" width="10.75" style="31" hidden="1" customWidth="1"/>
    <col min="35" max="35" width="11.75" style="31" hidden="1" customWidth="1"/>
    <col min="36" max="36" width="16.125" style="31" hidden="1" customWidth="1"/>
    <col min="37" max="37" width="9.375" style="31" hidden="1" customWidth="1"/>
    <col min="38" max="38" width="16.125" style="31" bestFit="1" customWidth="1"/>
    <col min="39" max="41" width="8.625" style="31"/>
    <col min="42" max="45" width="8.625" style="471"/>
    <col min="46" max="16384" width="8.625" style="31"/>
  </cols>
  <sheetData>
    <row r="1" spans="1:46" ht="27.75" customHeight="1">
      <c r="B1" s="417"/>
      <c r="C1" s="419"/>
      <c r="D1" s="471"/>
      <c r="E1" s="144" t="s">
        <v>259</v>
      </c>
      <c r="F1" s="145" t="str">
        <f>IF(名簿!$P$9="","",名簿!$P$9)</f>
        <v/>
      </c>
      <c r="G1" s="190"/>
      <c r="H1" s="475"/>
      <c r="I1" s="475" t="s">
        <v>452</v>
      </c>
      <c r="J1" s="154"/>
      <c r="K1" s="154"/>
      <c r="L1" s="190"/>
      <c r="M1" s="591"/>
      <c r="N1" s="191"/>
      <c r="O1" s="192"/>
      <c r="P1" s="193"/>
      <c r="Q1" s="191"/>
      <c r="R1" s="192"/>
      <c r="S1" s="192"/>
      <c r="T1" s="192"/>
      <c r="U1" s="193"/>
      <c r="V1" s="191"/>
      <c r="W1" s="192"/>
      <c r="X1" s="193"/>
      <c r="Y1" s="191"/>
      <c r="Z1" s="192"/>
      <c r="AA1" s="193"/>
      <c r="AB1" s="191"/>
      <c r="AC1" s="192"/>
      <c r="AD1" s="193"/>
      <c r="AE1" s="154"/>
      <c r="AF1" s="154"/>
      <c r="AG1" s="190"/>
      <c r="AH1" s="190"/>
      <c r="AI1" s="190"/>
      <c r="AJ1" s="190"/>
      <c r="AK1" s="190"/>
      <c r="AL1" s="190"/>
      <c r="AM1" s="190"/>
      <c r="AN1" s="591"/>
      <c r="AO1" s="591"/>
      <c r="AP1" s="591"/>
      <c r="AQ1" s="591"/>
      <c r="AR1" s="591"/>
      <c r="AS1" s="591"/>
      <c r="AT1" s="591"/>
    </row>
    <row r="2" spans="1:46" ht="27.75" customHeight="1">
      <c r="B2" s="417"/>
      <c r="C2" s="472"/>
      <c r="D2" s="471"/>
      <c r="E2" s="144" t="s">
        <v>260</v>
      </c>
      <c r="F2" s="138" t="str">
        <f>名簿!$Q$9</f>
        <v/>
      </c>
      <c r="G2" s="190"/>
      <c r="H2" s="865"/>
      <c r="I2" s="866"/>
      <c r="J2" s="190"/>
      <c r="K2" s="154"/>
      <c r="L2" s="154"/>
      <c r="M2" s="154"/>
      <c r="N2" s="864"/>
      <c r="O2" s="864"/>
      <c r="P2" s="867"/>
      <c r="Q2" s="867"/>
      <c r="R2" s="192"/>
      <c r="S2" s="192"/>
      <c r="T2" s="192"/>
      <c r="U2" s="193"/>
      <c r="V2" s="191"/>
      <c r="W2" s="192"/>
      <c r="X2" s="193"/>
      <c r="Y2" s="191"/>
      <c r="Z2" s="192"/>
      <c r="AA2" s="193"/>
      <c r="AB2" s="191"/>
      <c r="AC2" s="192"/>
      <c r="AD2" s="193"/>
      <c r="AE2" s="154"/>
      <c r="AF2" s="154"/>
      <c r="AG2" s="190"/>
      <c r="AH2" s="190"/>
      <c r="AI2" s="190"/>
      <c r="AJ2" s="190"/>
      <c r="AK2" s="214"/>
      <c r="AL2" s="190"/>
      <c r="AM2" s="190"/>
      <c r="AN2" s="591"/>
      <c r="AO2" s="591"/>
      <c r="AP2" s="591"/>
      <c r="AQ2" s="591"/>
      <c r="AR2" s="591"/>
      <c r="AS2" s="591"/>
      <c r="AT2" s="591"/>
    </row>
    <row r="3" spans="1:46" ht="27.75" customHeight="1">
      <c r="B3" s="418"/>
      <c r="C3" s="351"/>
      <c r="D3" s="351"/>
      <c r="E3" s="171" t="s">
        <v>386</v>
      </c>
      <c r="F3" s="157" t="str">
        <f>IF(名簿!$E$5="","",名簿!$E$5)</f>
        <v/>
      </c>
      <c r="G3" s="157"/>
      <c r="H3" s="213"/>
      <c r="I3" s="274"/>
      <c r="J3" s="190"/>
      <c r="K3" s="154"/>
      <c r="L3" s="154"/>
      <c r="M3" s="154"/>
      <c r="N3" s="212"/>
      <c r="O3" s="715"/>
      <c r="P3" s="194"/>
      <c r="Q3" s="194"/>
      <c r="R3" s="192"/>
      <c r="S3" s="192"/>
      <c r="T3" s="192"/>
      <c r="U3" s="193"/>
      <c r="V3" s="191"/>
      <c r="W3" s="192"/>
      <c r="X3" s="193"/>
      <c r="Y3" s="191"/>
      <c r="Z3" s="192"/>
      <c r="AA3" s="193"/>
      <c r="AB3" s="191"/>
      <c r="AC3" s="192"/>
      <c r="AD3" s="193"/>
      <c r="AE3" s="154"/>
      <c r="AF3" s="154"/>
      <c r="AG3" s="190"/>
      <c r="AH3" s="190"/>
      <c r="AI3" s="190"/>
      <c r="AJ3" s="190"/>
      <c r="AK3" s="214"/>
      <c r="AL3" s="190"/>
      <c r="AM3" s="190"/>
      <c r="AN3" s="591"/>
      <c r="AO3" s="591"/>
      <c r="AP3" s="591"/>
      <c r="AQ3" s="591"/>
      <c r="AR3" s="591"/>
      <c r="AS3" s="591"/>
      <c r="AT3" s="591"/>
    </row>
    <row r="4" spans="1:46" ht="27.75" customHeight="1" thickBot="1">
      <c r="B4" s="418"/>
      <c r="C4" s="351"/>
      <c r="D4" s="351"/>
      <c r="E4" s="171" t="s">
        <v>387</v>
      </c>
      <c r="F4" s="157" t="str">
        <f>IF(名簿!$I$5="","",名簿!$I$5)</f>
        <v/>
      </c>
      <c r="G4" s="157"/>
      <c r="H4" s="213"/>
      <c r="I4" s="275" t="s">
        <v>153</v>
      </c>
      <c r="J4" s="476"/>
      <c r="K4" s="476">
        <f>P4</f>
        <v>0</v>
      </c>
      <c r="L4" s="476"/>
      <c r="M4" s="476"/>
      <c r="N4" s="476"/>
      <c r="O4" s="476"/>
      <c r="P4" s="716">
        <f>G31</f>
        <v>0</v>
      </c>
      <c r="Q4" s="194"/>
      <c r="R4" s="192"/>
      <c r="S4" s="192"/>
      <c r="T4" s="192"/>
      <c r="U4" s="193"/>
      <c r="V4" s="191"/>
      <c r="W4" s="192"/>
      <c r="X4" s="193"/>
      <c r="Y4" s="191"/>
      <c r="Z4" s="192"/>
      <c r="AA4" s="193"/>
      <c r="AB4" s="191"/>
      <c r="AC4" s="192"/>
      <c r="AD4" s="193"/>
      <c r="AE4" s="154"/>
      <c r="AF4" s="154"/>
      <c r="AG4" s="190"/>
      <c r="AH4" s="190"/>
      <c r="AI4" s="190"/>
      <c r="AJ4" s="190"/>
      <c r="AK4" s="214"/>
      <c r="AL4" s="190"/>
      <c r="AM4" s="190"/>
      <c r="AN4" s="591"/>
      <c r="AO4" s="591"/>
      <c r="AP4" s="591"/>
      <c r="AQ4" s="591"/>
      <c r="AR4" s="591"/>
      <c r="AS4" s="591"/>
      <c r="AT4" s="591"/>
    </row>
    <row r="5" spans="1:46" ht="27.75" customHeight="1">
      <c r="B5" s="473"/>
      <c r="C5" s="474"/>
      <c r="D5" s="471"/>
      <c r="E5" s="732" t="s">
        <v>439</v>
      </c>
      <c r="F5" s="733"/>
      <c r="G5" s="733"/>
      <c r="H5" s="733"/>
      <c r="I5" s="733"/>
      <c r="J5" s="733"/>
      <c r="K5" s="733"/>
      <c r="L5" s="733"/>
      <c r="M5" s="733"/>
      <c r="N5" s="733"/>
      <c r="O5" s="733"/>
      <c r="P5" s="733"/>
      <c r="Q5" s="733"/>
      <c r="R5" s="734"/>
      <c r="S5" s="192"/>
      <c r="T5" s="192"/>
      <c r="U5" s="193"/>
      <c r="V5" s="191"/>
      <c r="W5" s="192"/>
      <c r="X5" s="193"/>
      <c r="Y5" s="191"/>
      <c r="Z5" s="192"/>
      <c r="AA5" s="193"/>
      <c r="AB5" s="191"/>
      <c r="AC5" s="192"/>
      <c r="AD5" s="193"/>
      <c r="AE5" s="154"/>
      <c r="AF5" s="154"/>
      <c r="AG5" s="190"/>
      <c r="AH5" s="190"/>
      <c r="AI5" s="190"/>
      <c r="AJ5" s="190"/>
      <c r="AK5" s="214"/>
      <c r="AL5" s="190"/>
      <c r="AM5" s="190"/>
      <c r="AN5" s="591"/>
      <c r="AO5" s="591"/>
      <c r="AP5" s="591"/>
      <c r="AQ5" s="591"/>
      <c r="AR5" s="591"/>
      <c r="AS5" s="591"/>
      <c r="AT5" s="591"/>
    </row>
    <row r="6" spans="1:46" ht="27.75" customHeight="1" thickBot="1">
      <c r="B6" s="473"/>
      <c r="C6" s="474"/>
      <c r="D6" s="471"/>
      <c r="E6" s="597" t="s">
        <v>395</v>
      </c>
      <c r="F6" s="598"/>
      <c r="G6" s="599"/>
      <c r="H6" s="600"/>
      <c r="I6" s="735"/>
      <c r="J6" s="599"/>
      <c r="K6" s="601"/>
      <c r="L6" s="601"/>
      <c r="M6" s="601"/>
      <c r="N6" s="602"/>
      <c r="O6" s="602"/>
      <c r="P6" s="603"/>
      <c r="Q6" s="603"/>
      <c r="R6" s="604"/>
      <c r="S6" s="192"/>
      <c r="T6" s="192"/>
      <c r="U6" s="193"/>
      <c r="V6" s="191"/>
      <c r="W6" s="192"/>
      <c r="X6" s="193"/>
      <c r="Y6" s="191"/>
      <c r="Z6" s="192"/>
      <c r="AA6" s="193"/>
      <c r="AB6" s="191"/>
      <c r="AC6" s="192"/>
      <c r="AD6" s="193"/>
      <c r="AE6" s="154"/>
      <c r="AF6" s="154"/>
      <c r="AG6" s="190"/>
      <c r="AH6" s="190"/>
      <c r="AI6" s="190"/>
      <c r="AJ6" s="190"/>
      <c r="AK6" s="214"/>
      <c r="AL6" s="190"/>
      <c r="AM6" s="190"/>
      <c r="AN6" s="591"/>
      <c r="AO6" s="591"/>
      <c r="AP6" s="591"/>
      <c r="AQ6" s="591"/>
      <c r="AR6" s="591"/>
      <c r="AS6" s="591"/>
      <c r="AT6" s="591"/>
    </row>
    <row r="7" spans="1:46" ht="27.75" customHeight="1" thickBot="1">
      <c r="B7" s="473"/>
      <c r="C7" s="474"/>
      <c r="D7" s="471"/>
      <c r="E7" s="597" t="s">
        <v>396</v>
      </c>
      <c r="F7" s="598"/>
      <c r="G7" s="605"/>
      <c r="H7" s="606"/>
      <c r="I7" s="736"/>
      <c r="J7" s="605"/>
      <c r="K7" s="607"/>
      <c r="L7" s="607"/>
      <c r="M7" s="607"/>
      <c r="N7" s="608"/>
      <c r="O7" s="608"/>
      <c r="P7" s="609"/>
      <c r="Q7" s="609"/>
      <c r="R7" s="610"/>
      <c r="S7" s="192"/>
      <c r="T7" s="192"/>
      <c r="U7" s="193"/>
      <c r="V7" s="191"/>
      <c r="W7" s="192"/>
      <c r="X7" s="193"/>
      <c r="Y7" s="191"/>
      <c r="Z7" s="192"/>
      <c r="AA7" s="193"/>
      <c r="AB7" s="191"/>
      <c r="AC7" s="192"/>
      <c r="AD7" s="193"/>
      <c r="AE7" s="154"/>
      <c r="AF7" s="154"/>
      <c r="AG7" s="190"/>
      <c r="AH7" s="190"/>
      <c r="AI7" s="190"/>
      <c r="AJ7" s="190"/>
      <c r="AK7" s="214"/>
      <c r="AL7" s="190"/>
      <c r="AM7" s="190"/>
      <c r="AN7" s="591"/>
      <c r="AO7" s="591"/>
      <c r="AP7" s="591"/>
      <c r="AQ7" s="591"/>
      <c r="AR7" s="591"/>
      <c r="AS7" s="591"/>
      <c r="AT7" s="591"/>
    </row>
    <row r="8" spans="1:46" ht="27.75" customHeight="1" thickBot="1">
      <c r="B8" s="473"/>
      <c r="C8" s="474"/>
      <c r="D8" s="471"/>
      <c r="E8" s="611" t="s">
        <v>397</v>
      </c>
      <c r="F8" s="612"/>
      <c r="G8" s="613"/>
      <c r="H8" s="737" t="s">
        <v>387</v>
      </c>
      <c r="I8" s="736"/>
      <c r="J8" s="605"/>
      <c r="K8" s="607"/>
      <c r="L8" s="607"/>
      <c r="M8" s="601"/>
      <c r="N8" s="737"/>
      <c r="O8" s="608"/>
      <c r="P8" s="609"/>
      <c r="Q8" s="609"/>
      <c r="R8" s="610"/>
      <c r="S8" s="192"/>
      <c r="T8" s="192"/>
      <c r="U8" s="193"/>
      <c r="V8" s="191"/>
      <c r="W8" s="192"/>
      <c r="X8" s="193"/>
      <c r="Y8" s="191"/>
      <c r="Z8" s="192"/>
      <c r="AA8" s="193"/>
      <c r="AB8" s="191"/>
      <c r="AC8" s="192"/>
      <c r="AD8" s="193"/>
      <c r="AE8" s="154"/>
      <c r="AF8" s="154"/>
      <c r="AG8" s="190"/>
      <c r="AH8" s="190"/>
      <c r="AI8" s="190"/>
      <c r="AJ8" s="190"/>
      <c r="AK8" s="214"/>
      <c r="AL8" s="190"/>
      <c r="AM8" s="190"/>
      <c r="AN8" s="591"/>
      <c r="AO8" s="591"/>
      <c r="AP8" s="591"/>
      <c r="AQ8" s="591"/>
      <c r="AR8" s="591"/>
      <c r="AS8" s="591"/>
      <c r="AT8" s="591"/>
    </row>
    <row r="9" spans="1:46" ht="45" customHeight="1" thickBot="1">
      <c r="A9" s="719"/>
      <c r="B9" s="720"/>
      <c r="C9" s="721"/>
      <c r="D9" s="719"/>
      <c r="E9" s="870" t="s">
        <v>564</v>
      </c>
      <c r="F9" s="871"/>
      <c r="G9" s="871"/>
      <c r="H9" s="871"/>
      <c r="I9" s="871"/>
      <c r="J9" s="871"/>
      <c r="K9" s="871"/>
      <c r="L9" s="717"/>
      <c r="M9" s="717"/>
      <c r="N9" s="717"/>
      <c r="O9" s="717"/>
      <c r="P9" s="868" t="s">
        <v>484</v>
      </c>
      <c r="Q9" s="868"/>
      <c r="R9" s="868"/>
      <c r="S9" s="868"/>
      <c r="T9" s="869"/>
      <c r="U9" s="718"/>
      <c r="V9" s="191"/>
      <c r="W9" s="192"/>
      <c r="X9" s="193"/>
      <c r="Y9" s="191"/>
      <c r="Z9" s="192"/>
      <c r="AA9" s="193"/>
      <c r="AB9" s="191"/>
      <c r="AC9" s="192"/>
      <c r="AD9" s="193"/>
      <c r="AE9" s="154"/>
      <c r="AF9" s="154"/>
      <c r="AG9" s="190"/>
      <c r="AH9" s="190"/>
      <c r="AI9" s="190"/>
      <c r="AJ9" s="190"/>
      <c r="AK9" s="214"/>
      <c r="AL9" s="190"/>
      <c r="AM9" s="190"/>
      <c r="AN9" s="591"/>
      <c r="AO9" s="591"/>
      <c r="AP9" s="591"/>
      <c r="AQ9" s="591"/>
      <c r="AR9" s="591"/>
      <c r="AS9" s="591"/>
      <c r="AT9" s="591"/>
    </row>
    <row r="10" spans="1:46" s="471" customFormat="1" ht="23.25" thickBot="1">
      <c r="E10" s="741" t="s">
        <v>460</v>
      </c>
      <c r="F10" s="742" t="s">
        <v>461</v>
      </c>
      <c r="G10" s="742" t="s">
        <v>462</v>
      </c>
      <c r="H10" s="742" t="s">
        <v>463</v>
      </c>
      <c r="I10" s="743" t="s">
        <v>464</v>
      </c>
      <c r="J10" s="742" t="s">
        <v>465</v>
      </c>
      <c r="K10" s="743" t="s">
        <v>466</v>
      </c>
      <c r="L10" s="747" t="s">
        <v>563</v>
      </c>
      <c r="M10" s="747" t="s">
        <v>562</v>
      </c>
      <c r="N10" s="747" t="s">
        <v>483</v>
      </c>
      <c r="O10" s="743" t="s">
        <v>467</v>
      </c>
      <c r="P10" s="743" t="s">
        <v>468</v>
      </c>
      <c r="Q10" s="743" t="s">
        <v>469</v>
      </c>
      <c r="R10" s="743" t="s">
        <v>264</v>
      </c>
      <c r="S10" s="743" t="s">
        <v>470</v>
      </c>
      <c r="T10" s="744" t="s">
        <v>471</v>
      </c>
      <c r="U10" s="593"/>
      <c r="V10" s="35"/>
      <c r="W10" s="592"/>
      <c r="X10" s="593"/>
      <c r="Y10" s="35"/>
      <c r="Z10" s="592"/>
      <c r="AA10" s="593"/>
      <c r="AB10" s="35"/>
      <c r="AC10" s="592"/>
      <c r="AD10" s="593"/>
      <c r="AE10" s="354"/>
      <c r="AF10" s="354"/>
    </row>
    <row r="11" spans="1:46" s="471" customFormat="1" ht="15" customHeight="1">
      <c r="E11" s="738" t="str">
        <f>IF(L11="","",VLOOKUP(L11,名簿!$D:$P,7,0))</f>
        <v/>
      </c>
      <c r="F11" s="739" t="s">
        <v>472</v>
      </c>
      <c r="G11" s="739" t="str">
        <f>IF(L11="","",VLOOKUP(L11,名簿!$D:$P,4,0))</f>
        <v/>
      </c>
      <c r="H11" s="739" t="str">
        <f>IF($L11="","",VLOOKUP($L11,名簿!$D:$P,5,0))</f>
        <v/>
      </c>
      <c r="I11" s="739" t="str">
        <f>IF($L11="","",VLOOKUP($L11,名簿!$D:$P,6,0))</f>
        <v/>
      </c>
      <c r="J11" s="739" t="str">
        <f>IF($L11="","",VLOOKUP($L11,名簿!$D:$P,13,0))</f>
        <v/>
      </c>
      <c r="K11" s="745" t="s">
        <v>486</v>
      </c>
      <c r="L11" s="756"/>
      <c r="M11" s="778" t="str">
        <f>IF(L11="","",VLOOKUP(L11,名簿!$D:$G,2,0))</f>
        <v/>
      </c>
      <c r="N11" s="724"/>
      <c r="O11" s="724"/>
      <c r="P11" s="722"/>
      <c r="Q11" s="725"/>
      <c r="R11" s="722"/>
      <c r="S11" s="723"/>
      <c r="T11" s="726" t="str">
        <f>IF(L11="","",5000)</f>
        <v/>
      </c>
      <c r="U11" s="593"/>
      <c r="V11" s="35"/>
      <c r="W11" s="592"/>
      <c r="X11" s="593"/>
      <c r="Y11" s="35"/>
      <c r="Z11" s="592"/>
      <c r="AA11" s="593"/>
      <c r="AB11" s="35"/>
      <c r="AC11" s="592"/>
      <c r="AD11" s="593"/>
      <c r="AE11" s="354"/>
      <c r="AF11" s="354"/>
    </row>
    <row r="12" spans="1:46" ht="15" customHeight="1">
      <c r="E12" s="738" t="str">
        <f>IF(L12="","",VLOOKUP(L12,名簿!$D:$P,7,0))</f>
        <v/>
      </c>
      <c r="F12" s="739" t="s">
        <v>472</v>
      </c>
      <c r="G12" s="739" t="str">
        <f>IF(L12="","",VLOOKUP(L12,名簿!$D:$P,4,0))</f>
        <v/>
      </c>
      <c r="H12" s="739" t="str">
        <f>IF($L12="","",VLOOKUP($L12,名簿!$D:$P,5,0))</f>
        <v/>
      </c>
      <c r="I12" s="739" t="str">
        <f>IF($L12="","",VLOOKUP($L12,名簿!$D:$P,6,0))</f>
        <v/>
      </c>
      <c r="J12" s="739" t="str">
        <f>IF($L12="","",VLOOKUP($L12,名簿!$D:$P,13,0))</f>
        <v/>
      </c>
      <c r="K12" s="745" t="s">
        <v>486</v>
      </c>
      <c r="L12" s="757"/>
      <c r="M12" s="778" t="str">
        <f>IF(L12="","",VLOOKUP(L12,名簿!$D:$G,2,0))</f>
        <v/>
      </c>
      <c r="N12" s="724"/>
      <c r="O12" s="724"/>
      <c r="P12" s="722"/>
      <c r="Q12" s="725"/>
      <c r="R12" s="722"/>
      <c r="S12" s="723"/>
      <c r="T12" s="726" t="str">
        <f t="shared" ref="T12:T20" si="0">IF(L12="","",5000)</f>
        <v/>
      </c>
    </row>
    <row r="13" spans="1:46" ht="15" customHeight="1">
      <c r="E13" s="738" t="str">
        <f>IF(L13="","",VLOOKUP(L13,名簿!$D:$P,7,0))</f>
        <v/>
      </c>
      <c r="F13" s="739" t="s">
        <v>472</v>
      </c>
      <c r="G13" s="739" t="str">
        <f>IF(L13="","",VLOOKUP(L13,名簿!$D:$P,4,0))</f>
        <v/>
      </c>
      <c r="H13" s="739" t="str">
        <f>IF($L13="","",VLOOKUP($L13,名簿!$D:$P,5,0))</f>
        <v/>
      </c>
      <c r="I13" s="739" t="str">
        <f>IF($L13="","",VLOOKUP($L13,名簿!$D:$P,6,0))</f>
        <v/>
      </c>
      <c r="J13" s="739" t="str">
        <f>IF($L13="","",VLOOKUP($L13,名簿!$D:$P,13,0))</f>
        <v/>
      </c>
      <c r="K13" s="745" t="s">
        <v>486</v>
      </c>
      <c r="L13" s="757"/>
      <c r="M13" s="778" t="str">
        <f>IF(L13="","",VLOOKUP(L13,名簿!$D:$G,2,0))</f>
        <v/>
      </c>
      <c r="N13" s="724"/>
      <c r="O13" s="724"/>
      <c r="P13" s="722"/>
      <c r="Q13" s="725"/>
      <c r="R13" s="722"/>
      <c r="S13" s="723"/>
      <c r="T13" s="726" t="str">
        <f t="shared" si="0"/>
        <v/>
      </c>
    </row>
    <row r="14" spans="1:46" ht="15" customHeight="1">
      <c r="E14" s="738" t="str">
        <f>IF(L14="","",VLOOKUP(L14,名簿!$D:$P,7,0))</f>
        <v/>
      </c>
      <c r="F14" s="739" t="s">
        <v>472</v>
      </c>
      <c r="G14" s="739" t="str">
        <f>IF(L14="","",VLOOKUP(L14,名簿!$D:$P,4,0))</f>
        <v/>
      </c>
      <c r="H14" s="739" t="str">
        <f>IF($L14="","",VLOOKUP($L14,名簿!$D:$P,5,0))</f>
        <v/>
      </c>
      <c r="I14" s="739" t="str">
        <f>IF($L14="","",VLOOKUP($L14,名簿!$D:$P,6,0))</f>
        <v/>
      </c>
      <c r="J14" s="739" t="str">
        <f>IF($L14="","",VLOOKUP($L14,名簿!$D:$P,13,0))</f>
        <v/>
      </c>
      <c r="K14" s="745" t="s">
        <v>486</v>
      </c>
      <c r="L14" s="757"/>
      <c r="M14" s="778" t="str">
        <f>IF(L14="","",VLOOKUP(L14,名簿!$D:$G,2,0))</f>
        <v/>
      </c>
      <c r="N14" s="724"/>
      <c r="O14" s="724"/>
      <c r="P14" s="722"/>
      <c r="Q14" s="725"/>
      <c r="R14" s="722"/>
      <c r="S14" s="723"/>
      <c r="T14" s="726" t="str">
        <f t="shared" si="0"/>
        <v/>
      </c>
    </row>
    <row r="15" spans="1:46" ht="15" customHeight="1">
      <c r="E15" s="738" t="str">
        <f>IF(L15="","",VLOOKUP(L15,名簿!$D:$P,7,0))</f>
        <v/>
      </c>
      <c r="F15" s="739" t="s">
        <v>472</v>
      </c>
      <c r="G15" s="739" t="str">
        <f>IF(L15="","",VLOOKUP(L15,名簿!$D:$P,4,0))</f>
        <v/>
      </c>
      <c r="H15" s="739" t="str">
        <f>IF($L15="","",VLOOKUP($L15,名簿!$D:$P,5,0))</f>
        <v/>
      </c>
      <c r="I15" s="739" t="str">
        <f>IF($L15="","",VLOOKUP($L15,名簿!$D:$P,6,0))</f>
        <v/>
      </c>
      <c r="J15" s="739" t="str">
        <f>IF($L15="","",VLOOKUP($L15,名簿!$D:$P,13,0))</f>
        <v/>
      </c>
      <c r="K15" s="745" t="s">
        <v>486</v>
      </c>
      <c r="L15" s="757"/>
      <c r="M15" s="778" t="str">
        <f>IF(L15="","",VLOOKUP(L15,名簿!$D:$G,2,0))</f>
        <v/>
      </c>
      <c r="N15" s="724"/>
      <c r="O15" s="724"/>
      <c r="P15" s="722"/>
      <c r="Q15" s="725"/>
      <c r="R15" s="722"/>
      <c r="S15" s="723"/>
      <c r="T15" s="726" t="str">
        <f t="shared" si="0"/>
        <v/>
      </c>
    </row>
    <row r="16" spans="1:46" ht="15" customHeight="1">
      <c r="E16" s="738" t="str">
        <f>IF(L16="","",VLOOKUP(L16,名簿!$D:$P,7,0))</f>
        <v/>
      </c>
      <c r="F16" s="739" t="s">
        <v>472</v>
      </c>
      <c r="G16" s="739" t="str">
        <f>IF(L16="","",VLOOKUP(L16,名簿!$D:$P,4,0))</f>
        <v/>
      </c>
      <c r="H16" s="739" t="str">
        <f>IF($L16="","",VLOOKUP($L16,名簿!$D:$P,5,0))</f>
        <v/>
      </c>
      <c r="I16" s="739" t="str">
        <f>IF($L16="","",VLOOKUP($L16,名簿!$D:$P,6,0))</f>
        <v/>
      </c>
      <c r="J16" s="739" t="str">
        <f>IF($L16="","",VLOOKUP($L16,名簿!$D:$P,13,0))</f>
        <v/>
      </c>
      <c r="K16" s="745" t="s">
        <v>486</v>
      </c>
      <c r="L16" s="757"/>
      <c r="M16" s="778" t="str">
        <f>IF(L16="","",VLOOKUP(L16,名簿!$D:$G,2,0))</f>
        <v/>
      </c>
      <c r="N16" s="724"/>
      <c r="O16" s="724"/>
      <c r="P16" s="722"/>
      <c r="Q16" s="725"/>
      <c r="R16" s="722"/>
      <c r="S16" s="723"/>
      <c r="T16" s="726" t="str">
        <f t="shared" si="0"/>
        <v/>
      </c>
    </row>
    <row r="17" spans="5:20" ht="15" customHeight="1">
      <c r="E17" s="738" t="str">
        <f>IF(L17="","",VLOOKUP(L17,名簿!$D:$P,7,0))</f>
        <v/>
      </c>
      <c r="F17" s="739" t="s">
        <v>472</v>
      </c>
      <c r="G17" s="739" t="str">
        <f>IF(L17="","",VLOOKUP(L17,名簿!$D:$P,4,0))</f>
        <v/>
      </c>
      <c r="H17" s="739" t="str">
        <f>IF($L17="","",VLOOKUP($L17,名簿!$D:$P,5,0))</f>
        <v/>
      </c>
      <c r="I17" s="739" t="str">
        <f>IF($L17="","",VLOOKUP($L17,名簿!$D:$P,6,0))</f>
        <v/>
      </c>
      <c r="J17" s="739" t="str">
        <f>IF($L17="","",VLOOKUP($L17,名簿!$D:$P,13,0))</f>
        <v/>
      </c>
      <c r="K17" s="745" t="s">
        <v>486</v>
      </c>
      <c r="L17" s="757"/>
      <c r="M17" s="778" t="str">
        <f>IF(L17="","",VLOOKUP(L17,名簿!$D:$G,2,0))</f>
        <v/>
      </c>
      <c r="N17" s="724"/>
      <c r="O17" s="724"/>
      <c r="P17" s="722"/>
      <c r="Q17" s="725"/>
      <c r="R17" s="722"/>
      <c r="S17" s="723"/>
      <c r="T17" s="726" t="str">
        <f t="shared" si="0"/>
        <v/>
      </c>
    </row>
    <row r="18" spans="5:20" ht="15" customHeight="1">
      <c r="E18" s="738" t="str">
        <f>IF(L18="","",VLOOKUP(L18,名簿!$D:$P,7,0))</f>
        <v/>
      </c>
      <c r="F18" s="739" t="s">
        <v>472</v>
      </c>
      <c r="G18" s="739" t="str">
        <f>IF(L18="","",VLOOKUP(L18,名簿!$D:$P,4,0))</f>
        <v/>
      </c>
      <c r="H18" s="739" t="str">
        <f>IF($L18="","",VLOOKUP($L18,名簿!$D:$P,5,0))</f>
        <v/>
      </c>
      <c r="I18" s="739" t="str">
        <f>IF($L18="","",VLOOKUP($L18,名簿!$D:$P,6,0))</f>
        <v/>
      </c>
      <c r="J18" s="739" t="str">
        <f>IF($L18="","",VLOOKUP($L18,名簿!$D:$P,13,0))</f>
        <v/>
      </c>
      <c r="K18" s="745" t="s">
        <v>486</v>
      </c>
      <c r="L18" s="757"/>
      <c r="M18" s="778" t="str">
        <f>IF(L18="","",VLOOKUP(L18,名簿!$D:$G,2,0))</f>
        <v/>
      </c>
      <c r="N18" s="724"/>
      <c r="O18" s="724"/>
      <c r="P18" s="722"/>
      <c r="Q18" s="725"/>
      <c r="R18" s="722"/>
      <c r="S18" s="723"/>
      <c r="T18" s="726" t="str">
        <f t="shared" si="0"/>
        <v/>
      </c>
    </row>
    <row r="19" spans="5:20" ht="15" customHeight="1">
      <c r="E19" s="738" t="str">
        <f>IF(L19="","",VLOOKUP(L19,名簿!$D:$P,7,0))</f>
        <v/>
      </c>
      <c r="F19" s="739" t="s">
        <v>472</v>
      </c>
      <c r="G19" s="739" t="str">
        <f>IF(L19="","",VLOOKUP(L19,名簿!$D:$P,4,0))</f>
        <v/>
      </c>
      <c r="H19" s="739" t="str">
        <f>IF($L19="","",VLOOKUP($L19,名簿!$D:$P,5,0))</f>
        <v/>
      </c>
      <c r="I19" s="739" t="str">
        <f>IF($L19="","",VLOOKUP($L19,名簿!$D:$P,6,0))</f>
        <v/>
      </c>
      <c r="J19" s="739" t="str">
        <f>IF($L19="","",VLOOKUP($L19,名簿!$D:$P,13,0))</f>
        <v/>
      </c>
      <c r="K19" s="745" t="s">
        <v>486</v>
      </c>
      <c r="L19" s="757"/>
      <c r="M19" s="778" t="str">
        <f>IF(L19="","",VLOOKUP(L19,名簿!$D:$G,2,0))</f>
        <v/>
      </c>
      <c r="N19" s="724"/>
      <c r="O19" s="724"/>
      <c r="P19" s="722"/>
      <c r="Q19" s="725"/>
      <c r="R19" s="722"/>
      <c r="S19" s="723"/>
      <c r="T19" s="726" t="str">
        <f t="shared" si="0"/>
        <v/>
      </c>
    </row>
    <row r="20" spans="5:20" ht="15" customHeight="1" thickBot="1">
      <c r="E20" s="780" t="str">
        <f>IF(L20="","",VLOOKUP(L20,名簿!$D:$P,7,0))</f>
        <v/>
      </c>
      <c r="F20" s="740" t="s">
        <v>472</v>
      </c>
      <c r="G20" s="740" t="str">
        <f>IF(L20="","",VLOOKUP(L20,名簿!$D:$P,4,0))</f>
        <v/>
      </c>
      <c r="H20" s="740" t="str">
        <f>IF($L20="","",VLOOKUP($L20,名簿!$D:$P,5,0))</f>
        <v/>
      </c>
      <c r="I20" s="740" t="str">
        <f>IF($L20="","",VLOOKUP($L20,名簿!$D:$P,6,0))</f>
        <v/>
      </c>
      <c r="J20" s="740" t="str">
        <f>IF($L20="","",VLOOKUP($L20,名簿!$D:$P,13,0))</f>
        <v/>
      </c>
      <c r="K20" s="746" t="s">
        <v>486</v>
      </c>
      <c r="L20" s="758"/>
      <c r="M20" s="779" t="str">
        <f>IF(L20="","",VLOOKUP(L20,名簿!$D:$G,2,0))</f>
        <v/>
      </c>
      <c r="N20" s="729"/>
      <c r="O20" s="729"/>
      <c r="P20" s="727"/>
      <c r="Q20" s="730"/>
      <c r="R20" s="727"/>
      <c r="S20" s="728"/>
      <c r="T20" s="731" t="str">
        <f t="shared" si="0"/>
        <v/>
      </c>
    </row>
    <row r="21" spans="5:20">
      <c r="E21"/>
      <c r="F21"/>
      <c r="G21"/>
      <c r="H21"/>
      <c r="I21"/>
      <c r="J21"/>
      <c r="K21" s="709"/>
      <c r="L21"/>
      <c r="M21"/>
      <c r="N21"/>
      <c r="O21"/>
      <c r="P21"/>
      <c r="Q21"/>
      <c r="R21"/>
      <c r="S21"/>
      <c r="T21"/>
    </row>
    <row r="22" spans="5:20">
      <c r="E22"/>
      <c r="F22" t="s">
        <v>473</v>
      </c>
      <c r="G22"/>
      <c r="H22"/>
      <c r="I22"/>
      <c r="J22"/>
      <c r="K22" s="709"/>
      <c r="L22"/>
      <c r="M22"/>
      <c r="N22"/>
      <c r="O22"/>
      <c r="P22"/>
      <c r="Q22"/>
      <c r="R22"/>
      <c r="S22"/>
      <c r="T22"/>
    </row>
    <row r="23" spans="5:20">
      <c r="E23"/>
      <c r="F23" s="710" t="s">
        <v>474</v>
      </c>
      <c r="G23"/>
      <c r="H23"/>
      <c r="I23"/>
      <c r="J23"/>
      <c r="K23" s="709"/>
      <c r="L23"/>
      <c r="M23"/>
      <c r="N23"/>
      <c r="O23"/>
      <c r="P23"/>
      <c r="Q23"/>
      <c r="R23"/>
      <c r="S23"/>
      <c r="T23"/>
    </row>
    <row r="24" spans="5:20" ht="12.75" customHeight="1">
      <c r="E24"/>
      <c r="F24"/>
      <c r="G24"/>
      <c r="H24"/>
      <c r="I24"/>
      <c r="J24"/>
      <c r="K24" s="709"/>
      <c r="L24"/>
      <c r="M24"/>
      <c r="N24"/>
      <c r="O24"/>
      <c r="P24"/>
      <c r="Q24"/>
      <c r="R24"/>
      <c r="S24"/>
      <c r="T24"/>
    </row>
    <row r="25" spans="5:20" hidden="1">
      <c r="E25"/>
      <c r="F25" t="s">
        <v>475</v>
      </c>
      <c r="G25"/>
      <c r="H25"/>
      <c r="I25"/>
      <c r="J25"/>
      <c r="K25" s="709"/>
      <c r="L25"/>
      <c r="M25"/>
      <c r="N25"/>
      <c r="O25"/>
      <c r="P25"/>
      <c r="Q25"/>
      <c r="R25"/>
      <c r="S25"/>
      <c r="T25"/>
    </row>
    <row r="26" spans="5:20" hidden="1">
      <c r="E26"/>
      <c r="F26" t="s">
        <v>476</v>
      </c>
      <c r="G26"/>
      <c r="H26"/>
      <c r="I26"/>
      <c r="J26"/>
      <c r="K26" s="709"/>
      <c r="L26"/>
      <c r="M26"/>
      <c r="N26"/>
      <c r="O26"/>
      <c r="P26"/>
      <c r="Q26"/>
      <c r="R26"/>
      <c r="S26"/>
      <c r="T26"/>
    </row>
    <row r="27" spans="5:20" hidden="1">
      <c r="E27"/>
      <c r="F27"/>
      <c r="G27"/>
      <c r="H27"/>
      <c r="I27"/>
      <c r="J27"/>
      <c r="K27" s="709"/>
      <c r="L27"/>
      <c r="M27"/>
      <c r="N27"/>
      <c r="O27"/>
      <c r="P27"/>
      <c r="Q27"/>
      <c r="R27"/>
      <c r="S27"/>
      <c r="T27"/>
    </row>
    <row r="28" spans="5:20" hidden="1">
      <c r="E28"/>
      <c r="F28" t="s">
        <v>475</v>
      </c>
      <c r="G28"/>
      <c r="H28"/>
      <c r="I28"/>
      <c r="J28"/>
      <c r="K28" s="709"/>
      <c r="L28"/>
      <c r="M28"/>
      <c r="N28"/>
      <c r="O28"/>
      <c r="P28"/>
      <c r="Q28"/>
      <c r="R28"/>
      <c r="S28"/>
      <c r="T28"/>
    </row>
    <row r="29" spans="5:20" hidden="1">
      <c r="E29"/>
      <c r="F29" t="s">
        <v>476</v>
      </c>
      <c r="G29"/>
      <c r="H29"/>
      <c r="I29"/>
      <c r="J29"/>
      <c r="K29" s="709"/>
      <c r="L29"/>
      <c r="M29"/>
      <c r="N29"/>
      <c r="O29"/>
      <c r="P29"/>
      <c r="Q29"/>
      <c r="R29"/>
      <c r="S29"/>
      <c r="T29"/>
    </row>
    <row r="30" spans="5:20" hidden="1">
      <c r="E30"/>
      <c r="F30"/>
      <c r="G30"/>
      <c r="H30"/>
      <c r="I30"/>
      <c r="J30"/>
      <c r="K30" s="709"/>
      <c r="L30"/>
      <c r="M30"/>
      <c r="N30"/>
      <c r="O30"/>
      <c r="P30"/>
      <c r="Q30"/>
      <c r="R30"/>
      <c r="S30"/>
      <c r="T30"/>
    </row>
    <row r="31" spans="5:20" ht="14.25">
      <c r="E31"/>
      <c r="F31" s="711" t="s">
        <v>471</v>
      </c>
      <c r="G31" s="712">
        <f>SUM(T11:T20)</f>
        <v>0</v>
      </c>
      <c r="H31"/>
      <c r="I31"/>
      <c r="J31"/>
      <c r="K31" s="709"/>
      <c r="L31"/>
      <c r="M31"/>
      <c r="N31"/>
      <c r="O31"/>
      <c r="P31"/>
      <c r="Q31"/>
      <c r="R31"/>
      <c r="S31"/>
      <c r="T31"/>
    </row>
    <row r="32" spans="5:20">
      <c r="E32"/>
      <c r="F32"/>
      <c r="G32"/>
      <c r="H32"/>
      <c r="I32"/>
      <c r="J32"/>
      <c r="K32" s="709"/>
      <c r="L32"/>
      <c r="M32"/>
      <c r="N32"/>
      <c r="O32"/>
      <c r="P32"/>
      <c r="Q32"/>
      <c r="R32"/>
      <c r="S32"/>
      <c r="T32"/>
    </row>
    <row r="33" spans="5:20">
      <c r="E33"/>
      <c r="F33" t="s">
        <v>477</v>
      </c>
      <c r="G33"/>
      <c r="H33"/>
      <c r="I33"/>
      <c r="J33"/>
      <c r="K33" s="709"/>
      <c r="L33"/>
      <c r="M33"/>
      <c r="N33"/>
      <c r="O33"/>
      <c r="P33"/>
      <c r="Q33"/>
      <c r="R33"/>
      <c r="S33"/>
      <c r="T33"/>
    </row>
    <row r="34" spans="5:20">
      <c r="E34"/>
      <c r="F34"/>
      <c r="G34"/>
      <c r="H34"/>
      <c r="I34"/>
      <c r="J34"/>
      <c r="K34" s="709"/>
      <c r="L34"/>
      <c r="M34"/>
      <c r="N34"/>
      <c r="O34"/>
      <c r="P34"/>
      <c r="Q34"/>
      <c r="R34"/>
      <c r="S34"/>
      <c r="T34"/>
    </row>
    <row r="35" spans="5:20">
      <c r="E35"/>
      <c r="F35" s="713" t="s">
        <v>478</v>
      </c>
      <c r="G35"/>
      <c r="H35"/>
      <c r="I35"/>
      <c r="J35"/>
      <c r="K35" s="709"/>
      <c r="L35"/>
      <c r="M35"/>
      <c r="N35"/>
      <c r="O35"/>
      <c r="P35"/>
      <c r="Q35"/>
      <c r="R35"/>
      <c r="S35"/>
      <c r="T35"/>
    </row>
    <row r="36" spans="5:20">
      <c r="E36"/>
      <c r="F36"/>
      <c r="G36"/>
      <c r="H36"/>
      <c r="I36"/>
      <c r="J36"/>
      <c r="K36" s="709"/>
      <c r="L36"/>
      <c r="M36"/>
      <c r="N36"/>
      <c r="O36"/>
      <c r="P36"/>
      <c r="Q36"/>
      <c r="R36"/>
      <c r="S36"/>
      <c r="T36"/>
    </row>
    <row r="37" spans="5:20">
      <c r="E37"/>
      <c r="F37" t="s">
        <v>479</v>
      </c>
      <c r="G37"/>
      <c r="H37"/>
      <c r="I37"/>
      <c r="J37"/>
      <c r="K37" s="709"/>
      <c r="L37"/>
      <c r="M37"/>
      <c r="N37"/>
      <c r="O37"/>
      <c r="P37"/>
      <c r="Q37"/>
      <c r="R37"/>
      <c r="S37"/>
      <c r="T37"/>
    </row>
    <row r="38" spans="5:20">
      <c r="E38"/>
      <c r="F38"/>
      <c r="G38"/>
      <c r="H38"/>
      <c r="I38"/>
      <c r="J38"/>
      <c r="K38" s="709"/>
      <c r="L38"/>
      <c r="M38"/>
      <c r="N38"/>
      <c r="O38"/>
      <c r="P38"/>
      <c r="Q38"/>
      <c r="R38"/>
      <c r="S38"/>
      <c r="T38"/>
    </row>
    <row r="39" spans="5:20">
      <c r="E39"/>
      <c r="F39" t="s">
        <v>480</v>
      </c>
      <c r="G39"/>
      <c r="H39"/>
      <c r="I39"/>
      <c r="J39"/>
      <c r="K39" s="709"/>
      <c r="L39"/>
      <c r="M39"/>
      <c r="N39"/>
      <c r="O39"/>
      <c r="P39"/>
      <c r="Q39"/>
      <c r="R39"/>
      <c r="S39"/>
      <c r="T39"/>
    </row>
    <row r="40" spans="5:20">
      <c r="E40"/>
      <c r="F40"/>
      <c r="G40"/>
      <c r="H40"/>
      <c r="I40"/>
      <c r="J40"/>
      <c r="K40" s="709"/>
      <c r="L40"/>
      <c r="M40"/>
      <c r="N40"/>
      <c r="O40"/>
      <c r="P40"/>
      <c r="Q40"/>
      <c r="R40"/>
      <c r="S40"/>
      <c r="T40"/>
    </row>
    <row r="41" spans="5:20">
      <c r="E41"/>
      <c r="F41" s="863" t="s">
        <v>481</v>
      </c>
      <c r="G41" s="863"/>
      <c r="H41" s="863"/>
      <c r="I41" s="863"/>
      <c r="J41" s="863"/>
      <c r="K41" s="863"/>
      <c r="L41" s="863"/>
      <c r="M41" s="863"/>
      <c r="N41" s="863"/>
      <c r="O41" s="863"/>
      <c r="P41" s="863"/>
      <c r="Q41" s="863"/>
      <c r="R41" s="863"/>
      <c r="S41" s="863"/>
      <c r="T41"/>
    </row>
    <row r="42" spans="5:20">
      <c r="E42"/>
      <c r="F42" s="714"/>
      <c r="G42" s="714"/>
      <c r="H42" s="714"/>
      <c r="I42" s="714"/>
      <c r="J42" s="714"/>
      <c r="K42" s="714"/>
      <c r="L42" s="714"/>
      <c r="M42" s="764"/>
      <c r="N42" s="714"/>
      <c r="O42" s="714"/>
      <c r="P42" s="714"/>
      <c r="Q42" s="714"/>
      <c r="R42" s="714"/>
      <c r="S42" s="714"/>
      <c r="T42"/>
    </row>
    <row r="43" spans="5:20">
      <c r="E43"/>
      <c r="F43" s="863" t="s">
        <v>482</v>
      </c>
      <c r="G43" s="863"/>
      <c r="H43" s="863"/>
      <c r="I43" s="863"/>
      <c r="J43" s="863"/>
      <c r="K43" s="863"/>
      <c r="L43" s="863"/>
      <c r="M43" s="863"/>
      <c r="N43" s="863"/>
      <c r="O43" s="863"/>
      <c r="P43" s="863"/>
      <c r="Q43" s="863"/>
      <c r="R43" s="863"/>
      <c r="S43" s="863"/>
      <c r="T43"/>
    </row>
    <row r="44" spans="5:20">
      <c r="E44"/>
      <c r="F44"/>
      <c r="G44"/>
      <c r="H44"/>
      <c r="I44"/>
      <c r="J44"/>
      <c r="K44" s="709"/>
      <c r="L44"/>
      <c r="M44"/>
      <c r="N44"/>
      <c r="O44"/>
      <c r="P44"/>
      <c r="Q44"/>
      <c r="R44"/>
      <c r="S44"/>
      <c r="T44"/>
    </row>
    <row r="45" spans="5:20">
      <c r="E45"/>
      <c r="F45"/>
      <c r="G45"/>
      <c r="H45"/>
      <c r="I45"/>
      <c r="J45"/>
      <c r="K45" s="709"/>
      <c r="L45"/>
      <c r="M45"/>
      <c r="N45"/>
      <c r="O45"/>
      <c r="P45"/>
      <c r="Q45"/>
      <c r="R45"/>
      <c r="S45"/>
      <c r="T45"/>
    </row>
    <row r="46" spans="5:20">
      <c r="E46"/>
      <c r="F46"/>
      <c r="G46"/>
      <c r="H46"/>
      <c r="I46"/>
      <c r="J46"/>
      <c r="K46" s="709"/>
      <c r="L46"/>
      <c r="M46"/>
      <c r="N46"/>
      <c r="O46"/>
      <c r="P46"/>
      <c r="Q46"/>
      <c r="R46"/>
      <c r="S46"/>
      <c r="T46"/>
    </row>
    <row r="47" spans="5:20">
      <c r="E47"/>
      <c r="F47"/>
      <c r="G47"/>
      <c r="H47"/>
      <c r="I47"/>
      <c r="J47"/>
      <c r="K47" s="709"/>
      <c r="L47"/>
      <c r="M47"/>
      <c r="N47"/>
      <c r="O47"/>
      <c r="P47"/>
      <c r="Q47"/>
      <c r="R47"/>
      <c r="S47"/>
      <c r="T47"/>
    </row>
    <row r="48" spans="5:20">
      <c r="E48"/>
      <c r="F48"/>
      <c r="G48"/>
      <c r="H48"/>
      <c r="I48"/>
      <c r="J48"/>
      <c r="K48" s="709"/>
      <c r="L48"/>
      <c r="M48"/>
      <c r="N48"/>
      <c r="O48"/>
      <c r="P48"/>
      <c r="Q48"/>
      <c r="R48"/>
      <c r="S48"/>
      <c r="T48"/>
    </row>
    <row r="49" spans="5:20">
      <c r="E49"/>
      <c r="F49"/>
      <c r="G49"/>
      <c r="H49"/>
      <c r="I49"/>
      <c r="J49"/>
      <c r="K49" s="709"/>
      <c r="L49"/>
      <c r="M49"/>
      <c r="N49"/>
      <c r="O49"/>
      <c r="P49"/>
      <c r="Q49"/>
      <c r="R49"/>
      <c r="S49"/>
      <c r="T49"/>
    </row>
    <row r="50" spans="5:20">
      <c r="E50"/>
      <c r="F50"/>
      <c r="G50"/>
      <c r="H50"/>
      <c r="I50"/>
      <c r="J50"/>
      <c r="K50" s="709"/>
      <c r="L50"/>
      <c r="M50"/>
      <c r="N50"/>
      <c r="O50"/>
      <c r="P50"/>
      <c r="Q50"/>
      <c r="R50"/>
      <c r="S50"/>
      <c r="T50"/>
    </row>
    <row r="51" spans="5:20">
      <c r="E51"/>
      <c r="F51"/>
      <c r="G51"/>
      <c r="H51"/>
      <c r="I51"/>
      <c r="J51"/>
      <c r="K51" s="709"/>
      <c r="L51"/>
      <c r="M51"/>
      <c r="N51"/>
      <c r="O51"/>
      <c r="P51"/>
      <c r="Q51"/>
      <c r="R51"/>
      <c r="S51"/>
      <c r="T51"/>
    </row>
    <row r="52" spans="5:20">
      <c r="E52"/>
      <c r="F52"/>
      <c r="G52"/>
      <c r="H52"/>
      <c r="I52"/>
      <c r="J52"/>
      <c r="K52" s="709"/>
      <c r="L52"/>
      <c r="M52"/>
      <c r="N52"/>
      <c r="O52"/>
      <c r="P52"/>
      <c r="Q52"/>
      <c r="R52"/>
      <c r="S52"/>
      <c r="T52"/>
    </row>
    <row r="53" spans="5:20">
      <c r="E53"/>
      <c r="F53"/>
      <c r="G53"/>
      <c r="H53"/>
      <c r="I53"/>
      <c r="J53"/>
      <c r="K53" s="709"/>
      <c r="L53"/>
      <c r="M53"/>
      <c r="N53"/>
      <c r="O53"/>
      <c r="P53"/>
      <c r="Q53"/>
      <c r="R53"/>
      <c r="S53"/>
      <c r="T53"/>
    </row>
    <row r="54" spans="5:20">
      <c r="E54"/>
      <c r="F54"/>
      <c r="G54"/>
      <c r="H54"/>
      <c r="I54"/>
      <c r="J54"/>
      <c r="K54" s="709"/>
      <c r="L54"/>
      <c r="M54"/>
      <c r="N54"/>
      <c r="O54"/>
      <c r="P54"/>
      <c r="Q54"/>
      <c r="R54"/>
      <c r="S54"/>
      <c r="T54"/>
    </row>
    <row r="55" spans="5:20">
      <c r="E55"/>
      <c r="F55"/>
      <c r="G55"/>
      <c r="H55"/>
      <c r="I55"/>
      <c r="J55"/>
      <c r="K55" s="709"/>
      <c r="L55"/>
      <c r="M55"/>
      <c r="N55"/>
      <c r="O55"/>
      <c r="P55"/>
      <c r="Q55"/>
      <c r="R55"/>
      <c r="S55"/>
      <c r="T55"/>
    </row>
    <row r="56" spans="5:20">
      <c r="E56"/>
      <c r="F56"/>
      <c r="G56"/>
      <c r="H56"/>
      <c r="I56"/>
      <c r="J56"/>
      <c r="K56" s="709"/>
      <c r="L56"/>
      <c r="M56"/>
      <c r="N56"/>
      <c r="O56"/>
      <c r="P56"/>
      <c r="Q56"/>
      <c r="R56"/>
      <c r="S56"/>
      <c r="T56"/>
    </row>
  </sheetData>
  <sheetProtection password="83D4" sheet="1" objects="1" scenarios="1"/>
  <mergeCells count="7">
    <mergeCell ref="F41:S41"/>
    <mergeCell ref="F43:S43"/>
    <mergeCell ref="N2:O2"/>
    <mergeCell ref="H2:I2"/>
    <mergeCell ref="P2:Q2"/>
    <mergeCell ref="P9:T9"/>
    <mergeCell ref="E9:K9"/>
  </mergeCells>
  <phoneticPr fontId="5"/>
  <dataValidations xWindow="444" yWindow="155" count="6">
    <dataValidation imeMode="disabled" allowBlank="1" showInputMessage="1" prompt="記録は半角英数字で_x000a_例_x000a_11秒11→11.11_x000a_1分50秒00→1.50.00_x000a_15m50→15m50_x000a__x000a_" sqref="P57:P65472"/>
    <dataValidation imeMode="disabled" allowBlank="1" prompt="記録は半角英数字で_x000a_例_x000a_11秒11→11.11_x000a_1分50秒00→1.50.00_x000a_15m50→15m50_x000a__x000a_" sqref="P1:P3 P6:Q8 Q1:Q4"/>
    <dataValidation imeMode="disabled" allowBlank="1" showInputMessage="1" showErrorMessage="1" sqref="F6 R11:R20 L11:P20"/>
    <dataValidation imeMode="hiragana" allowBlank="1" showInputMessage="1" showErrorMessage="1" sqref="F7:F8 Q11:Q20"/>
    <dataValidation allowBlank="1" showInputMessage="1" sqref="F11:F20 S11:S20"/>
    <dataValidation imeMode="hiragana" allowBlank="1" showInputMessage="1" sqref="K11:K20"/>
  </dataValidations>
  <printOptions horizontalCentered="1"/>
  <pageMargins left="0.51181102362204722" right="0.39370078740157483" top="0.98425196850393704" bottom="0.98425196850393704" header="0.51181102362204722" footer="0.51181102362204722"/>
  <pageSetup paperSize="9" scale="73" orientation="landscape" verticalDpi="1200" r:id="rId1"/>
  <headerFooter alignWithMargins="0">
    <oddHeader>&amp;R&amp;D　&amp;T</oddHeader>
    <oddFooter>&amp;R三重陸上競技協会</oddFooter>
  </headerFooter>
  <legacyDrawing r:id="rId2"/>
</worksheet>
</file>

<file path=xl/worksheets/sheet9.xml><?xml version="1.0" encoding="utf-8"?>
<worksheet xmlns="http://schemas.openxmlformats.org/spreadsheetml/2006/main" xmlns:r="http://schemas.openxmlformats.org/officeDocument/2006/relationships">
  <sheetPr codeName="Sheet14">
    <tabColor indexed="47"/>
    <pageSetUpPr fitToPage="1"/>
  </sheetPr>
  <dimension ref="A1:CR74"/>
  <sheetViews>
    <sheetView showGridLines="0" showZeros="0" topLeftCell="D1" zoomScaleNormal="100" workbookViewId="0">
      <pane xSplit="11" topLeftCell="O1" activePane="topRight" state="frozen"/>
      <selection activeCell="E1" sqref="E1"/>
      <selection pane="topRight" activeCell="O5" sqref="O5"/>
    </sheetView>
  </sheetViews>
  <sheetFormatPr defaultColWidth="8.625" defaultRowHeight="13.5"/>
  <cols>
    <col min="1" max="1" width="12.375" style="430" hidden="1" customWidth="1"/>
    <col min="2" max="2" width="10" style="4" hidden="1" customWidth="1"/>
    <col min="3" max="3" width="15.25" style="430" hidden="1" customWidth="1"/>
    <col min="4" max="4" width="9.125" style="4" customWidth="1"/>
    <col min="5" max="5" width="11.375" style="4" customWidth="1"/>
    <col min="6" max="6" width="15.125" style="4" customWidth="1"/>
    <col min="7" max="7" width="15.125" style="5" customWidth="1"/>
    <col min="8" max="8" width="15.125" style="26" hidden="1" customWidth="1"/>
    <col min="9" max="9" width="4.75" style="26" customWidth="1"/>
    <col min="10" max="10" width="5.125" style="6" customWidth="1"/>
    <col min="11" max="11" width="5.25" style="6" hidden="1" customWidth="1"/>
    <col min="12" max="12" width="5.25" style="4" hidden="1" customWidth="1"/>
    <col min="13" max="13" width="4.125" style="11" hidden="1" customWidth="1"/>
    <col min="14" max="14" width="6" style="115" hidden="1" customWidth="1"/>
    <col min="15" max="15" width="11" style="21" customWidth="1"/>
    <col min="16" max="16" width="5.375" style="11" hidden="1" customWidth="1"/>
    <col min="17" max="17" width="9.125" style="115" customWidth="1"/>
    <col min="18" max="18" width="8.5" style="21" hidden="1" customWidth="1"/>
    <col min="19" max="19" width="5.875" style="11" hidden="1" customWidth="1"/>
    <col min="20" max="20" width="11" style="10" customWidth="1"/>
    <col min="21" max="21" width="6.875" style="21" hidden="1" customWidth="1"/>
    <col min="22" max="22" width="7.125" style="11" customWidth="1"/>
    <col min="23" max="23" width="8.125" style="10" hidden="1" customWidth="1"/>
    <col min="24" max="24" width="6" style="21" hidden="1" customWidth="1"/>
    <col min="25" max="25" width="5.75" style="11" hidden="1" customWidth="1"/>
    <col min="26" max="26" width="6" style="10" hidden="1" customWidth="1"/>
    <col min="27" max="27" width="7.125" style="21" hidden="1" customWidth="1"/>
    <col min="28" max="28" width="15.25" style="6" customWidth="1"/>
    <col min="29" max="29" width="6.625" style="6" hidden="1" customWidth="1"/>
    <col min="30" max="30" width="6.625" style="4" hidden="1" customWidth="1"/>
    <col min="31" max="31" width="6.625" style="73" hidden="1" customWidth="1"/>
    <col min="32" max="32" width="6.5" style="4" hidden="1" customWidth="1"/>
    <col min="33" max="34" width="8.125" style="4" hidden="1" customWidth="1"/>
    <col min="35" max="35" width="7.125" style="4" hidden="1" customWidth="1"/>
    <col min="36" max="36" width="5.625" style="4" hidden="1" customWidth="1"/>
    <col min="37" max="37" width="4.625" style="4" hidden="1" customWidth="1"/>
    <col min="38" max="38" width="4.875" style="4" hidden="1" customWidth="1"/>
    <col min="39" max="39" width="6" style="4" hidden="1" customWidth="1"/>
    <col min="40" max="40" width="5.25" style="4" hidden="1" customWidth="1"/>
    <col min="41" max="41" width="5.375" style="4" hidden="1" customWidth="1"/>
    <col min="42" max="42" width="4.75" style="4" hidden="1" customWidth="1"/>
    <col min="43" max="43" width="3.25" style="4" hidden="1" customWidth="1"/>
    <col min="44" max="44" width="6.375" style="4" hidden="1" customWidth="1"/>
    <col min="45" max="45" width="4.75" style="4" hidden="1" customWidth="1"/>
    <col min="46" max="46" width="5.125" style="4" hidden="1" customWidth="1"/>
    <col min="47" max="47" width="4.75" style="59" hidden="1" customWidth="1"/>
    <col min="48" max="48" width="4.375" style="4" hidden="1" customWidth="1"/>
    <col min="49" max="49" width="5.125" style="59" hidden="1" customWidth="1"/>
    <col min="50" max="50" width="5.75" style="4" hidden="1" customWidth="1"/>
    <col min="51" max="51" width="4.75" style="59" hidden="1" customWidth="1"/>
    <col min="52" max="52" width="5.125" style="4" hidden="1" customWidth="1"/>
    <col min="53" max="53" width="7.875" style="59" hidden="1" customWidth="1"/>
    <col min="54" max="54" width="6.375" style="59" hidden="1" customWidth="1"/>
    <col min="55" max="55" width="5.125" style="4" hidden="1" customWidth="1"/>
    <col min="56" max="56" width="6.625" style="4" hidden="1" customWidth="1"/>
    <col min="57" max="57" width="7.125" style="4" hidden="1" customWidth="1"/>
    <col min="58" max="58" width="12" style="4" customWidth="1"/>
    <col min="59" max="59" width="8.125" style="4" customWidth="1"/>
    <col min="60" max="60" width="7.625" style="4" customWidth="1"/>
    <col min="61" max="61" width="11.125" style="4" customWidth="1"/>
    <col min="62" max="62" width="7.625" style="4" hidden="1" customWidth="1"/>
    <col min="63" max="63" width="11.125" style="4" hidden="1" customWidth="1"/>
    <col min="64" max="64" width="7.625" style="4" customWidth="1"/>
    <col min="65" max="65" width="10.375" style="4" customWidth="1"/>
    <col min="66" max="66" width="7.625" style="4" hidden="1" customWidth="1"/>
    <col min="67" max="67" width="8.625" style="4" hidden="1" customWidth="1"/>
    <col min="68" max="68" width="8.25" style="4" hidden="1" customWidth="1"/>
    <col min="69" max="69" width="12.5" style="4" hidden="1" customWidth="1"/>
    <col min="70" max="70" width="8" style="4" hidden="1" customWidth="1"/>
    <col min="71" max="71" width="12.25" style="4" hidden="1" customWidth="1"/>
    <col min="72" max="72" width="9.75" style="4" hidden="1" customWidth="1"/>
    <col min="73" max="73" width="12.75" style="4" hidden="1" customWidth="1"/>
    <col min="74" max="74" width="12.375" style="4" hidden="1" customWidth="1"/>
    <col min="75" max="75" width="7.25" style="4" hidden="1" customWidth="1"/>
    <col min="76" max="76" width="9.875" style="4" hidden="1" customWidth="1"/>
    <col min="77" max="77" width="14.375" style="4" hidden="1" customWidth="1"/>
    <col min="78" max="78" width="15.625" style="4" hidden="1" customWidth="1"/>
    <col min="79" max="79" width="13.375" style="4" hidden="1" customWidth="1"/>
    <col min="80" max="80" width="13.5" style="4" hidden="1" customWidth="1"/>
    <col min="81" max="81" width="7" style="4" hidden="1" customWidth="1"/>
    <col min="82" max="82" width="8.625" style="103"/>
    <col min="83" max="16384" width="8.625" style="4"/>
  </cols>
  <sheetData>
    <row r="1" spans="1:96" ht="27" customHeight="1">
      <c r="B1" s="417"/>
      <c r="C1" s="425"/>
      <c r="D1" s="694"/>
      <c r="E1" s="784" t="s">
        <v>259</v>
      </c>
      <c r="F1" s="781" t="str">
        <f>IF(名簿!$P$9="","",名簿!$P$9)</f>
        <v/>
      </c>
      <c r="G1" s="874" t="s">
        <v>453</v>
      </c>
      <c r="H1" s="874"/>
      <c r="I1" s="874"/>
      <c r="J1" s="874"/>
      <c r="K1" s="874"/>
      <c r="L1" s="874"/>
      <c r="M1" s="874"/>
      <c r="N1" s="874"/>
      <c r="O1" s="874"/>
      <c r="P1" s="874"/>
      <c r="Q1" s="874"/>
      <c r="R1" s="579"/>
      <c r="S1" s="574"/>
      <c r="T1" s="859" t="s">
        <v>354</v>
      </c>
      <c r="U1" s="859"/>
      <c r="V1" s="859"/>
      <c r="W1" s="152"/>
      <c r="X1" s="197"/>
      <c r="Y1" s="198"/>
      <c r="Z1" s="152"/>
      <c r="AA1" s="197"/>
      <c r="AB1" s="154"/>
      <c r="AC1" s="154"/>
      <c r="AD1" s="146"/>
      <c r="AE1" s="155"/>
      <c r="AF1" s="146"/>
      <c r="AG1" s="146"/>
      <c r="AH1" s="146"/>
      <c r="AI1" s="146"/>
      <c r="AJ1" s="146"/>
      <c r="AK1" s="146"/>
      <c r="AL1" s="146"/>
      <c r="AM1" s="146"/>
      <c r="AN1" s="146"/>
      <c r="AO1" s="146"/>
      <c r="AP1" s="146"/>
      <c r="AQ1" s="146"/>
      <c r="AR1" s="146"/>
      <c r="AS1" s="146"/>
      <c r="AT1" s="146"/>
      <c r="AU1" s="412"/>
      <c r="AV1" s="146"/>
      <c r="AW1" s="412"/>
      <c r="AX1" s="146"/>
      <c r="AY1" s="412"/>
      <c r="AZ1" s="146"/>
      <c r="BA1" s="412"/>
      <c r="BB1" s="412"/>
      <c r="BC1" s="146"/>
      <c r="BD1" s="146"/>
      <c r="BE1" s="146"/>
      <c r="BF1" s="146"/>
      <c r="BG1" s="146"/>
      <c r="BH1" s="146"/>
      <c r="BI1" s="146"/>
      <c r="BJ1" s="146"/>
      <c r="BK1" s="146"/>
      <c r="BL1" s="146"/>
      <c r="BM1" s="146"/>
      <c r="BN1" s="146"/>
      <c r="BO1" s="146"/>
    </row>
    <row r="2" spans="1:96" ht="27.75" customHeight="1">
      <c r="B2" s="417"/>
      <c r="C2" s="426"/>
      <c r="D2" s="694"/>
      <c r="E2" s="784" t="s">
        <v>260</v>
      </c>
      <c r="F2" s="155" t="str">
        <f>名簿!$Q$9</f>
        <v/>
      </c>
      <c r="G2" s="159"/>
      <c r="H2" s="160"/>
      <c r="I2" s="209" t="s">
        <v>355</v>
      </c>
      <c r="J2" s="324"/>
      <c r="K2" s="324"/>
      <c r="L2" s="324"/>
      <c r="M2" s="324"/>
      <c r="N2" s="324"/>
      <c r="O2" s="583">
        <f>$BB$57</f>
        <v>0</v>
      </c>
      <c r="P2" s="318"/>
      <c r="Q2" s="576"/>
      <c r="R2" s="580"/>
      <c r="S2" s="575"/>
      <c r="T2" s="576" t="s">
        <v>208</v>
      </c>
      <c r="U2" s="158"/>
      <c r="V2" s="577">
        <f>COUNTIF($I$7:$I$56,1)-COUNTIF($BD$7:$BD$56,0)</f>
        <v>0</v>
      </c>
      <c r="W2" s="164"/>
      <c r="X2" s="165"/>
      <c r="Y2" s="166"/>
      <c r="Z2" s="167"/>
      <c r="AA2" s="150"/>
      <c r="AB2" s="154"/>
      <c r="AC2" s="154"/>
      <c r="AD2" s="146"/>
      <c r="AE2" s="155"/>
      <c r="AF2" s="146"/>
      <c r="AG2" s="146"/>
      <c r="AH2" s="146"/>
      <c r="AI2" s="146"/>
      <c r="AJ2" s="146"/>
      <c r="AK2" s="146"/>
      <c r="AL2" s="146"/>
      <c r="AM2" s="146"/>
      <c r="AN2" s="146"/>
      <c r="AO2" s="146"/>
      <c r="AP2" s="146"/>
      <c r="AQ2" s="146"/>
      <c r="AR2" s="146"/>
      <c r="AS2" s="146"/>
      <c r="AT2" s="146"/>
      <c r="AU2" s="412"/>
      <c r="AV2" s="146"/>
      <c r="AW2" s="412"/>
      <c r="AX2" s="146"/>
      <c r="AY2" s="412"/>
      <c r="AZ2" s="146"/>
      <c r="BA2" s="412"/>
      <c r="BB2" s="412"/>
      <c r="BC2" s="146"/>
      <c r="BD2" s="146"/>
      <c r="BE2" s="146"/>
      <c r="BF2" s="146"/>
      <c r="BG2" s="146"/>
      <c r="BH2" s="146"/>
      <c r="BI2" s="146"/>
      <c r="BJ2" s="146"/>
      <c r="BK2" s="146"/>
      <c r="BL2" s="146"/>
      <c r="BM2" s="146"/>
      <c r="BN2" s="146"/>
      <c r="BO2" s="146"/>
    </row>
    <row r="3" spans="1:96" ht="27.75" customHeight="1">
      <c r="B3" s="418"/>
      <c r="C3" s="427"/>
      <c r="D3" s="707"/>
      <c r="E3" s="785" t="s">
        <v>386</v>
      </c>
      <c r="F3" s="157" t="str">
        <f>IF(名簿!$E$5="","",名簿!$E$5)</f>
        <v/>
      </c>
      <c r="G3" s="159"/>
      <c r="H3" s="160"/>
      <c r="I3" s="209" t="s">
        <v>152</v>
      </c>
      <c r="J3" s="324"/>
      <c r="K3" s="324"/>
      <c r="L3" s="324"/>
      <c r="M3" s="324"/>
      <c r="N3" s="324"/>
      <c r="O3" s="583">
        <f ca="1">$CB$38</f>
        <v>0</v>
      </c>
      <c r="P3" s="318"/>
      <c r="Q3" s="576"/>
      <c r="R3" s="580"/>
      <c r="S3" s="575"/>
      <c r="T3" s="576" t="s">
        <v>209</v>
      </c>
      <c r="U3" s="158"/>
      <c r="V3" s="577">
        <f>COUNTIF($I$7:$I$56,2)-COUNTIF($BE$7:$BE$56,0)</f>
        <v>0</v>
      </c>
      <c r="W3" s="164"/>
      <c r="X3" s="165"/>
      <c r="Y3" s="166"/>
      <c r="Z3" s="167"/>
      <c r="AA3" s="150"/>
      <c r="AB3" s="154"/>
      <c r="AC3" s="154"/>
      <c r="AD3" s="146"/>
      <c r="AE3" s="155"/>
      <c r="AF3" s="146"/>
      <c r="AG3" s="146"/>
      <c r="AH3" s="146"/>
      <c r="AI3" s="146"/>
      <c r="AJ3" s="146"/>
      <c r="AK3" s="146"/>
      <c r="AL3" s="146"/>
      <c r="AM3" s="146"/>
      <c r="AN3" s="146"/>
      <c r="AO3" s="146"/>
      <c r="AP3" s="146"/>
      <c r="AQ3" s="146"/>
      <c r="AR3" s="146"/>
      <c r="AS3" s="146"/>
      <c r="AT3" s="146"/>
      <c r="AU3" s="412"/>
      <c r="AV3" s="146"/>
      <c r="AW3" s="412"/>
      <c r="AX3" s="146"/>
      <c r="AY3" s="412"/>
      <c r="AZ3" s="146"/>
      <c r="BA3" s="412"/>
      <c r="BB3" s="412"/>
      <c r="BC3" s="146"/>
      <c r="BD3" s="146"/>
      <c r="BE3" s="146"/>
      <c r="BF3" s="146"/>
      <c r="BG3" s="146"/>
      <c r="BH3" s="146"/>
      <c r="BI3" s="146"/>
      <c r="BJ3" s="146"/>
      <c r="BK3" s="146"/>
      <c r="BL3" s="146"/>
      <c r="BM3" s="146"/>
      <c r="BN3" s="146"/>
      <c r="BO3" s="146"/>
    </row>
    <row r="4" spans="1:96" ht="27.75" customHeight="1" thickBot="1">
      <c r="B4" s="418"/>
      <c r="C4" s="427"/>
      <c r="D4" s="707"/>
      <c r="E4" s="785" t="s">
        <v>387</v>
      </c>
      <c r="F4" s="157" t="str">
        <f>IF(名簿!$I$5="","",名簿!$I$5)</f>
        <v/>
      </c>
      <c r="G4" s="159"/>
      <c r="H4" s="160"/>
      <c r="I4" s="209" t="s">
        <v>153</v>
      </c>
      <c r="J4" s="512"/>
      <c r="K4" s="512"/>
      <c r="L4" s="512"/>
      <c r="M4" s="512"/>
      <c r="N4" s="512"/>
      <c r="O4" s="862">
        <f ca="1">O2*1000+O3*2000+O5*800</f>
        <v>0</v>
      </c>
      <c r="P4" s="862"/>
      <c r="Q4" s="862"/>
      <c r="R4" s="580"/>
      <c r="S4" s="575"/>
      <c r="T4" s="578" t="s">
        <v>241</v>
      </c>
      <c r="U4" s="158"/>
      <c r="V4" s="577">
        <f>V2+V3</f>
        <v>0</v>
      </c>
      <c r="W4" s="164"/>
      <c r="X4" s="165"/>
      <c r="Y4" s="166"/>
      <c r="Z4" s="167"/>
      <c r="AA4" s="150"/>
      <c r="AB4" s="154"/>
      <c r="AC4" s="154"/>
      <c r="AD4" s="146"/>
      <c r="AE4" s="155"/>
      <c r="AF4" s="146"/>
      <c r="AG4" s="146"/>
      <c r="AH4" s="146"/>
      <c r="AI4" s="146"/>
      <c r="AJ4" s="146"/>
      <c r="AK4" s="146"/>
      <c r="AL4" s="146"/>
      <c r="AM4" s="146"/>
      <c r="AN4" s="146"/>
      <c r="AO4" s="146"/>
      <c r="AP4" s="146"/>
      <c r="AQ4" s="146"/>
      <c r="AR4" s="146"/>
      <c r="AS4" s="146"/>
      <c r="AT4" s="146"/>
      <c r="AU4" s="412"/>
      <c r="AV4" s="146"/>
      <c r="AW4" s="412"/>
      <c r="AX4" s="146"/>
      <c r="AY4" s="412"/>
      <c r="AZ4" s="146"/>
      <c r="BA4" s="412"/>
      <c r="BB4" s="412"/>
      <c r="BC4" s="146"/>
      <c r="BD4" s="146"/>
      <c r="BE4" s="146"/>
      <c r="BF4" s="146"/>
      <c r="BG4" s="146"/>
      <c r="BH4" s="146"/>
      <c r="BI4" s="146"/>
      <c r="BJ4" s="146"/>
      <c r="BK4" s="146"/>
      <c r="BL4" s="146"/>
      <c r="BM4" s="146"/>
      <c r="BN4" s="146"/>
      <c r="BO4" s="146"/>
    </row>
    <row r="5" spans="1:96" ht="27.75" customHeight="1" thickBot="1">
      <c r="B5" s="353"/>
      <c r="C5" s="428"/>
      <c r="D5" s="694"/>
      <c r="E5" s="698"/>
      <c r="F5" s="146"/>
      <c r="G5" s="159"/>
      <c r="H5" s="160"/>
      <c r="I5" s="759" t="s">
        <v>491</v>
      </c>
      <c r="J5" s="760"/>
      <c r="K5" s="760"/>
      <c r="L5" s="761"/>
      <c r="M5" s="762"/>
      <c r="N5" s="762"/>
      <c r="O5" s="788"/>
      <c r="P5" s="762"/>
      <c r="Q5" s="763" t="s">
        <v>488</v>
      </c>
      <c r="R5" s="163"/>
      <c r="S5" s="164"/>
      <c r="T5" s="211"/>
      <c r="U5" s="165"/>
      <c r="V5" s="211"/>
      <c r="W5" s="164"/>
      <c r="X5" s="165"/>
      <c r="Y5" s="166"/>
      <c r="Z5" s="167"/>
      <c r="AA5" s="150"/>
      <c r="AB5" s="154"/>
      <c r="AC5" s="154"/>
      <c r="AD5" s="146"/>
      <c r="AE5" s="155"/>
      <c r="AF5" s="146"/>
      <c r="AG5" s="146"/>
      <c r="AH5" s="146"/>
      <c r="AI5" s="146"/>
      <c r="AJ5" s="146"/>
      <c r="AK5" s="146"/>
      <c r="AL5" s="146"/>
      <c r="AM5" s="146"/>
      <c r="AN5" s="146"/>
      <c r="AO5" s="146"/>
      <c r="AP5" s="146"/>
      <c r="AQ5" s="146"/>
      <c r="AR5" s="146"/>
      <c r="AS5" s="146"/>
      <c r="AT5" s="146"/>
      <c r="AU5" s="412"/>
      <c r="AV5" s="146"/>
      <c r="AW5" s="412"/>
      <c r="AX5" s="146"/>
      <c r="AY5" s="412"/>
      <c r="AZ5" s="146"/>
      <c r="BA5" s="412"/>
      <c r="BB5" s="412"/>
      <c r="BC5" s="146"/>
      <c r="BD5" s="146"/>
      <c r="BE5" s="146"/>
      <c r="BF5" s="146"/>
      <c r="BG5" s="146"/>
      <c r="BH5" s="146"/>
      <c r="BI5" s="146"/>
      <c r="BJ5" s="146"/>
      <c r="BK5" s="146"/>
      <c r="BL5" s="146"/>
      <c r="BM5" s="146"/>
      <c r="BN5" s="146"/>
      <c r="BO5" s="146"/>
    </row>
    <row r="6" spans="1:96" s="90" customFormat="1" ht="26.25" customHeight="1" thickBot="1">
      <c r="A6" s="429" t="s">
        <v>14</v>
      </c>
      <c r="B6" s="93" t="s">
        <v>7</v>
      </c>
      <c r="C6" s="429" t="s">
        <v>353</v>
      </c>
      <c r="D6" s="772" t="s">
        <v>561</v>
      </c>
      <c r="E6" s="772" t="s">
        <v>560</v>
      </c>
      <c r="F6" s="142" t="s">
        <v>150</v>
      </c>
      <c r="G6" s="142" t="s">
        <v>11</v>
      </c>
      <c r="H6" s="142" t="s">
        <v>15</v>
      </c>
      <c r="I6" s="142" t="s">
        <v>12</v>
      </c>
      <c r="J6" s="616" t="s">
        <v>399</v>
      </c>
      <c r="K6" s="411" t="s">
        <v>350</v>
      </c>
      <c r="L6" s="377" t="s">
        <v>351</v>
      </c>
      <c r="M6" s="143" t="s">
        <v>13</v>
      </c>
      <c r="N6" s="631" t="s">
        <v>10</v>
      </c>
      <c r="O6" s="395" t="s">
        <v>237</v>
      </c>
      <c r="P6" s="125" t="s">
        <v>146</v>
      </c>
      <c r="Q6" s="378" t="s">
        <v>276</v>
      </c>
      <c r="R6" s="378"/>
      <c r="S6" s="399"/>
      <c r="T6" s="124" t="s">
        <v>238</v>
      </c>
      <c r="U6" s="125" t="s">
        <v>146</v>
      </c>
      <c r="V6" s="126" t="s">
        <v>276</v>
      </c>
      <c r="W6" s="127" t="s">
        <v>145</v>
      </c>
      <c r="X6" s="125" t="s">
        <v>146</v>
      </c>
      <c r="Y6" s="378" t="s">
        <v>147</v>
      </c>
      <c r="Z6" s="378"/>
      <c r="AA6" s="378"/>
      <c r="AB6" s="460" t="s">
        <v>287</v>
      </c>
      <c r="AC6" s="462" t="s">
        <v>146</v>
      </c>
      <c r="AD6" s="379" t="s">
        <v>276</v>
      </c>
      <c r="AE6" s="378"/>
      <c r="AF6" s="378"/>
      <c r="AG6" s="460" t="s">
        <v>278</v>
      </c>
      <c r="AH6" s="92" t="s">
        <v>146</v>
      </c>
      <c r="AI6" s="29" t="s">
        <v>276</v>
      </c>
      <c r="AJ6" s="343"/>
      <c r="AK6" s="343"/>
      <c r="AL6" s="16"/>
      <c r="AM6" s="16"/>
      <c r="AO6" s="239">
        <v>100</v>
      </c>
      <c r="AT6" s="13"/>
      <c r="AU6" s="13"/>
      <c r="AV6" s="13"/>
      <c r="AW6" s="13"/>
      <c r="AX6" s="13"/>
      <c r="AY6" s="237">
        <v>100</v>
      </c>
      <c r="AZ6" s="237">
        <v>100</v>
      </c>
      <c r="BA6" s="238" t="s">
        <v>210</v>
      </c>
      <c r="BB6" s="238" t="s">
        <v>356</v>
      </c>
      <c r="BC6" s="90" t="s">
        <v>236</v>
      </c>
      <c r="BD6" s="90" t="s">
        <v>208</v>
      </c>
      <c r="BE6" s="90" t="s">
        <v>209</v>
      </c>
      <c r="BF6" s="872" t="s">
        <v>218</v>
      </c>
      <c r="BG6" s="873"/>
      <c r="BH6" s="435" t="s">
        <v>492</v>
      </c>
      <c r="BI6" s="447"/>
      <c r="BJ6" s="448" t="s">
        <v>366</v>
      </c>
      <c r="BK6" s="447"/>
      <c r="BL6" s="449" t="s">
        <v>400</v>
      </c>
      <c r="BM6" s="657"/>
      <c r="BN6" s="651" t="s">
        <v>374</v>
      </c>
      <c r="BO6" s="436"/>
      <c r="BP6" s="4"/>
      <c r="BQ6" s="4"/>
      <c r="BR6" s="4"/>
      <c r="BS6" s="4"/>
      <c r="BT6" s="4"/>
      <c r="BU6" s="4"/>
      <c r="BV6" s="4"/>
      <c r="BW6" s="4"/>
      <c r="BX6" s="4"/>
      <c r="BY6" s="4"/>
      <c r="BZ6" s="4"/>
      <c r="CA6" s="4"/>
      <c r="CB6" s="4"/>
      <c r="CC6" s="4"/>
      <c r="CD6" s="103"/>
      <c r="CE6" s="4"/>
      <c r="CF6" s="4"/>
      <c r="CG6" s="4"/>
      <c r="CH6" s="4"/>
      <c r="CI6" s="4"/>
      <c r="CJ6" s="4"/>
      <c r="CK6" s="4"/>
      <c r="CL6" s="4"/>
      <c r="CM6" s="4"/>
      <c r="CN6" s="4"/>
      <c r="CO6" s="4"/>
      <c r="CP6" s="4"/>
      <c r="CQ6" s="4"/>
      <c r="CR6" s="4"/>
    </row>
    <row r="7" spans="1:96" ht="13.5" customHeight="1" thickBot="1">
      <c r="A7" s="5">
        <f>AB7</f>
        <v>0</v>
      </c>
      <c r="B7" s="89" t="str">
        <f>名簿!Q9</f>
        <v/>
      </c>
      <c r="C7" s="5">
        <f>AG7</f>
        <v>0</v>
      </c>
      <c r="D7" s="774">
        <f>名簿!D9</f>
        <v>0</v>
      </c>
      <c r="E7" s="89">
        <f>名簿!E9</f>
        <v>0</v>
      </c>
      <c r="F7" s="782" t="str">
        <f>名簿!BN9</f>
        <v/>
      </c>
      <c r="G7" s="89" t="str">
        <f>名簿!Z9</f>
        <v/>
      </c>
      <c r="H7" s="783" t="str">
        <f t="shared" ref="H7:H56" si="0">F7</f>
        <v/>
      </c>
      <c r="I7" s="680" t="str">
        <f>名簿!O9</f>
        <v/>
      </c>
      <c r="J7" s="681">
        <f>名簿!I9</f>
        <v>0</v>
      </c>
      <c r="K7" s="479">
        <f>名簿!K9</f>
        <v>0</v>
      </c>
      <c r="L7" s="480" t="str">
        <f>名簿!BQ9</f>
        <v>00</v>
      </c>
      <c r="M7" s="89" t="s">
        <v>457</v>
      </c>
      <c r="N7" s="688">
        <v>23</v>
      </c>
      <c r="O7" s="477"/>
      <c r="P7" s="201" t="str">
        <f>IF(O7="","",IF(I7=1,VLOOKUP(O7,男子種目コード!$V$1:$W$5,2,FALSE),IF(I7=2,VLOOKUP(O7,女子種目コード!$V$1:$W$5,2,FALSE))))</f>
        <v/>
      </c>
      <c r="Q7" s="296" t="str">
        <f>IF(O7="","",HLOOKUP(O7,名簿!$AB$8:$BG$58,2,FALSE))</f>
        <v/>
      </c>
      <c r="R7" s="372">
        <v>0</v>
      </c>
      <c r="S7" s="400">
        <v>2</v>
      </c>
      <c r="T7" s="200"/>
      <c r="U7" s="201" t="str">
        <f>IF(T7="","",IF(I7=1,VLOOKUP(T7,男子種目コード!$V$1:$W$5,2,FALSE),IF(I7=2,VLOOKUP(T7,女子種目コード!$V$1:$W$5,2,FALSE))))</f>
        <v/>
      </c>
      <c r="V7" s="296" t="str">
        <f>IF(T7="","",HLOOKUP(T7,名簿!$AB$8:$BG$58,2,FALSE))</f>
        <v/>
      </c>
      <c r="W7" s="461"/>
      <c r="X7" s="25" t="str">
        <f>IF(W7="","",IF(I7=1,VLOOKUP(W7,男子種目コード!$D$2:$E$30,2,FALSE),IF(I7=2,VLOOKUP(W7,女子種目コード!$D$2:$E$30,2,FALSE))))</f>
        <v/>
      </c>
      <c r="Y7" s="458"/>
      <c r="Z7" s="372"/>
      <c r="AA7" s="372"/>
      <c r="AB7" s="459"/>
      <c r="AC7" s="463" t="str">
        <f>IF(AB7="","",IF(I7=1,VLOOKUP(AB7,男子種目コード!$V$1:$W$5,2,FALSE),IF(I7=2,VLOOKUP(AB7,女子種目コード!$V$1:$W$5,2,FALSE))))</f>
        <v/>
      </c>
      <c r="AD7" s="458"/>
      <c r="AE7" s="372">
        <v>0</v>
      </c>
      <c r="AF7" s="634">
        <v>2</v>
      </c>
      <c r="AG7" s="635"/>
      <c r="AH7" s="636" t="str">
        <f>IF(AG7="","",IF(I7=1,VLOOKUP(AG7,男子種目コード!$A$78:$B$81,2,FALSE),IF(I7=2,VLOOKUP(AG7,女子種目コード!$A$78:$B$81,2,FALSE))))</f>
        <v/>
      </c>
      <c r="AI7" s="637"/>
      <c r="AJ7" s="634">
        <v>0</v>
      </c>
      <c r="AK7" s="638">
        <v>2</v>
      </c>
      <c r="AL7" s="354">
        <v>0</v>
      </c>
      <c r="AM7" s="354"/>
      <c r="AN7" s="103"/>
      <c r="AO7" s="421">
        <v>200</v>
      </c>
      <c r="AP7" s="103" t="str">
        <f>IF(O7="","",1)</f>
        <v/>
      </c>
      <c r="AQ7" s="103" t="str">
        <f>IF(T7="","",1)</f>
        <v/>
      </c>
      <c r="AR7" s="103"/>
      <c r="AS7" s="103"/>
      <c r="AT7" s="240" t="str">
        <f>IF(O7="","",1)</f>
        <v/>
      </c>
      <c r="AU7" s="240">
        <f t="shared" ref="AU7:AU56" si="1">IF(OR(AT7=1,T7=""),0,1)</f>
        <v>0</v>
      </c>
      <c r="AV7" s="240">
        <f t="shared" ref="AV7:AV56" si="2">IF(OR(AT7=1,AU7=1,AB7=""),0,1)</f>
        <v>0</v>
      </c>
      <c r="AW7" s="240">
        <f t="shared" ref="AW7:AW56" si="3">IF(OR(AT7=1,AU7=1,AV7=1,AG7=""),0,1)</f>
        <v>0</v>
      </c>
      <c r="AX7" s="240">
        <f>SUM(AT7:AW7)</f>
        <v>0</v>
      </c>
      <c r="AY7" s="237">
        <v>5000</v>
      </c>
      <c r="AZ7" s="237">
        <v>3000</v>
      </c>
      <c r="BA7" s="238" t="s">
        <v>213</v>
      </c>
      <c r="BB7" s="4">
        <f>COUNT(P7,U7)</f>
        <v>0</v>
      </c>
      <c r="BC7" s="4">
        <f>COUNT(P7,U7,AC7,AH7)</f>
        <v>0</v>
      </c>
      <c r="BD7" s="4" t="str">
        <f>IF(I7=1,BC7,"")</f>
        <v/>
      </c>
      <c r="BE7" s="4" t="str">
        <f>IF(I7=2,BC7,"")</f>
        <v/>
      </c>
      <c r="BF7" s="658" t="s">
        <v>208</v>
      </c>
      <c r="BG7" s="659"/>
      <c r="BH7" s="451" t="s">
        <v>239</v>
      </c>
      <c r="BI7" s="589"/>
      <c r="BJ7" s="446" t="s">
        <v>239</v>
      </c>
      <c r="BK7" s="589"/>
      <c r="BL7" s="446" t="s">
        <v>239</v>
      </c>
      <c r="BM7" s="590"/>
      <c r="BN7" s="652" t="s">
        <v>239</v>
      </c>
      <c r="BO7" s="590"/>
    </row>
    <row r="8" spans="1:96" ht="14.25" customHeight="1">
      <c r="A8" s="5">
        <f t="shared" ref="A8:A56" si="4">AB8</f>
        <v>0</v>
      </c>
      <c r="B8" s="18" t="str">
        <f>名簿!Q10</f>
        <v/>
      </c>
      <c r="C8" s="5">
        <f t="shared" ref="C8:C56" si="5">AG8</f>
        <v>0</v>
      </c>
      <c r="D8" s="776">
        <f>名簿!D10</f>
        <v>0</v>
      </c>
      <c r="E8" s="19">
        <f>名簿!E10</f>
        <v>0</v>
      </c>
      <c r="F8" s="205" t="str">
        <f>名簿!BN10</f>
        <v/>
      </c>
      <c r="G8" s="19" t="str">
        <f>名簿!Z10</f>
        <v/>
      </c>
      <c r="H8" s="122" t="str">
        <f t="shared" si="0"/>
        <v/>
      </c>
      <c r="I8" s="361" t="str">
        <f>名簿!O10</f>
        <v/>
      </c>
      <c r="J8" s="385">
        <f>名簿!I10</f>
        <v>0</v>
      </c>
      <c r="K8" s="684">
        <f>名簿!K10</f>
        <v>0</v>
      </c>
      <c r="L8" s="409" t="str">
        <f>名簿!BQ10</f>
        <v>00</v>
      </c>
      <c r="M8" s="19" t="s">
        <v>457</v>
      </c>
      <c r="N8" s="689">
        <v>23</v>
      </c>
      <c r="O8" s="202"/>
      <c r="P8" s="201" t="str">
        <f>IF(O8="","",IF(I8=1,VLOOKUP(O8,男子種目コード!$V$1:$W$5,2,FALSE),IF(I8=2,VLOOKUP(O8,女子種目コード!$V$1:$W$5,2,FALSE))))</f>
        <v/>
      </c>
      <c r="Q8" s="299" t="str">
        <f>IF(O8="","",HLOOKUP(O8,名簿!$AB$8:$BG$58,3,FALSE))</f>
        <v/>
      </c>
      <c r="R8" s="362">
        <v>0</v>
      </c>
      <c r="S8" s="401">
        <v>2</v>
      </c>
      <c r="T8" s="200"/>
      <c r="U8" s="201" t="str">
        <f>IF(T8="","",IF(I8=1,VLOOKUP(T8,男子種目コード!$V$1:$W$5,2,FALSE),IF(I8=2,VLOOKUP(T8,女子種目コード!$V$1:$W$5,2,FALSE))))</f>
        <v/>
      </c>
      <c r="V8" s="299" t="str">
        <f>IF(T8="","",HLOOKUP(T8,名簿!$AB$8:$BG$58,3,FALSE))</f>
        <v/>
      </c>
      <c r="W8" s="204"/>
      <c r="X8" s="205" t="str">
        <f>IF(W8="","",IF(I8=1,VLOOKUP(W8,男子種目コード!$D$2:$E$30,2,FALSE),IF(I8=2,VLOOKUP(W8,女子種目コード!$D$2:$E$30,2,FALSE))))</f>
        <v/>
      </c>
      <c r="Y8" s="454"/>
      <c r="Z8" s="362"/>
      <c r="AA8" s="362"/>
      <c r="AB8" s="459"/>
      <c r="AC8" s="463" t="str">
        <f>IF(AB8="","",IF(I8=1,VLOOKUP(AB8,男子種目コード!$V$1:$W$5,2,FALSE),IF(I8=2,VLOOKUP(AB8,女子種目コード!$V$1:$W$5,2,FALSE))))</f>
        <v/>
      </c>
      <c r="AD8" s="454"/>
      <c r="AE8" s="362">
        <v>0</v>
      </c>
      <c r="AF8" s="362">
        <v>2</v>
      </c>
      <c r="AG8" s="203"/>
      <c r="AH8" s="7" t="str">
        <f>IF(AG8="","",IF(I8=1,VLOOKUP(AG8,男子種目コード!$A$78:$B$81,2,FALSE),IF(I8=2,VLOOKUP(AG8,女子種目コード!$A$78:$B$81,2,FALSE))))</f>
        <v/>
      </c>
      <c r="AI8" s="454"/>
      <c r="AJ8" s="362">
        <v>0</v>
      </c>
      <c r="AK8" s="401">
        <v>2</v>
      </c>
      <c r="AL8" s="354">
        <v>0</v>
      </c>
      <c r="AM8" s="354"/>
      <c r="AN8" s="103"/>
      <c r="AO8" s="421">
        <v>400</v>
      </c>
      <c r="AP8" s="103" t="str">
        <f>IF(O8="","",1)</f>
        <v/>
      </c>
      <c r="AQ8" s="103" t="str">
        <f t="shared" ref="AQ8:AQ56" si="6">IF(T8="","",1)</f>
        <v/>
      </c>
      <c r="AR8" s="103"/>
      <c r="AS8" s="103"/>
      <c r="AT8" s="240" t="str">
        <f t="shared" ref="AT8:AT56" si="7">IF(O8="","",1)</f>
        <v/>
      </c>
      <c r="AU8" s="240">
        <f t="shared" si="1"/>
        <v>0</v>
      </c>
      <c r="AV8" s="240">
        <f t="shared" si="2"/>
        <v>0</v>
      </c>
      <c r="AW8" s="240">
        <f t="shared" si="3"/>
        <v>0</v>
      </c>
      <c r="AX8" s="240">
        <f t="shared" ref="AX8:AX56" si="8">SUM(AT8:AW8)</f>
        <v>0</v>
      </c>
      <c r="AY8" s="237"/>
      <c r="AZ8" s="237"/>
      <c r="BA8" s="238"/>
      <c r="BB8" s="4">
        <f t="shared" ref="BB8:BB56" si="9">COUNT(P8,U8)</f>
        <v>0</v>
      </c>
      <c r="BC8" s="4">
        <f t="shared" ref="BC8:BC56" si="10">COUNT(P8,U8,AC8,AH8)</f>
        <v>0</v>
      </c>
      <c r="BD8" s="4" t="str">
        <f t="shared" ref="BD8:BD56" si="11">IF(I8=1,BC8,"")</f>
        <v/>
      </c>
      <c r="BE8" s="4" t="str">
        <f t="shared" ref="BE8:BE56" si="12">IF(I8=2,BC8,"")</f>
        <v/>
      </c>
      <c r="BF8" s="660">
        <v>100</v>
      </c>
      <c r="BG8" s="661">
        <f>COUNTIF($P$7:$P$56,1)+COUNTIF($U$7:$U$56,1)</f>
        <v>0</v>
      </c>
      <c r="BH8" s="513" t="str">
        <f t="shared" ref="BH8:BO13" ca="1" si="13">IF(ISERROR(BP8),"",BP8)</f>
        <v/>
      </c>
      <c r="BI8" s="514" t="str">
        <f t="shared" ca="1" si="13"/>
        <v/>
      </c>
      <c r="BJ8" s="515" t="str">
        <f t="shared" ca="1" si="13"/>
        <v/>
      </c>
      <c r="BK8" s="514" t="str">
        <f t="shared" ca="1" si="13"/>
        <v/>
      </c>
      <c r="BL8" s="515" t="str">
        <f t="shared" ca="1" si="13"/>
        <v/>
      </c>
      <c r="BM8" s="516" t="str">
        <f t="shared" ca="1" si="13"/>
        <v/>
      </c>
      <c r="BN8" s="653" t="str">
        <f t="shared" ca="1" si="13"/>
        <v/>
      </c>
      <c r="BO8" s="516" t="str">
        <f t="shared" ca="1" si="13"/>
        <v/>
      </c>
      <c r="BP8" s="179" t="e">
        <f ca="1">VLookUpX("男子A",$A$7:$F$56,1,5)</f>
        <v>#N/A</v>
      </c>
      <c r="BQ8" s="179" t="e">
        <f ca="1">VLookUpX("男子A",$A$7:$F$56,1,6)</f>
        <v>#N/A</v>
      </c>
      <c r="BR8" s="179" t="e">
        <f ca="1">VLookUpX("男子A",$C$7:$F$56,1,3)</f>
        <v>#N/A</v>
      </c>
      <c r="BS8" s="179" t="e">
        <f ca="1">VLookUpX("男子A",$C$7:$F$56,1,4)</f>
        <v>#N/A</v>
      </c>
      <c r="BT8" s="179" t="e">
        <f ca="1">VLookUpX("女子A",$A$7:$F$56,1,5)</f>
        <v>#N/A</v>
      </c>
      <c r="BU8" s="179" t="e">
        <f ca="1">VLookUpX("女子A",$A$7:$F$56,1,6)</f>
        <v>#N/A</v>
      </c>
      <c r="BV8" s="179" t="e">
        <f ca="1">VLookUpX("女子A",$C$7:$F$56,1,3)</f>
        <v>#N/A</v>
      </c>
      <c r="BW8" s="179" t="e">
        <f ca="1">VLookUpX("女子A",$C$7:$F$56,1,4)</f>
        <v>#N/A</v>
      </c>
      <c r="BX8" s="4" t="str">
        <f ca="1">IF(BH8="","",1)</f>
        <v/>
      </c>
      <c r="BY8" s="4" t="str">
        <f ca="1">IF(BJ8="","",1)</f>
        <v/>
      </c>
      <c r="BZ8" s="4" t="str">
        <f ca="1">IF(BL8="","",1)</f>
        <v/>
      </c>
      <c r="CA8" s="4" t="str">
        <f ca="1">IF(BN8="","",1)</f>
        <v/>
      </c>
    </row>
    <row r="9" spans="1:96">
      <c r="A9" s="5">
        <f t="shared" si="4"/>
        <v>0</v>
      </c>
      <c r="B9" s="18" t="str">
        <f>名簿!Q11</f>
        <v/>
      </c>
      <c r="C9" s="5">
        <f t="shared" si="5"/>
        <v>0</v>
      </c>
      <c r="D9" s="776" t="str">
        <f>名簿!D11</f>
        <v/>
      </c>
      <c r="E9" s="19">
        <f>名簿!E11</f>
        <v>0</v>
      </c>
      <c r="F9" s="205" t="str">
        <f>名簿!BN11</f>
        <v/>
      </c>
      <c r="G9" s="19" t="str">
        <f>名簿!Z11</f>
        <v/>
      </c>
      <c r="H9" s="122" t="str">
        <f t="shared" si="0"/>
        <v/>
      </c>
      <c r="I9" s="361" t="str">
        <f>名簿!O11</f>
        <v/>
      </c>
      <c r="J9" s="385">
        <f>名簿!I11</f>
        <v>0</v>
      </c>
      <c r="K9" s="684">
        <f>名簿!K11</f>
        <v>0</v>
      </c>
      <c r="L9" s="409" t="str">
        <f>名簿!BQ11</f>
        <v>00</v>
      </c>
      <c r="M9" s="19" t="s">
        <v>457</v>
      </c>
      <c r="N9" s="689">
        <v>23</v>
      </c>
      <c r="O9" s="202"/>
      <c r="P9" s="201" t="str">
        <f>IF(O9="","",IF(I9=1,VLOOKUP(O9,男子種目コード!$V$1:$W$5,2,FALSE),IF(I9=2,VLOOKUP(O9,女子種目コード!$V$1:$W$5,2,FALSE))))</f>
        <v/>
      </c>
      <c r="Q9" s="299" t="str">
        <f>IF(O9="","",HLOOKUP(O9,名簿!$AB$8:$BG$58,4,FALSE))</f>
        <v/>
      </c>
      <c r="R9" s="362">
        <v>0</v>
      </c>
      <c r="S9" s="401">
        <v>2</v>
      </c>
      <c r="T9" s="200"/>
      <c r="U9" s="201" t="str">
        <f>IF(T9="","",IF(I9=1,VLOOKUP(T9,男子種目コード!$V$1:$W$5,2,FALSE),IF(I9=2,VLOOKUP(T9,女子種目コード!$V$1:$W$5,2,FALSE))))</f>
        <v/>
      </c>
      <c r="V9" s="299" t="str">
        <f>IF(T9="","",HLOOKUP(T9,名簿!$AB$8:$BG$58,4,FALSE))</f>
        <v/>
      </c>
      <c r="W9" s="204"/>
      <c r="X9" s="205" t="str">
        <f>IF(W9="","",IF(I9=1,VLOOKUP(W9,男子種目コード!$D$2:$E$30,2,FALSE),IF(I9=2,VLOOKUP(W9,女子種目コード!$D$2:$E$30,2,FALSE))))</f>
        <v/>
      </c>
      <c r="Y9" s="454"/>
      <c r="Z9" s="362"/>
      <c r="AA9" s="362"/>
      <c r="AB9" s="459"/>
      <c r="AC9" s="463" t="str">
        <f>IF(AB9="","",IF(I9=1,VLOOKUP(AB9,男子種目コード!$V$1:$W$5,2,FALSE),IF(I9=2,VLOOKUP(AB9,女子種目コード!$V$1:$W$5,2,FALSE))))</f>
        <v/>
      </c>
      <c r="AD9" s="454"/>
      <c r="AE9" s="362">
        <v>0</v>
      </c>
      <c r="AF9" s="362">
        <v>2</v>
      </c>
      <c r="AG9" s="203"/>
      <c r="AH9" s="7" t="str">
        <f>IF(AG9="","",IF(I9=1,VLOOKUP(AG9,男子種目コード!$A$78:$B$81,2,FALSE),IF(I9=2,VLOOKUP(AG9,女子種目コード!$A$78:$B$81,2,FALSE))))</f>
        <v/>
      </c>
      <c r="AI9" s="454"/>
      <c r="AJ9" s="362">
        <v>0</v>
      </c>
      <c r="AK9" s="401">
        <v>2</v>
      </c>
      <c r="AL9" s="354">
        <v>0</v>
      </c>
      <c r="AM9" s="354"/>
      <c r="AN9" s="103"/>
      <c r="AO9" s="421">
        <v>800</v>
      </c>
      <c r="AP9" s="103" t="str">
        <f t="shared" ref="AP9:AP56" si="14">IF(O9="","",1)</f>
        <v/>
      </c>
      <c r="AQ9" s="103" t="str">
        <f t="shared" si="6"/>
        <v/>
      </c>
      <c r="AR9" s="103"/>
      <c r="AS9" s="103"/>
      <c r="AT9" s="240" t="str">
        <f t="shared" si="7"/>
        <v/>
      </c>
      <c r="AU9" s="240">
        <f t="shared" si="1"/>
        <v>0</v>
      </c>
      <c r="AV9" s="240">
        <f t="shared" si="2"/>
        <v>0</v>
      </c>
      <c r="AW9" s="240">
        <f t="shared" si="3"/>
        <v>0</v>
      </c>
      <c r="AX9" s="240">
        <f t="shared" si="8"/>
        <v>0</v>
      </c>
      <c r="AY9" s="237"/>
      <c r="AZ9" s="237"/>
      <c r="BA9" s="238"/>
      <c r="BB9" s="4">
        <f t="shared" si="9"/>
        <v>0</v>
      </c>
      <c r="BC9" s="4">
        <f t="shared" si="10"/>
        <v>0</v>
      </c>
      <c r="BD9" s="4" t="str">
        <f t="shared" si="11"/>
        <v/>
      </c>
      <c r="BE9" s="4" t="str">
        <f t="shared" si="12"/>
        <v/>
      </c>
      <c r="BF9" s="662">
        <v>5000</v>
      </c>
      <c r="BG9" s="432">
        <f>COUNTIF($P$7:$P$56,3)+COUNTIF($U$7:$U$56,3)</f>
        <v>0</v>
      </c>
      <c r="BH9" s="517" t="str">
        <f t="shared" ca="1" si="13"/>
        <v/>
      </c>
      <c r="BI9" s="518" t="str">
        <f t="shared" ca="1" si="13"/>
        <v/>
      </c>
      <c r="BJ9" s="519" t="str">
        <f t="shared" ca="1" si="13"/>
        <v/>
      </c>
      <c r="BK9" s="518" t="str">
        <f t="shared" ca="1" si="13"/>
        <v/>
      </c>
      <c r="BL9" s="519" t="str">
        <f t="shared" ca="1" si="13"/>
        <v/>
      </c>
      <c r="BM9" s="520" t="str">
        <f t="shared" ca="1" si="13"/>
        <v/>
      </c>
      <c r="BN9" s="654" t="str">
        <f t="shared" ca="1" si="13"/>
        <v/>
      </c>
      <c r="BO9" s="520" t="str">
        <f t="shared" ca="1" si="13"/>
        <v/>
      </c>
      <c r="BP9" s="179" t="e">
        <f ca="1">VLookUpX("男子A",$A$7:$F$56,2,5)</f>
        <v>#N/A</v>
      </c>
      <c r="BQ9" s="179" t="e">
        <f ca="1">VLookUpX("男子A",$A$7:$F$56,2,6)</f>
        <v>#N/A</v>
      </c>
      <c r="BR9" s="179" t="e">
        <f ca="1">VLookUpX("男子A",$C$7:$F$56,2,3)</f>
        <v>#N/A</v>
      </c>
      <c r="BS9" s="179" t="e">
        <f ca="1">VLookUpX("男子A",$C$7:$F$56,2,4)</f>
        <v>#N/A</v>
      </c>
      <c r="BT9" s="179" t="e">
        <f ca="1">VLookUpX("女子A",$A$7:$F$56,2,5)</f>
        <v>#N/A</v>
      </c>
      <c r="BU9" s="179" t="e">
        <f ca="1">VLookUpX("女子A",$A$7:$F$56,2,6)</f>
        <v>#N/A</v>
      </c>
      <c r="BV9" s="179" t="e">
        <f ca="1">VLookUpX("女子A",$C$7:$F$56,2,3)</f>
        <v>#N/A</v>
      </c>
      <c r="BW9" s="179" t="e">
        <f ca="1">VLookUpX("女子A",$C$7:$F$56,2,4)</f>
        <v>#N/A</v>
      </c>
    </row>
    <row r="10" spans="1:96" ht="14.25" thickBot="1">
      <c r="A10" s="5">
        <f t="shared" si="4"/>
        <v>0</v>
      </c>
      <c r="B10" s="18" t="str">
        <f>名簿!Q12</f>
        <v/>
      </c>
      <c r="C10" s="5">
        <f t="shared" si="5"/>
        <v>0</v>
      </c>
      <c r="D10" s="776" t="str">
        <f>名簿!D12</f>
        <v/>
      </c>
      <c r="E10" s="19">
        <f>名簿!E12</f>
        <v>0</v>
      </c>
      <c r="F10" s="205" t="str">
        <f>名簿!BN12</f>
        <v/>
      </c>
      <c r="G10" s="19" t="str">
        <f>名簿!Z12</f>
        <v/>
      </c>
      <c r="H10" s="122" t="str">
        <f t="shared" si="0"/>
        <v/>
      </c>
      <c r="I10" s="361" t="str">
        <f>名簿!O12</f>
        <v/>
      </c>
      <c r="J10" s="385">
        <f>名簿!I12</f>
        <v>0</v>
      </c>
      <c r="K10" s="684">
        <f>名簿!K12</f>
        <v>0</v>
      </c>
      <c r="L10" s="409" t="str">
        <f>名簿!BQ12</f>
        <v>00</v>
      </c>
      <c r="M10" s="19" t="s">
        <v>457</v>
      </c>
      <c r="N10" s="689">
        <v>23</v>
      </c>
      <c r="O10" s="202"/>
      <c r="P10" s="201" t="str">
        <f>IF(O10="","",IF(I10=1,VLOOKUP(O10,男子種目コード!$V$1:$W$5,2,FALSE),IF(I10=2,VLOOKUP(O10,女子種目コード!$V$1:$W$5,2,FALSE))))</f>
        <v/>
      </c>
      <c r="Q10" s="299" t="str">
        <f>IF(O10="","",HLOOKUP(O10,名簿!$AB$8:$BG$58,5,FALSE))</f>
        <v/>
      </c>
      <c r="R10" s="362">
        <v>0</v>
      </c>
      <c r="S10" s="401">
        <v>2</v>
      </c>
      <c r="T10" s="200"/>
      <c r="U10" s="201" t="str">
        <f>IF(T10="","",IF(I10=1,VLOOKUP(T10,男子種目コード!$V$1:$W$5,2,FALSE),IF(I10=2,VLOOKUP(T10,女子種目コード!$V$1:$W$5,2,FALSE))))</f>
        <v/>
      </c>
      <c r="V10" s="299" t="str">
        <f>IF(T10="","",HLOOKUP(T10,名簿!$AB$8:$BG$58,5,FALSE))</f>
        <v/>
      </c>
      <c r="W10" s="204"/>
      <c r="X10" s="205" t="str">
        <f>IF(W10="","",IF(I10=1,VLOOKUP(W10,男子種目コード!$D$2:$E$30,2,FALSE),IF(I10=2,VLOOKUP(W10,女子種目コード!$D$2:$E$30,2,FALSE))))</f>
        <v/>
      </c>
      <c r="Y10" s="454"/>
      <c r="Z10" s="362"/>
      <c r="AA10" s="362"/>
      <c r="AB10" s="459"/>
      <c r="AC10" s="463" t="str">
        <f>IF(AB10="","",IF(I10=1,VLOOKUP(AB10,男子種目コード!$V$1:$W$5,2,FALSE),IF(I10=2,VLOOKUP(AB10,女子種目コード!$V$1:$W$5,2,FALSE))))</f>
        <v/>
      </c>
      <c r="AD10" s="454"/>
      <c r="AE10" s="362">
        <v>0</v>
      </c>
      <c r="AF10" s="362">
        <v>2</v>
      </c>
      <c r="AG10" s="203"/>
      <c r="AH10" s="7" t="str">
        <f>IF(AG10="","",IF(I10=1,VLOOKUP(AG10,男子種目コード!$A$78:$B$81,2,FALSE),IF(I10=2,VLOOKUP(AG10,女子種目コード!$A$78:$B$81,2,FALSE))))</f>
        <v/>
      </c>
      <c r="AI10" s="454"/>
      <c r="AJ10" s="362">
        <v>0</v>
      </c>
      <c r="AK10" s="401">
        <v>2</v>
      </c>
      <c r="AL10" s="354">
        <v>0</v>
      </c>
      <c r="AM10" s="354"/>
      <c r="AN10" s="103"/>
      <c r="AO10" s="421">
        <v>1500</v>
      </c>
      <c r="AP10" s="103" t="str">
        <f t="shared" si="14"/>
        <v/>
      </c>
      <c r="AQ10" s="103" t="str">
        <f t="shared" si="6"/>
        <v/>
      </c>
      <c r="AR10" s="103"/>
      <c r="AS10" s="103"/>
      <c r="AT10" s="240" t="str">
        <f t="shared" si="7"/>
        <v/>
      </c>
      <c r="AU10" s="240">
        <f t="shared" si="1"/>
        <v>0</v>
      </c>
      <c r="AV10" s="240">
        <f t="shared" si="2"/>
        <v>0</v>
      </c>
      <c r="AW10" s="240">
        <f t="shared" si="3"/>
        <v>0</v>
      </c>
      <c r="AX10" s="240">
        <f t="shared" si="8"/>
        <v>0</v>
      </c>
      <c r="AY10" s="237"/>
      <c r="AZ10" s="237"/>
      <c r="BA10" s="238"/>
      <c r="BB10" s="4">
        <f t="shared" si="9"/>
        <v>0</v>
      </c>
      <c r="BC10" s="4">
        <f t="shared" si="10"/>
        <v>0</v>
      </c>
      <c r="BD10" s="4" t="str">
        <f t="shared" si="11"/>
        <v/>
      </c>
      <c r="BE10" s="4" t="str">
        <f t="shared" si="12"/>
        <v/>
      </c>
      <c r="BF10" s="314" t="s">
        <v>241</v>
      </c>
      <c r="BG10" s="663">
        <f>SUM(BG8:BG9)</f>
        <v>0</v>
      </c>
      <c r="BH10" s="517" t="str">
        <f t="shared" ca="1" si="13"/>
        <v/>
      </c>
      <c r="BI10" s="518" t="str">
        <f t="shared" ca="1" si="13"/>
        <v/>
      </c>
      <c r="BJ10" s="519" t="str">
        <f t="shared" ca="1" si="13"/>
        <v/>
      </c>
      <c r="BK10" s="518" t="str">
        <f t="shared" ca="1" si="13"/>
        <v/>
      </c>
      <c r="BL10" s="519" t="str">
        <f t="shared" ca="1" si="13"/>
        <v/>
      </c>
      <c r="BM10" s="520" t="str">
        <f t="shared" ca="1" si="13"/>
        <v/>
      </c>
      <c r="BN10" s="654" t="str">
        <f t="shared" ca="1" si="13"/>
        <v/>
      </c>
      <c r="BO10" s="520" t="str">
        <f t="shared" ca="1" si="13"/>
        <v/>
      </c>
      <c r="BP10" s="179" t="e">
        <f ca="1">VLookUpX("男子A",$A$7:$F$56,3,5)</f>
        <v>#N/A</v>
      </c>
      <c r="BQ10" s="179" t="e">
        <f ca="1">VLookUpX("男子A",$A$7:$F$56,3,6)</f>
        <v>#N/A</v>
      </c>
      <c r="BR10" s="179" t="e">
        <f ca="1">VLookUpX("男子A",$C$7:$F$56,3,3)</f>
        <v>#N/A</v>
      </c>
      <c r="BS10" s="179" t="e">
        <f ca="1">VLookUpX("男子A",$C$7:$F$56,3,4)</f>
        <v>#N/A</v>
      </c>
      <c r="BT10" s="179" t="e">
        <f ca="1">VLookUpX("女子A",$A$7:$F$56,3,5)</f>
        <v>#N/A</v>
      </c>
      <c r="BU10" s="179" t="e">
        <f ca="1">VLookUpX("女子A",$A$7:$F$56,3,6)</f>
        <v>#N/A</v>
      </c>
      <c r="BV10" s="179" t="e">
        <f ca="1">VLookUpX("女子A",$C$7:$F$56,3,3)</f>
        <v>#N/A</v>
      </c>
      <c r="BW10" s="179" t="e">
        <f ca="1">VLookUpX("女子A",$C$7:$F$56,3,4)</f>
        <v>#N/A</v>
      </c>
    </row>
    <row r="11" spans="1:96" ht="13.5" customHeight="1" thickBot="1">
      <c r="A11" s="5">
        <f t="shared" si="4"/>
        <v>0</v>
      </c>
      <c r="B11" s="18" t="str">
        <f>名簿!Q13</f>
        <v/>
      </c>
      <c r="C11" s="5">
        <f t="shared" si="5"/>
        <v>0</v>
      </c>
      <c r="D11" s="776" t="str">
        <f>名簿!D13</f>
        <v/>
      </c>
      <c r="E11" s="19">
        <f>名簿!E13</f>
        <v>0</v>
      </c>
      <c r="F11" s="205" t="str">
        <f>名簿!BN13</f>
        <v/>
      </c>
      <c r="G11" s="19" t="str">
        <f>名簿!Z13</f>
        <v/>
      </c>
      <c r="H11" s="122" t="str">
        <f t="shared" si="0"/>
        <v/>
      </c>
      <c r="I11" s="361" t="str">
        <f>名簿!O13</f>
        <v/>
      </c>
      <c r="J11" s="385">
        <f>名簿!I13</f>
        <v>0</v>
      </c>
      <c r="K11" s="684">
        <f>名簿!K13</f>
        <v>0</v>
      </c>
      <c r="L11" s="409" t="str">
        <f>名簿!BQ13</f>
        <v>00</v>
      </c>
      <c r="M11" s="19" t="s">
        <v>457</v>
      </c>
      <c r="N11" s="689">
        <v>23</v>
      </c>
      <c r="O11" s="202"/>
      <c r="P11" s="201" t="str">
        <f>IF(O11="","",IF(I11=1,VLOOKUP(O11,男子種目コード!$V$1:$W$5,2,FALSE),IF(I11=2,VLOOKUP(O11,女子種目コード!$V$1:$W$5,2,FALSE))))</f>
        <v/>
      </c>
      <c r="Q11" s="299" t="str">
        <f>IF(O11="","",HLOOKUP(O11,名簿!$AB$8:$BG$58,6,FALSE))</f>
        <v/>
      </c>
      <c r="R11" s="362">
        <v>0</v>
      </c>
      <c r="S11" s="401">
        <v>2</v>
      </c>
      <c r="T11" s="200"/>
      <c r="U11" s="201" t="str">
        <f>IF(T11="","",IF(I11=1,VLOOKUP(T11,男子種目コード!$V$1:$W$5,2,FALSE),IF(I11=2,VLOOKUP(T11,女子種目コード!$V$1:$W$5,2,FALSE))))</f>
        <v/>
      </c>
      <c r="V11" s="299" t="str">
        <f>IF(T11="","",HLOOKUP(T11,名簿!$AB$8:$BG$58,6,FALSE))</f>
        <v/>
      </c>
      <c r="W11" s="204"/>
      <c r="X11" s="205" t="str">
        <f>IF(W11="","",IF(I11=1,VLOOKUP(W11,男子種目コード!$D$2:$E$30,2,FALSE),IF(I11=2,VLOOKUP(W11,女子種目コード!$D$2:$E$30,2,FALSE))))</f>
        <v/>
      </c>
      <c r="Y11" s="454"/>
      <c r="Z11" s="362"/>
      <c r="AA11" s="362"/>
      <c r="AB11" s="459"/>
      <c r="AC11" s="463" t="str">
        <f>IF(AB11="","",IF(I11=1,VLOOKUP(AB11,男子種目コード!$V$1:$W$5,2,FALSE),IF(I11=2,VLOOKUP(AB11,女子種目コード!$V$1:$W$5,2,FALSE))))</f>
        <v/>
      </c>
      <c r="AD11" s="454"/>
      <c r="AE11" s="362">
        <v>0</v>
      </c>
      <c r="AF11" s="362">
        <v>2</v>
      </c>
      <c r="AG11" s="203"/>
      <c r="AH11" s="7" t="str">
        <f>IF(AG11="","",IF(I11=1,VLOOKUP(AG11,男子種目コード!$A$78:$B$81,2,FALSE),IF(I11=2,VLOOKUP(AG11,女子種目コード!$A$78:$B$81,2,FALSE))))</f>
        <v/>
      </c>
      <c r="AI11" s="454"/>
      <c r="AJ11" s="362">
        <v>0</v>
      </c>
      <c r="AK11" s="401">
        <v>2</v>
      </c>
      <c r="AL11" s="354">
        <v>0</v>
      </c>
      <c r="AM11" s="354"/>
      <c r="AN11" s="103"/>
      <c r="AO11" s="421">
        <v>5000</v>
      </c>
      <c r="AP11" s="103" t="str">
        <f t="shared" si="14"/>
        <v/>
      </c>
      <c r="AQ11" s="103" t="str">
        <f t="shared" si="6"/>
        <v/>
      </c>
      <c r="AR11" s="103"/>
      <c r="AS11" s="103"/>
      <c r="AT11" s="240" t="str">
        <f t="shared" si="7"/>
        <v/>
      </c>
      <c r="AU11" s="240">
        <f t="shared" si="1"/>
        <v>0</v>
      </c>
      <c r="AV11" s="240">
        <f t="shared" si="2"/>
        <v>0</v>
      </c>
      <c r="AW11" s="240">
        <f t="shared" si="3"/>
        <v>0</v>
      </c>
      <c r="AX11" s="240">
        <f t="shared" si="8"/>
        <v>0</v>
      </c>
      <c r="AY11" s="238"/>
      <c r="AZ11" s="238"/>
      <c r="BA11" s="238"/>
      <c r="BB11" s="4">
        <f t="shared" si="9"/>
        <v>0</v>
      </c>
      <c r="BC11" s="4">
        <f t="shared" si="10"/>
        <v>0</v>
      </c>
      <c r="BD11" s="4" t="str">
        <f t="shared" si="11"/>
        <v/>
      </c>
      <c r="BE11" s="4" t="str">
        <f t="shared" si="12"/>
        <v/>
      </c>
      <c r="BF11" s="307" t="s">
        <v>209</v>
      </c>
      <c r="BG11" s="664"/>
      <c r="BH11" s="517" t="str">
        <f t="shared" ca="1" si="13"/>
        <v/>
      </c>
      <c r="BI11" s="518" t="str">
        <f t="shared" ca="1" si="13"/>
        <v/>
      </c>
      <c r="BJ11" s="519" t="str">
        <f t="shared" ca="1" si="13"/>
        <v/>
      </c>
      <c r="BK11" s="518" t="str">
        <f t="shared" ca="1" si="13"/>
        <v/>
      </c>
      <c r="BL11" s="519" t="str">
        <f t="shared" ca="1" si="13"/>
        <v/>
      </c>
      <c r="BM11" s="520" t="str">
        <f t="shared" ca="1" si="13"/>
        <v/>
      </c>
      <c r="BN11" s="654" t="str">
        <f t="shared" ca="1" si="13"/>
        <v/>
      </c>
      <c r="BO11" s="520" t="str">
        <f t="shared" ca="1" si="13"/>
        <v/>
      </c>
      <c r="BP11" s="179" t="e">
        <f ca="1">VLookUpX("男子A",$A$7:$F$56,4,5)</f>
        <v>#N/A</v>
      </c>
      <c r="BQ11" s="179" t="e">
        <f ca="1">VLookUpX("男子A",$A$7:$F$56,4,6)</f>
        <v>#N/A</v>
      </c>
      <c r="BR11" s="179" t="e">
        <f ca="1">VLookUpX("男子A",$C$7:$F$56,4,3)</f>
        <v>#N/A</v>
      </c>
      <c r="BS11" s="179" t="e">
        <f ca="1">VLookUpX("男子A",$C$7:$F$56,4,4)</f>
        <v>#N/A</v>
      </c>
      <c r="BT11" s="179" t="e">
        <f ca="1">VLookUpX("女子A",$A$7:$F$56,4,5)</f>
        <v>#N/A</v>
      </c>
      <c r="BU11" s="179" t="e">
        <f ca="1">VLookUpX("女子A",$A$7:$F$56,4,6)</f>
        <v>#N/A</v>
      </c>
      <c r="BV11" s="179" t="e">
        <f ca="1">VLookUpX("女子A",$C$7:$F$56,4,3)</f>
        <v>#N/A</v>
      </c>
      <c r="BW11" s="179" t="e">
        <f ca="1">VLookUpX("女子A",$C$7:$F$56,4,4)</f>
        <v>#N/A</v>
      </c>
    </row>
    <row r="12" spans="1:96">
      <c r="A12" s="5">
        <f t="shared" si="4"/>
        <v>0</v>
      </c>
      <c r="B12" s="18" t="str">
        <f>名簿!Q14</f>
        <v/>
      </c>
      <c r="C12" s="5">
        <f t="shared" si="5"/>
        <v>0</v>
      </c>
      <c r="D12" s="776" t="str">
        <f>名簿!D14</f>
        <v/>
      </c>
      <c r="E12" s="19">
        <f>名簿!E14</f>
        <v>0</v>
      </c>
      <c r="F12" s="205" t="str">
        <f>名簿!BN14</f>
        <v/>
      </c>
      <c r="G12" s="19" t="str">
        <f>名簿!Z14</f>
        <v/>
      </c>
      <c r="H12" s="122" t="str">
        <f t="shared" si="0"/>
        <v/>
      </c>
      <c r="I12" s="361" t="str">
        <f>名簿!O14</f>
        <v/>
      </c>
      <c r="J12" s="385">
        <f>名簿!I14</f>
        <v>0</v>
      </c>
      <c r="K12" s="684">
        <f>名簿!K14</f>
        <v>0</v>
      </c>
      <c r="L12" s="409" t="str">
        <f>名簿!BQ14</f>
        <v>00</v>
      </c>
      <c r="M12" s="19" t="s">
        <v>457</v>
      </c>
      <c r="N12" s="689">
        <v>23</v>
      </c>
      <c r="O12" s="202"/>
      <c r="P12" s="201" t="str">
        <f>IF(O12="","",IF(I12=1,VLOOKUP(O12,男子種目コード!$V$1:$W$5,2,FALSE),IF(I12=2,VLOOKUP(O12,女子種目コード!$V$1:$W$5,2,FALSE))))</f>
        <v/>
      </c>
      <c r="Q12" s="299" t="str">
        <f>IF(O12="","",HLOOKUP(O12,名簿!$AB$8:$BG$58,7,FALSE))</f>
        <v/>
      </c>
      <c r="R12" s="362">
        <v>0</v>
      </c>
      <c r="S12" s="401">
        <v>2</v>
      </c>
      <c r="T12" s="200"/>
      <c r="U12" s="201" t="str">
        <f>IF(T12="","",IF(I12=1,VLOOKUP(T12,男子種目コード!$V$1:$W$5,2,FALSE),IF(I12=2,VLOOKUP(T12,女子種目コード!$V$1:$W$5,2,FALSE))))</f>
        <v/>
      </c>
      <c r="V12" s="299" t="str">
        <f>IF(T12="","",HLOOKUP(T12,名簿!$AB$8:$BG$58,7,FALSE))</f>
        <v/>
      </c>
      <c r="W12" s="204"/>
      <c r="X12" s="205" t="str">
        <f>IF(W12="","",IF(I12=1,VLOOKUP(W12,男子種目コード!$D$2:$E$30,2,FALSE),IF(I12=2,VLOOKUP(W12,女子種目コード!$D$2:$E$30,2,FALSE))))</f>
        <v/>
      </c>
      <c r="Y12" s="454"/>
      <c r="Z12" s="362"/>
      <c r="AA12" s="362"/>
      <c r="AB12" s="459"/>
      <c r="AC12" s="463" t="str">
        <f>IF(AB12="","",IF(I12=1,VLOOKUP(AB12,男子種目コード!$V$1:$W$5,2,FALSE),IF(I12=2,VLOOKUP(AB12,女子種目コード!$V$1:$W$5,2,FALSE))))</f>
        <v/>
      </c>
      <c r="AD12" s="454"/>
      <c r="AE12" s="362">
        <v>0</v>
      </c>
      <c r="AF12" s="362">
        <v>2</v>
      </c>
      <c r="AG12" s="203"/>
      <c r="AH12" s="7" t="str">
        <f>IF(AG12="","",IF(I12=1,VLOOKUP(AG12,男子種目コード!$A$78:$B$81,2,FALSE),IF(I12=2,VLOOKUP(AG12,女子種目コード!$A$78:$B$81,2,FALSE))))</f>
        <v/>
      </c>
      <c r="AI12" s="454"/>
      <c r="AJ12" s="362">
        <v>0</v>
      </c>
      <c r="AK12" s="401">
        <v>2</v>
      </c>
      <c r="AL12" s="354">
        <v>0</v>
      </c>
      <c r="AM12" s="354"/>
      <c r="AN12" s="103"/>
      <c r="AO12" s="421">
        <v>10000</v>
      </c>
      <c r="AP12" s="103" t="str">
        <f t="shared" si="14"/>
        <v/>
      </c>
      <c r="AQ12" s="103" t="str">
        <f t="shared" si="6"/>
        <v/>
      </c>
      <c r="AR12" s="103"/>
      <c r="AS12" s="103"/>
      <c r="AT12" s="240" t="str">
        <f t="shared" si="7"/>
        <v/>
      </c>
      <c r="AU12" s="240">
        <f t="shared" si="1"/>
        <v>0</v>
      </c>
      <c r="AV12" s="240">
        <f t="shared" si="2"/>
        <v>0</v>
      </c>
      <c r="AW12" s="240">
        <f t="shared" si="3"/>
        <v>0</v>
      </c>
      <c r="AX12" s="240">
        <f t="shared" si="8"/>
        <v>0</v>
      </c>
      <c r="AY12" s="237"/>
      <c r="AZ12" s="237"/>
      <c r="BA12" s="238"/>
      <c r="BB12" s="4">
        <f t="shared" si="9"/>
        <v>0</v>
      </c>
      <c r="BC12" s="4">
        <f t="shared" si="10"/>
        <v>0</v>
      </c>
      <c r="BD12" s="4" t="str">
        <f t="shared" si="11"/>
        <v/>
      </c>
      <c r="BE12" s="4" t="str">
        <f t="shared" si="12"/>
        <v/>
      </c>
      <c r="BF12" s="665">
        <v>100</v>
      </c>
      <c r="BG12" s="432">
        <f>COUNTIF($P$7:$P$56,5)+COUNTIF($U$7:$U$56,5)</f>
        <v>0</v>
      </c>
      <c r="BH12" s="517" t="str">
        <f t="shared" ca="1" si="13"/>
        <v/>
      </c>
      <c r="BI12" s="518" t="str">
        <f t="shared" ca="1" si="13"/>
        <v/>
      </c>
      <c r="BJ12" s="519" t="str">
        <f t="shared" ca="1" si="13"/>
        <v/>
      </c>
      <c r="BK12" s="518" t="str">
        <f t="shared" ca="1" si="13"/>
        <v/>
      </c>
      <c r="BL12" s="519" t="str">
        <f t="shared" ca="1" si="13"/>
        <v/>
      </c>
      <c r="BM12" s="520" t="str">
        <f t="shared" ca="1" si="13"/>
        <v/>
      </c>
      <c r="BN12" s="654" t="str">
        <f t="shared" ca="1" si="13"/>
        <v/>
      </c>
      <c r="BO12" s="520" t="str">
        <f t="shared" ca="1" si="13"/>
        <v/>
      </c>
      <c r="BP12" s="179" t="e">
        <f ca="1">VLookUpX("男子A",$A$7:$F$56,5,5)</f>
        <v>#N/A</v>
      </c>
      <c r="BQ12" s="179" t="e">
        <f ca="1">VLookUpX("男子A",$A$7:$F$56,5,6)</f>
        <v>#N/A</v>
      </c>
      <c r="BR12" s="179" t="e">
        <f ca="1">VLookUpX("男子A",$C$7:$F$56,5,3)</f>
        <v>#N/A</v>
      </c>
      <c r="BS12" s="179" t="e">
        <f ca="1">VLookUpX("男子A",$C$7:$F$56,5,4)</f>
        <v>#N/A</v>
      </c>
      <c r="BT12" s="179" t="e">
        <f ca="1">VLookUpX("女子A",$A$7:$F$56,5,5)</f>
        <v>#N/A</v>
      </c>
      <c r="BU12" s="179" t="e">
        <f ca="1">VLookUpX("女子A",$A$7:$F$56,5,6)</f>
        <v>#N/A</v>
      </c>
      <c r="BV12" s="179" t="e">
        <f ca="1">VLookUpX("女子A",$C$7:$F$56,5,3)</f>
        <v>#N/A</v>
      </c>
      <c r="BW12" s="179" t="e">
        <f ca="1">VLookUpX("女子A",$C$7:$F$56,5,4)</f>
        <v>#N/A</v>
      </c>
    </row>
    <row r="13" spans="1:96" ht="14.25" thickBot="1">
      <c r="A13" s="5">
        <f t="shared" si="4"/>
        <v>0</v>
      </c>
      <c r="B13" s="18" t="str">
        <f>名簿!Q15</f>
        <v/>
      </c>
      <c r="C13" s="5">
        <f t="shared" si="5"/>
        <v>0</v>
      </c>
      <c r="D13" s="776" t="str">
        <f>名簿!D15</f>
        <v/>
      </c>
      <c r="E13" s="19">
        <f>名簿!E15</f>
        <v>0</v>
      </c>
      <c r="F13" s="205" t="str">
        <f>名簿!BN15</f>
        <v/>
      </c>
      <c r="G13" s="19" t="str">
        <f>名簿!Z15</f>
        <v/>
      </c>
      <c r="H13" s="122" t="str">
        <f t="shared" si="0"/>
        <v/>
      </c>
      <c r="I13" s="361" t="str">
        <f>名簿!O15</f>
        <v/>
      </c>
      <c r="J13" s="385">
        <f>名簿!I15</f>
        <v>0</v>
      </c>
      <c r="K13" s="684">
        <f>名簿!K15</f>
        <v>0</v>
      </c>
      <c r="L13" s="409" t="str">
        <f>名簿!BQ15</f>
        <v>00</v>
      </c>
      <c r="M13" s="19" t="s">
        <v>457</v>
      </c>
      <c r="N13" s="689">
        <v>23</v>
      </c>
      <c r="O13" s="202"/>
      <c r="P13" s="201" t="str">
        <f>IF(O13="","",IF(I13=1,VLOOKUP(O13,男子種目コード!$V$1:$W$5,2,FALSE),IF(I13=2,VLOOKUP(O13,女子種目コード!$V$1:$W$5,2,FALSE))))</f>
        <v/>
      </c>
      <c r="Q13" s="299" t="str">
        <f>IF(O13="","",HLOOKUP(O13,名簿!$AB$8:$BG$58,8,FALSE))</f>
        <v/>
      </c>
      <c r="R13" s="362">
        <v>0</v>
      </c>
      <c r="S13" s="401">
        <v>2</v>
      </c>
      <c r="T13" s="200"/>
      <c r="U13" s="201" t="str">
        <f>IF(T13="","",IF(I13=1,VLOOKUP(T13,男子種目コード!$V$1:$W$5,2,FALSE),IF(I13=2,VLOOKUP(T13,女子種目コード!$V$1:$W$5,2,FALSE))))</f>
        <v/>
      </c>
      <c r="V13" s="299" t="str">
        <f>IF(T13="","",HLOOKUP(T13,名簿!$AB$8:$BG$58,8,FALSE))</f>
        <v/>
      </c>
      <c r="W13" s="204"/>
      <c r="X13" s="205" t="str">
        <f>IF(W13="","",IF(I13=1,VLOOKUP(W13,男子種目コード!$D$2:$E$30,2,FALSE),IF(I13=2,VLOOKUP(W13,女子種目コード!$D$2:$E$30,2,FALSE))))</f>
        <v/>
      </c>
      <c r="Y13" s="454"/>
      <c r="Z13" s="362"/>
      <c r="AA13" s="362"/>
      <c r="AB13" s="459"/>
      <c r="AC13" s="463" t="str">
        <f>IF(AB13="","",IF(I13=1,VLOOKUP(AB13,男子種目コード!$V$1:$W$5,2,FALSE),IF(I13=2,VLOOKUP(AB13,女子種目コード!$V$1:$W$5,2,FALSE))))</f>
        <v/>
      </c>
      <c r="AD13" s="454"/>
      <c r="AE13" s="362">
        <v>0</v>
      </c>
      <c r="AF13" s="362">
        <v>2</v>
      </c>
      <c r="AG13" s="203"/>
      <c r="AH13" s="7" t="str">
        <f>IF(AG13="","",IF(I13=1,VLOOKUP(AG13,男子種目コード!$A$78:$B$81,2,FALSE),IF(I13=2,VLOOKUP(AG13,女子種目コード!$A$78:$B$81,2,FALSE))))</f>
        <v/>
      </c>
      <c r="AI13" s="454"/>
      <c r="AJ13" s="362">
        <v>0</v>
      </c>
      <c r="AK13" s="401">
        <v>2</v>
      </c>
      <c r="AL13" s="354">
        <v>0</v>
      </c>
      <c r="AM13" s="354"/>
      <c r="AN13" s="103"/>
      <c r="AO13" s="422" t="s">
        <v>165</v>
      </c>
      <c r="AP13" s="103" t="str">
        <f t="shared" si="14"/>
        <v/>
      </c>
      <c r="AQ13" s="103" t="str">
        <f t="shared" si="6"/>
        <v/>
      </c>
      <c r="AR13" s="103"/>
      <c r="AS13" s="103"/>
      <c r="AT13" s="240" t="str">
        <f t="shared" si="7"/>
        <v/>
      </c>
      <c r="AU13" s="240">
        <f t="shared" si="1"/>
        <v>0</v>
      </c>
      <c r="AV13" s="240">
        <f t="shared" si="2"/>
        <v>0</v>
      </c>
      <c r="AW13" s="240">
        <f t="shared" si="3"/>
        <v>0</v>
      </c>
      <c r="AX13" s="240">
        <f t="shared" si="8"/>
        <v>0</v>
      </c>
      <c r="AY13" s="237"/>
      <c r="AZ13" s="237"/>
      <c r="BA13" s="238"/>
      <c r="BB13" s="4">
        <f t="shared" si="9"/>
        <v>0</v>
      </c>
      <c r="BC13" s="4">
        <f t="shared" si="10"/>
        <v>0</v>
      </c>
      <c r="BD13" s="4" t="str">
        <f t="shared" si="11"/>
        <v/>
      </c>
      <c r="BE13" s="4" t="str">
        <f t="shared" si="12"/>
        <v/>
      </c>
      <c r="BF13" s="666">
        <v>3000</v>
      </c>
      <c r="BG13" s="432">
        <f>COUNTIF($P$7:$P$56,6)+COUNTIF($U$7:$U$56,6)</f>
        <v>0</v>
      </c>
      <c r="BH13" s="525" t="str">
        <f t="shared" ca="1" si="13"/>
        <v/>
      </c>
      <c r="BI13" s="526" t="str">
        <f t="shared" ca="1" si="13"/>
        <v/>
      </c>
      <c r="BJ13" s="527" t="str">
        <f t="shared" ca="1" si="13"/>
        <v/>
      </c>
      <c r="BK13" s="526" t="str">
        <f t="shared" ca="1" si="13"/>
        <v/>
      </c>
      <c r="BL13" s="527" t="str">
        <f t="shared" ca="1" si="13"/>
        <v/>
      </c>
      <c r="BM13" s="528" t="str">
        <f t="shared" ca="1" si="13"/>
        <v/>
      </c>
      <c r="BN13" s="655" t="str">
        <f t="shared" ca="1" si="13"/>
        <v/>
      </c>
      <c r="BO13" s="524" t="str">
        <f t="shared" ca="1" si="13"/>
        <v/>
      </c>
      <c r="BP13" s="179" t="e">
        <f ca="1">VLookUpX("男子A",$A$7:$F$56,6,5)</f>
        <v>#N/A</v>
      </c>
      <c r="BQ13" s="179" t="e">
        <f ca="1">VLookUpX("男子A",$A$7:$F$56,6,6)</f>
        <v>#N/A</v>
      </c>
      <c r="BR13" s="179" t="e">
        <f ca="1">VLookUpX("男子A",$C$7:$F$56,6,3)</f>
        <v>#N/A</v>
      </c>
      <c r="BS13" s="179" t="e">
        <f ca="1">VLookUpX("男子A",$C$7:$F$56,6,4)</f>
        <v>#N/A</v>
      </c>
      <c r="BT13" s="179" t="e">
        <f ca="1">VLookUpX("女子A",$A$7:$F$56,6,5)</f>
        <v>#N/A</v>
      </c>
      <c r="BU13" s="179" t="e">
        <f ca="1">VLookUpX("女子A",$A$7:$F$56,6,6)</f>
        <v>#N/A</v>
      </c>
      <c r="BV13" s="179" t="e">
        <f ca="1">VLookUpX("女子A",$C$7:$F$56,6,3)</f>
        <v>#N/A</v>
      </c>
      <c r="BW13" s="179" t="e">
        <f ca="1">VLookUpX("女子A",$C$7:$F$56,6,4)</f>
        <v>#N/A</v>
      </c>
    </row>
    <row r="14" spans="1:96" ht="14.25" thickBot="1">
      <c r="A14" s="5">
        <f t="shared" si="4"/>
        <v>0</v>
      </c>
      <c r="B14" s="18" t="str">
        <f>名簿!Q16</f>
        <v/>
      </c>
      <c r="C14" s="5">
        <f t="shared" si="5"/>
        <v>0</v>
      </c>
      <c r="D14" s="776" t="str">
        <f>名簿!D16</f>
        <v/>
      </c>
      <c r="E14" s="19">
        <f>名簿!E16</f>
        <v>0</v>
      </c>
      <c r="F14" s="205" t="str">
        <f>名簿!BN16</f>
        <v/>
      </c>
      <c r="G14" s="19" t="str">
        <f>名簿!Z16</f>
        <v/>
      </c>
      <c r="H14" s="122" t="str">
        <f t="shared" si="0"/>
        <v/>
      </c>
      <c r="I14" s="361" t="str">
        <f>名簿!O16</f>
        <v/>
      </c>
      <c r="J14" s="385">
        <f>名簿!I16</f>
        <v>0</v>
      </c>
      <c r="K14" s="684">
        <f>名簿!K16</f>
        <v>0</v>
      </c>
      <c r="L14" s="409" t="str">
        <f>名簿!BQ16</f>
        <v>00</v>
      </c>
      <c r="M14" s="19" t="s">
        <v>457</v>
      </c>
      <c r="N14" s="689">
        <v>23</v>
      </c>
      <c r="O14" s="202"/>
      <c r="P14" s="201" t="str">
        <f>IF(O14="","",IF(I14=1,VLOOKUP(O14,男子種目コード!$V$1:$W$5,2,FALSE),IF(I14=2,VLOOKUP(O14,女子種目コード!$V$1:$W$5,2,FALSE))))</f>
        <v/>
      </c>
      <c r="Q14" s="299" t="str">
        <f>IF(O14="","",HLOOKUP(O14,名簿!$AB$8:$BG$58,9,FALSE))</f>
        <v/>
      </c>
      <c r="R14" s="362">
        <v>0</v>
      </c>
      <c r="S14" s="401">
        <v>2</v>
      </c>
      <c r="T14" s="200"/>
      <c r="U14" s="201" t="str">
        <f>IF(T14="","",IF(I14=1,VLOOKUP(T14,男子種目コード!$V$1:$W$5,2,FALSE),IF(I14=2,VLOOKUP(T14,女子種目コード!$V$1:$W$5,2,FALSE))))</f>
        <v/>
      </c>
      <c r="V14" s="299" t="str">
        <f>IF(T14="","",HLOOKUP(T14,名簿!$AB$8:$BG$58,9,FALSE))</f>
        <v/>
      </c>
      <c r="W14" s="204"/>
      <c r="X14" s="205" t="str">
        <f>IF(W14="","",IF(I14=1,VLOOKUP(W14,男子種目コード!$D$2:$E$30,2,FALSE),IF(I14=2,VLOOKUP(W14,女子種目コード!$D$2:$E$30,2,FALSE))))</f>
        <v/>
      </c>
      <c r="Y14" s="454"/>
      <c r="Z14" s="362"/>
      <c r="AA14" s="362"/>
      <c r="AB14" s="459"/>
      <c r="AC14" s="463" t="str">
        <f>IF(AB14="","",IF(I14=1,VLOOKUP(AB14,男子種目コード!$V$1:$W$5,2,FALSE),IF(I14=2,VLOOKUP(AB14,女子種目コード!$V$1:$W$5,2,FALSE))))</f>
        <v/>
      </c>
      <c r="AD14" s="454"/>
      <c r="AE14" s="362">
        <v>0</v>
      </c>
      <c r="AF14" s="362">
        <v>2</v>
      </c>
      <c r="AG14" s="203"/>
      <c r="AH14" s="7" t="str">
        <f>IF(AG14="","",IF(I14=1,VLOOKUP(AG14,男子種目コード!$A$78:$B$81,2,FALSE),IF(I14=2,VLOOKUP(AG14,女子種目コード!$A$78:$B$81,2,FALSE))))</f>
        <v/>
      </c>
      <c r="AI14" s="454"/>
      <c r="AJ14" s="362">
        <v>0</v>
      </c>
      <c r="AK14" s="401">
        <v>2</v>
      </c>
      <c r="AL14" s="354">
        <v>0</v>
      </c>
      <c r="AM14" s="354"/>
      <c r="AN14" s="103"/>
      <c r="AO14" s="422" t="s">
        <v>289</v>
      </c>
      <c r="AP14" s="103" t="str">
        <f t="shared" si="14"/>
        <v/>
      </c>
      <c r="AQ14" s="103" t="str">
        <f t="shared" si="6"/>
        <v/>
      </c>
      <c r="AR14" s="103"/>
      <c r="AS14" s="103"/>
      <c r="AT14" s="240" t="str">
        <f t="shared" si="7"/>
        <v/>
      </c>
      <c r="AU14" s="240">
        <f t="shared" si="1"/>
        <v>0</v>
      </c>
      <c r="AV14" s="240">
        <f t="shared" si="2"/>
        <v>0</v>
      </c>
      <c r="AW14" s="240">
        <f t="shared" si="3"/>
        <v>0</v>
      </c>
      <c r="AX14" s="240">
        <f t="shared" si="8"/>
        <v>0</v>
      </c>
      <c r="AY14" s="238"/>
      <c r="AZ14" s="238"/>
      <c r="BA14" s="4"/>
      <c r="BB14" s="4">
        <f t="shared" si="9"/>
        <v>0</v>
      </c>
      <c r="BC14" s="4">
        <f t="shared" si="10"/>
        <v>0</v>
      </c>
      <c r="BD14" s="4" t="str">
        <f t="shared" si="11"/>
        <v/>
      </c>
      <c r="BE14" s="4" t="str">
        <f t="shared" si="12"/>
        <v/>
      </c>
      <c r="BF14" s="315" t="s">
        <v>241</v>
      </c>
      <c r="BG14" s="434">
        <f>SUM(BG12:BG13)</f>
        <v>0</v>
      </c>
      <c r="BH14" s="656"/>
      <c r="BI14" s="624"/>
      <c r="BJ14" s="625"/>
      <c r="BK14" s="624"/>
      <c r="BL14" s="625"/>
      <c r="BM14" s="625"/>
      <c r="BN14" s="620"/>
      <c r="BO14" s="619"/>
    </row>
    <row r="15" spans="1:96">
      <c r="A15" s="5">
        <f t="shared" si="4"/>
        <v>0</v>
      </c>
      <c r="B15" s="18" t="str">
        <f>名簿!Q17</f>
        <v/>
      </c>
      <c r="C15" s="5">
        <f t="shared" si="5"/>
        <v>0</v>
      </c>
      <c r="D15" s="776" t="str">
        <f>名簿!D17</f>
        <v/>
      </c>
      <c r="E15" s="19">
        <f>名簿!E17</f>
        <v>0</v>
      </c>
      <c r="F15" s="205" t="str">
        <f>名簿!BN17</f>
        <v/>
      </c>
      <c r="G15" s="19" t="str">
        <f>名簿!Z17</f>
        <v/>
      </c>
      <c r="H15" s="122" t="str">
        <f t="shared" si="0"/>
        <v/>
      </c>
      <c r="I15" s="361" t="str">
        <f>名簿!O17</f>
        <v/>
      </c>
      <c r="J15" s="385">
        <f>名簿!I17</f>
        <v>0</v>
      </c>
      <c r="K15" s="684">
        <f>名簿!K17</f>
        <v>0</v>
      </c>
      <c r="L15" s="409" t="str">
        <f>名簿!BQ17</f>
        <v>00</v>
      </c>
      <c r="M15" s="19" t="s">
        <v>457</v>
      </c>
      <c r="N15" s="689">
        <v>23</v>
      </c>
      <c r="O15" s="202"/>
      <c r="P15" s="201" t="str">
        <f>IF(O15="","",IF(I15=1,VLOOKUP(O15,男子種目コード!$V$1:$W$5,2,FALSE),IF(I15=2,VLOOKUP(O15,女子種目コード!$V$1:$W$5,2,FALSE))))</f>
        <v/>
      </c>
      <c r="Q15" s="299" t="str">
        <f>IF(O15="","",HLOOKUP(O15,名簿!$AB$8:$BG$58,10,FALSE))</f>
        <v/>
      </c>
      <c r="R15" s="362">
        <v>0</v>
      </c>
      <c r="S15" s="401">
        <v>2</v>
      </c>
      <c r="T15" s="200"/>
      <c r="U15" s="201" t="str">
        <f>IF(T15="","",IF(I15=1,VLOOKUP(T15,男子種目コード!$V$1:$W$5,2,FALSE),IF(I15=2,VLOOKUP(T15,女子種目コード!$V$1:$W$5,2,FALSE))))</f>
        <v/>
      </c>
      <c r="V15" s="299" t="str">
        <f>IF(T15="","",HLOOKUP(T15,名簿!$AB$8:$BG$58,10,FALSE))</f>
        <v/>
      </c>
      <c r="W15" s="204"/>
      <c r="X15" s="205" t="str">
        <f>IF(W15="","",IF(I15=1,VLOOKUP(W15,男子種目コード!$D$2:$E$30,2,FALSE),IF(I15=2,VLOOKUP(W15,女子種目コード!$D$2:$E$30,2,FALSE))))</f>
        <v/>
      </c>
      <c r="Y15" s="454"/>
      <c r="Z15" s="362"/>
      <c r="AA15" s="362"/>
      <c r="AB15" s="459"/>
      <c r="AC15" s="463" t="str">
        <f>IF(AB15="","",IF(I15=1,VLOOKUP(AB15,男子種目コード!$V$1:$W$5,2,FALSE),IF(I15=2,VLOOKUP(AB15,女子種目コード!$V$1:$W$5,2,FALSE))))</f>
        <v/>
      </c>
      <c r="AD15" s="454"/>
      <c r="AE15" s="362">
        <v>0</v>
      </c>
      <c r="AF15" s="362">
        <v>2</v>
      </c>
      <c r="AG15" s="203"/>
      <c r="AH15" s="7" t="str">
        <f>IF(AG15="","",IF(I15=1,VLOOKUP(AG15,男子種目コード!$A$78:$B$81,2,FALSE),IF(I15=2,VLOOKUP(AG15,女子種目コード!$A$78:$B$81,2,FALSE))))</f>
        <v/>
      </c>
      <c r="AI15" s="454"/>
      <c r="AJ15" s="362">
        <v>0</v>
      </c>
      <c r="AK15" s="401">
        <v>2</v>
      </c>
      <c r="AL15" s="354">
        <v>0</v>
      </c>
      <c r="AM15" s="354"/>
      <c r="AN15" s="103"/>
      <c r="AO15" s="422" t="s">
        <v>155</v>
      </c>
      <c r="AP15" s="103" t="str">
        <f t="shared" si="14"/>
        <v/>
      </c>
      <c r="AQ15" s="103" t="str">
        <f t="shared" si="6"/>
        <v/>
      </c>
      <c r="AR15" s="103"/>
      <c r="AS15" s="103"/>
      <c r="AT15" s="240" t="str">
        <f t="shared" si="7"/>
        <v/>
      </c>
      <c r="AU15" s="240">
        <f t="shared" si="1"/>
        <v>0</v>
      </c>
      <c r="AV15" s="240">
        <f t="shared" si="2"/>
        <v>0</v>
      </c>
      <c r="AW15" s="240">
        <f t="shared" si="3"/>
        <v>0</v>
      </c>
      <c r="AX15" s="240">
        <f t="shared" si="8"/>
        <v>0</v>
      </c>
      <c r="AY15" s="238"/>
      <c r="AZ15" s="238"/>
      <c r="BA15" s="4"/>
      <c r="BB15" s="4">
        <f t="shared" si="9"/>
        <v>0</v>
      </c>
      <c r="BC15" s="4">
        <f t="shared" si="10"/>
        <v>0</v>
      </c>
      <c r="BD15" s="4" t="str">
        <f t="shared" si="11"/>
        <v/>
      </c>
      <c r="BE15" s="4" t="str">
        <f t="shared" si="12"/>
        <v/>
      </c>
      <c r="BF15" s="627"/>
      <c r="BG15" s="627"/>
      <c r="BH15" s="622"/>
      <c r="BI15" s="621"/>
      <c r="BJ15" s="622"/>
      <c r="BK15" s="621"/>
      <c r="BL15" s="622"/>
      <c r="BM15" s="621"/>
      <c r="BN15" s="622"/>
      <c r="BO15" s="621"/>
    </row>
    <row r="16" spans="1:96">
      <c r="A16" s="5">
        <f t="shared" si="4"/>
        <v>0</v>
      </c>
      <c r="B16" s="18" t="str">
        <f>名簿!Q18</f>
        <v/>
      </c>
      <c r="C16" s="5">
        <f t="shared" si="5"/>
        <v>0</v>
      </c>
      <c r="D16" s="776" t="str">
        <f>名簿!D18</f>
        <v/>
      </c>
      <c r="E16" s="19">
        <f>名簿!E18</f>
        <v>0</v>
      </c>
      <c r="F16" s="205" t="str">
        <f>名簿!BN18</f>
        <v/>
      </c>
      <c r="G16" s="19" t="str">
        <f>名簿!Z18</f>
        <v/>
      </c>
      <c r="H16" s="122" t="str">
        <f t="shared" si="0"/>
        <v/>
      </c>
      <c r="I16" s="361" t="str">
        <f>名簿!O18</f>
        <v/>
      </c>
      <c r="J16" s="385">
        <f>名簿!I18</f>
        <v>0</v>
      </c>
      <c r="K16" s="684">
        <f>名簿!K18</f>
        <v>0</v>
      </c>
      <c r="L16" s="409" t="str">
        <f>名簿!BQ18</f>
        <v>00</v>
      </c>
      <c r="M16" s="19" t="s">
        <v>457</v>
      </c>
      <c r="N16" s="689">
        <v>23</v>
      </c>
      <c r="O16" s="202"/>
      <c r="P16" s="201" t="str">
        <f>IF(O16="","",IF(I16=1,VLOOKUP(O16,男子種目コード!$V$1:$W$5,2,FALSE),IF(I16=2,VLOOKUP(O16,女子種目コード!$V$1:$W$5,2,FALSE))))</f>
        <v/>
      </c>
      <c r="Q16" s="299" t="str">
        <f>IF(O16="","",HLOOKUP(O16,名簿!$AB$8:$BG$58,11,FALSE))</f>
        <v/>
      </c>
      <c r="R16" s="362">
        <v>0</v>
      </c>
      <c r="S16" s="401">
        <v>2</v>
      </c>
      <c r="T16" s="200"/>
      <c r="U16" s="201" t="str">
        <f>IF(T16="","",IF(I16=1,VLOOKUP(T16,男子種目コード!$V$1:$W$5,2,FALSE),IF(I16=2,VLOOKUP(T16,女子種目コード!$V$1:$W$5,2,FALSE))))</f>
        <v/>
      </c>
      <c r="V16" s="299" t="str">
        <f>IF(T16="","",HLOOKUP(T16,名簿!$AB$8:$BG$58,11,FALSE))</f>
        <v/>
      </c>
      <c r="W16" s="204"/>
      <c r="X16" s="205" t="str">
        <f>IF(W16="","",IF(I16=1,VLOOKUP(W16,男子種目コード!$D$2:$E$30,2,FALSE),IF(I16=2,VLOOKUP(W16,女子種目コード!$D$2:$E$30,2,FALSE))))</f>
        <v/>
      </c>
      <c r="Y16" s="454"/>
      <c r="Z16" s="362"/>
      <c r="AA16" s="362"/>
      <c r="AB16" s="459"/>
      <c r="AC16" s="463" t="str">
        <f>IF(AB16="","",IF(I16=1,VLOOKUP(AB16,男子種目コード!$V$1:$W$5,2,FALSE),IF(I16=2,VLOOKUP(AB16,女子種目コード!$V$1:$W$5,2,FALSE))))</f>
        <v/>
      </c>
      <c r="AD16" s="454"/>
      <c r="AE16" s="362">
        <v>0</v>
      </c>
      <c r="AF16" s="362">
        <v>2</v>
      </c>
      <c r="AG16" s="203"/>
      <c r="AH16" s="7" t="str">
        <f>IF(AG16="","",IF(I16=1,VLOOKUP(AG16,男子種目コード!$A$78:$B$81,2,FALSE),IF(I16=2,VLOOKUP(AG16,女子種目コード!$A$78:$B$81,2,FALSE))))</f>
        <v/>
      </c>
      <c r="AI16" s="454"/>
      <c r="AJ16" s="362">
        <v>0</v>
      </c>
      <c r="AK16" s="401">
        <v>2</v>
      </c>
      <c r="AL16" s="354">
        <v>0</v>
      </c>
      <c r="AM16" s="354"/>
      <c r="AN16" s="103"/>
      <c r="AO16" s="422" t="s">
        <v>291</v>
      </c>
      <c r="AP16" s="103" t="str">
        <f t="shared" si="14"/>
        <v/>
      </c>
      <c r="AQ16" s="103" t="str">
        <f t="shared" si="6"/>
        <v/>
      </c>
      <c r="AR16" s="103"/>
      <c r="AS16" s="103"/>
      <c r="AT16" s="240" t="str">
        <f t="shared" si="7"/>
        <v/>
      </c>
      <c r="AU16" s="240">
        <f t="shared" si="1"/>
        <v>0</v>
      </c>
      <c r="AV16" s="240">
        <f t="shared" si="2"/>
        <v>0</v>
      </c>
      <c r="AW16" s="240">
        <f t="shared" si="3"/>
        <v>0</v>
      </c>
      <c r="AX16" s="240">
        <f t="shared" si="8"/>
        <v>0</v>
      </c>
      <c r="AY16" s="238"/>
      <c r="AZ16" s="238"/>
      <c r="BA16" s="4"/>
      <c r="BB16" s="4">
        <f t="shared" si="9"/>
        <v>0</v>
      </c>
      <c r="BC16" s="4">
        <f t="shared" si="10"/>
        <v>0</v>
      </c>
      <c r="BD16" s="4" t="str">
        <f t="shared" si="11"/>
        <v/>
      </c>
      <c r="BE16" s="4" t="str">
        <f t="shared" si="12"/>
        <v/>
      </c>
      <c r="BF16" s="627"/>
      <c r="BG16" s="627"/>
      <c r="BH16" s="623"/>
      <c r="BI16" s="618"/>
      <c r="BJ16" s="623"/>
      <c r="BK16" s="618"/>
      <c r="BL16" s="623"/>
      <c r="BM16" s="618"/>
      <c r="BN16" s="623"/>
      <c r="BO16" s="618"/>
      <c r="BP16" s="179" t="e">
        <f ca="1">VLookUpX("男子B",$A$7:$F$56,1,5)</f>
        <v>#N/A</v>
      </c>
      <c r="BQ16" s="179" t="e">
        <f ca="1">VLookUpX("男子B",$A$7:$F$56,1,6)</f>
        <v>#N/A</v>
      </c>
      <c r="BR16" s="179" t="e">
        <f ca="1">VLookUpX("男子B",$C$7:$F$56,1,3)</f>
        <v>#N/A</v>
      </c>
      <c r="BS16" s="179" t="e">
        <f ca="1">VLookUpX("男子B",$C$7:$F$56,1,4)</f>
        <v>#N/A</v>
      </c>
      <c r="BT16" s="179" t="e">
        <f ca="1">VLookUpX("女子B",$A$7:$F$56,1,5)</f>
        <v>#N/A</v>
      </c>
      <c r="BU16" s="179" t="e">
        <f ca="1">VLookUpX("女子B",$A$7:$F$56,1,6)</f>
        <v>#N/A</v>
      </c>
      <c r="BV16" s="179" t="e">
        <f ca="1">VLookUpX("女子B",$C$7:$F$56,1,3)</f>
        <v>#N/A</v>
      </c>
      <c r="BW16" s="179" t="e">
        <f ca="1">VLookUpX("女子B",$C$7:$F$56,1,4)</f>
        <v>#N/A</v>
      </c>
      <c r="BX16" s="4" t="str">
        <f>IF(BH16="","",1)</f>
        <v/>
      </c>
      <c r="BY16" s="4" t="str">
        <f>IF(BJ16="","",1)</f>
        <v/>
      </c>
      <c r="BZ16" s="4" t="str">
        <f>IF(BL16="","",1)</f>
        <v/>
      </c>
      <c r="CA16" s="4" t="str">
        <f>IF(BN16="","",1)</f>
        <v/>
      </c>
    </row>
    <row r="17" spans="1:79">
      <c r="A17" s="5">
        <f t="shared" si="4"/>
        <v>0</v>
      </c>
      <c r="B17" s="18" t="str">
        <f>名簿!Q19</f>
        <v/>
      </c>
      <c r="C17" s="5">
        <f t="shared" si="5"/>
        <v>0</v>
      </c>
      <c r="D17" s="776" t="str">
        <f>名簿!D19</f>
        <v/>
      </c>
      <c r="E17" s="19">
        <f>名簿!E19</f>
        <v>0</v>
      </c>
      <c r="F17" s="205" t="str">
        <f>名簿!BN19</f>
        <v/>
      </c>
      <c r="G17" s="19" t="str">
        <f>名簿!Z19</f>
        <v/>
      </c>
      <c r="H17" s="122" t="str">
        <f t="shared" si="0"/>
        <v/>
      </c>
      <c r="I17" s="361" t="str">
        <f>名簿!O19</f>
        <v/>
      </c>
      <c r="J17" s="385">
        <f>名簿!I19</f>
        <v>0</v>
      </c>
      <c r="K17" s="684">
        <f>名簿!K19</f>
        <v>0</v>
      </c>
      <c r="L17" s="409" t="str">
        <f>名簿!BQ19</f>
        <v>00</v>
      </c>
      <c r="M17" s="19" t="s">
        <v>457</v>
      </c>
      <c r="N17" s="689">
        <v>23</v>
      </c>
      <c r="O17" s="202"/>
      <c r="P17" s="201" t="str">
        <f>IF(O17="","",IF(I17=1,VLOOKUP(O17,男子種目コード!$V$1:$W$5,2,FALSE),IF(I17=2,VLOOKUP(O17,女子種目コード!$V$1:$W$5,2,FALSE))))</f>
        <v/>
      </c>
      <c r="Q17" s="299" t="str">
        <f>IF(O17="","",HLOOKUP(O17,名簿!$AB$8:$BG$58,12,FALSE))</f>
        <v/>
      </c>
      <c r="R17" s="362">
        <v>0</v>
      </c>
      <c r="S17" s="401">
        <v>2</v>
      </c>
      <c r="T17" s="200"/>
      <c r="U17" s="201" t="str">
        <f>IF(T17="","",IF(I17=1,VLOOKUP(T17,男子種目コード!$V$1:$W$5,2,FALSE),IF(I17=2,VLOOKUP(T17,女子種目コード!$V$1:$W$5,2,FALSE))))</f>
        <v/>
      </c>
      <c r="V17" s="299" t="str">
        <f>IF(T17="","",HLOOKUP(T17,名簿!$AB$8:$BG$58,12,FALSE))</f>
        <v/>
      </c>
      <c r="W17" s="204"/>
      <c r="X17" s="205" t="str">
        <f>IF(W17="","",IF(I17=1,VLOOKUP(W17,男子種目コード!$D$2:$E$30,2,FALSE),IF(I17=2,VLOOKUP(W17,女子種目コード!$D$2:$E$30,2,FALSE))))</f>
        <v/>
      </c>
      <c r="Y17" s="454"/>
      <c r="Z17" s="362"/>
      <c r="AA17" s="362"/>
      <c r="AB17" s="459"/>
      <c r="AC17" s="463" t="str">
        <f>IF(AB17="","",IF(I17=1,VLOOKUP(AB17,男子種目コード!$V$1:$W$5,2,FALSE),IF(I17=2,VLOOKUP(AB17,女子種目コード!$V$1:$W$5,2,FALSE))))</f>
        <v/>
      </c>
      <c r="AD17" s="454"/>
      <c r="AE17" s="362">
        <v>0</v>
      </c>
      <c r="AF17" s="362">
        <v>2</v>
      </c>
      <c r="AG17" s="203"/>
      <c r="AH17" s="7" t="str">
        <f>IF(AG17="","",IF(I17=1,VLOOKUP(AG17,男子種目コード!$A$78:$B$81,2,FALSE),IF(I17=2,VLOOKUP(AG17,女子種目コード!$A$78:$B$81,2,FALSE))))</f>
        <v/>
      </c>
      <c r="AI17" s="454"/>
      <c r="AJ17" s="362">
        <v>0</v>
      </c>
      <c r="AK17" s="401">
        <v>2</v>
      </c>
      <c r="AL17" s="354">
        <v>0</v>
      </c>
      <c r="AM17" s="354"/>
      <c r="AN17" s="103"/>
      <c r="AO17" s="422" t="s">
        <v>292</v>
      </c>
      <c r="AP17" s="103" t="str">
        <f t="shared" si="14"/>
        <v/>
      </c>
      <c r="AQ17" s="103" t="str">
        <f t="shared" si="6"/>
        <v/>
      </c>
      <c r="AR17" s="103"/>
      <c r="AS17" s="103"/>
      <c r="AT17" s="240" t="str">
        <f t="shared" si="7"/>
        <v/>
      </c>
      <c r="AU17" s="240">
        <f t="shared" si="1"/>
        <v>0</v>
      </c>
      <c r="AV17" s="240">
        <f t="shared" si="2"/>
        <v>0</v>
      </c>
      <c r="AW17" s="240">
        <f t="shared" si="3"/>
        <v>0</v>
      </c>
      <c r="AX17" s="240">
        <f t="shared" si="8"/>
        <v>0</v>
      </c>
      <c r="AY17" s="238"/>
      <c r="AZ17" s="238"/>
      <c r="BA17" s="4"/>
      <c r="BB17" s="4">
        <f t="shared" si="9"/>
        <v>0</v>
      </c>
      <c r="BC17" s="4">
        <f t="shared" si="10"/>
        <v>0</v>
      </c>
      <c r="BD17" s="4" t="str">
        <f t="shared" si="11"/>
        <v/>
      </c>
      <c r="BE17" s="4" t="str">
        <f t="shared" si="12"/>
        <v/>
      </c>
      <c r="BF17" s="627"/>
      <c r="BG17" s="627"/>
      <c r="BH17" s="623"/>
      <c r="BI17" s="618"/>
      <c r="BJ17" s="623"/>
      <c r="BK17" s="618"/>
      <c r="BL17" s="623"/>
      <c r="BM17" s="618"/>
      <c r="BN17" s="623"/>
      <c r="BO17" s="618"/>
      <c r="BP17" s="179" t="e">
        <f ca="1">VLookUpX("男子B",$A$7:$F$56,2,5)</f>
        <v>#N/A</v>
      </c>
      <c r="BQ17" s="179" t="e">
        <f ca="1">VLookUpX("男子B",$A$7:$F$56,2,6)</f>
        <v>#N/A</v>
      </c>
      <c r="BR17" s="179" t="e">
        <f ca="1">VLookUpX("男子B",$C$7:$F$56,2,3)</f>
        <v>#N/A</v>
      </c>
      <c r="BS17" s="179" t="e">
        <f ca="1">VLookUpX("男子B",$C$7:$F$56,2,4)</f>
        <v>#N/A</v>
      </c>
      <c r="BT17" s="179" t="e">
        <f ca="1">VLookUpX("女子B",$A$7:$F$56,2,5)</f>
        <v>#N/A</v>
      </c>
      <c r="BU17" s="179" t="e">
        <f ca="1">VLookUpX("女子B",$A$7:$F$56,2,6)</f>
        <v>#N/A</v>
      </c>
      <c r="BV17" s="179" t="e">
        <f ca="1">VLookUpX("女子B",$C$7:$F$56,2,3)</f>
        <v>#N/A</v>
      </c>
      <c r="BW17" s="179" t="e">
        <f ca="1">VLookUpX("女子B",$C$7:$F$56,2,4)</f>
        <v>#N/A</v>
      </c>
    </row>
    <row r="18" spans="1:79">
      <c r="A18" s="5">
        <f t="shared" si="4"/>
        <v>0</v>
      </c>
      <c r="B18" s="18" t="str">
        <f>名簿!Q20</f>
        <v/>
      </c>
      <c r="C18" s="5">
        <f t="shared" si="5"/>
        <v>0</v>
      </c>
      <c r="D18" s="776" t="str">
        <f>名簿!D20</f>
        <v/>
      </c>
      <c r="E18" s="19">
        <f>名簿!E20</f>
        <v>0</v>
      </c>
      <c r="F18" s="205" t="str">
        <f>名簿!BN20</f>
        <v/>
      </c>
      <c r="G18" s="19" t="str">
        <f>名簿!Z20</f>
        <v/>
      </c>
      <c r="H18" s="122" t="str">
        <f t="shared" si="0"/>
        <v/>
      </c>
      <c r="I18" s="361" t="str">
        <f>名簿!O20</f>
        <v/>
      </c>
      <c r="J18" s="385">
        <f>名簿!I20</f>
        <v>0</v>
      </c>
      <c r="K18" s="684">
        <f>名簿!K20</f>
        <v>0</v>
      </c>
      <c r="L18" s="409" t="str">
        <f>名簿!BQ20</f>
        <v>00</v>
      </c>
      <c r="M18" s="19" t="s">
        <v>457</v>
      </c>
      <c r="N18" s="689">
        <v>23</v>
      </c>
      <c r="O18" s="202"/>
      <c r="P18" s="201" t="str">
        <f>IF(O18="","",IF(I18=1,VLOOKUP(O18,男子種目コード!$V$1:$W$5,2,FALSE),IF(I18=2,VLOOKUP(O18,女子種目コード!$V$1:$W$5,2,FALSE))))</f>
        <v/>
      </c>
      <c r="Q18" s="299" t="str">
        <f>IF(O18="","",HLOOKUP(O18,名簿!$AB$8:$BG$58,13,FALSE))</f>
        <v/>
      </c>
      <c r="R18" s="362">
        <v>0</v>
      </c>
      <c r="S18" s="401">
        <v>2</v>
      </c>
      <c r="T18" s="200"/>
      <c r="U18" s="201" t="str">
        <f>IF(T18="","",IF(I18=1,VLOOKUP(T18,男子種目コード!$V$1:$W$5,2,FALSE),IF(I18=2,VLOOKUP(T18,女子種目コード!$V$1:$W$5,2,FALSE))))</f>
        <v/>
      </c>
      <c r="V18" s="299" t="str">
        <f>IF(T18="","",HLOOKUP(T18,名簿!$AB$8:$BG$58,13,FALSE))</f>
        <v/>
      </c>
      <c r="W18" s="204"/>
      <c r="X18" s="205" t="str">
        <f>IF(W18="","",IF(I18=1,VLOOKUP(W18,男子種目コード!$D$2:$E$30,2,FALSE),IF(I18=2,VLOOKUP(W18,女子種目コード!$D$2:$E$30,2,FALSE))))</f>
        <v/>
      </c>
      <c r="Y18" s="454"/>
      <c r="Z18" s="362"/>
      <c r="AA18" s="362"/>
      <c r="AB18" s="459"/>
      <c r="AC18" s="463" t="str">
        <f>IF(AB18="","",IF(I18=1,VLOOKUP(AB18,男子種目コード!$V$1:$W$5,2,FALSE),IF(I18=2,VLOOKUP(AB18,女子種目コード!$V$1:$W$5,2,FALSE))))</f>
        <v/>
      </c>
      <c r="AD18" s="454"/>
      <c r="AE18" s="362">
        <v>0</v>
      </c>
      <c r="AF18" s="362">
        <v>2</v>
      </c>
      <c r="AG18" s="203"/>
      <c r="AH18" s="7" t="str">
        <f>IF(AG18="","",IF(I18=1,VLOOKUP(AG18,男子種目コード!$A$78:$B$81,2,FALSE),IF(I18=2,VLOOKUP(AG18,女子種目コード!$A$78:$B$81,2,FALSE))))</f>
        <v/>
      </c>
      <c r="AI18" s="454"/>
      <c r="AJ18" s="362">
        <v>0</v>
      </c>
      <c r="AK18" s="401">
        <v>2</v>
      </c>
      <c r="AL18" s="354">
        <v>0</v>
      </c>
      <c r="AM18" s="354"/>
      <c r="AN18" s="103"/>
      <c r="AO18" s="422" t="s">
        <v>35</v>
      </c>
      <c r="AP18" s="103" t="str">
        <f t="shared" si="14"/>
        <v/>
      </c>
      <c r="AQ18" s="103" t="str">
        <f t="shared" si="6"/>
        <v/>
      </c>
      <c r="AR18" s="103"/>
      <c r="AS18" s="103"/>
      <c r="AT18" s="240" t="str">
        <f t="shared" si="7"/>
        <v/>
      </c>
      <c r="AU18" s="240">
        <f t="shared" si="1"/>
        <v>0</v>
      </c>
      <c r="AV18" s="240">
        <f t="shared" si="2"/>
        <v>0</v>
      </c>
      <c r="AW18" s="240">
        <f t="shared" si="3"/>
        <v>0</v>
      </c>
      <c r="AX18" s="240">
        <f t="shared" si="8"/>
        <v>0</v>
      </c>
      <c r="AY18" s="238"/>
      <c r="AZ18" s="238"/>
      <c r="BA18" s="4"/>
      <c r="BB18" s="4">
        <f t="shared" si="9"/>
        <v>0</v>
      </c>
      <c r="BC18" s="4">
        <f t="shared" si="10"/>
        <v>0</v>
      </c>
      <c r="BD18" s="4" t="str">
        <f t="shared" si="11"/>
        <v/>
      </c>
      <c r="BE18" s="4" t="str">
        <f t="shared" si="12"/>
        <v/>
      </c>
      <c r="BF18" s="627"/>
      <c r="BG18" s="627"/>
      <c r="BH18" s="623"/>
      <c r="BI18" s="618"/>
      <c r="BJ18" s="623"/>
      <c r="BK18" s="618"/>
      <c r="BL18" s="623"/>
      <c r="BM18" s="618"/>
      <c r="BN18" s="623"/>
      <c r="BO18" s="618"/>
      <c r="BP18" s="179" t="e">
        <f ca="1">VLookUpX("男子B",$A$7:$F$56,3,5)</f>
        <v>#N/A</v>
      </c>
      <c r="BQ18" s="179" t="e">
        <f ca="1">VLookUpX("男子B",$A$7:$F$56,3,6)</f>
        <v>#N/A</v>
      </c>
      <c r="BR18" s="179" t="e">
        <f ca="1">VLookUpX("男子B",$C$7:$F$56,3,3)</f>
        <v>#N/A</v>
      </c>
      <c r="BS18" s="179" t="e">
        <f ca="1">VLookUpX("男子B",$C$7:$F$56,3,4)</f>
        <v>#N/A</v>
      </c>
      <c r="BT18" s="179" t="e">
        <f ca="1">VLookUpX("女子B",$A$7:$F$56,3,5)</f>
        <v>#N/A</v>
      </c>
      <c r="BU18" s="179" t="e">
        <f ca="1">VLookUpX("女子B",$A$7:$F$56,3,6)</f>
        <v>#N/A</v>
      </c>
      <c r="BV18" s="179" t="e">
        <f ca="1">VLookUpX("女子B",$C$7:$F$56,3,3)</f>
        <v>#N/A</v>
      </c>
      <c r="BW18" s="179" t="e">
        <f ca="1">VLookUpX("女子B",$C$7:$F$56,3,4)</f>
        <v>#N/A</v>
      </c>
    </row>
    <row r="19" spans="1:79">
      <c r="A19" s="5">
        <f t="shared" si="4"/>
        <v>0</v>
      </c>
      <c r="B19" s="18" t="str">
        <f>名簿!Q21</f>
        <v/>
      </c>
      <c r="C19" s="5">
        <f t="shared" si="5"/>
        <v>0</v>
      </c>
      <c r="D19" s="776" t="str">
        <f>名簿!D21</f>
        <v/>
      </c>
      <c r="E19" s="19">
        <f>名簿!E21</f>
        <v>0</v>
      </c>
      <c r="F19" s="205" t="str">
        <f>名簿!BN21</f>
        <v/>
      </c>
      <c r="G19" s="19" t="str">
        <f>名簿!Z21</f>
        <v/>
      </c>
      <c r="H19" s="122" t="str">
        <f t="shared" si="0"/>
        <v/>
      </c>
      <c r="I19" s="361" t="str">
        <f>名簿!O21</f>
        <v/>
      </c>
      <c r="J19" s="385">
        <f>名簿!I21</f>
        <v>0</v>
      </c>
      <c r="K19" s="684">
        <f>名簿!K21</f>
        <v>0</v>
      </c>
      <c r="L19" s="409" t="str">
        <f>名簿!BQ21</f>
        <v>00</v>
      </c>
      <c r="M19" s="19" t="s">
        <v>457</v>
      </c>
      <c r="N19" s="689">
        <v>23</v>
      </c>
      <c r="O19" s="202"/>
      <c r="P19" s="201" t="str">
        <f>IF(O19="","",IF(I19=1,VLOOKUP(O19,男子種目コード!$V$1:$W$5,2,FALSE),IF(I19=2,VLOOKUP(O19,女子種目コード!$V$1:$W$5,2,FALSE))))</f>
        <v/>
      </c>
      <c r="Q19" s="299" t="str">
        <f>IF(O19="","",HLOOKUP(O19,名簿!$AB$8:$BG$58,14,FALSE))</f>
        <v/>
      </c>
      <c r="R19" s="362">
        <v>0</v>
      </c>
      <c r="S19" s="401">
        <v>2</v>
      </c>
      <c r="T19" s="200"/>
      <c r="U19" s="201" t="str">
        <f>IF(T19="","",IF(I19=1,VLOOKUP(T19,男子種目コード!$V$1:$W$5,2,FALSE),IF(I19=2,VLOOKUP(T19,女子種目コード!$V$1:$W$5,2,FALSE))))</f>
        <v/>
      </c>
      <c r="V19" s="299" t="str">
        <f>IF(T19="","",HLOOKUP(T19,名簿!$AB$8:$BG$58,14,FALSE))</f>
        <v/>
      </c>
      <c r="W19" s="204"/>
      <c r="X19" s="205" t="str">
        <f>IF(W19="","",IF(I19=1,VLOOKUP(W19,男子種目コード!$D$2:$E$30,2,FALSE),IF(I19=2,VLOOKUP(W19,女子種目コード!$D$2:$E$30,2,FALSE))))</f>
        <v/>
      </c>
      <c r="Y19" s="454"/>
      <c r="Z19" s="362"/>
      <c r="AA19" s="362"/>
      <c r="AB19" s="459"/>
      <c r="AC19" s="463" t="str">
        <f>IF(AB19="","",IF(I19=1,VLOOKUP(AB19,男子種目コード!$V$1:$W$5,2,FALSE),IF(I19=2,VLOOKUP(AB19,女子種目コード!$V$1:$W$5,2,FALSE))))</f>
        <v/>
      </c>
      <c r="AD19" s="454"/>
      <c r="AE19" s="362">
        <v>0</v>
      </c>
      <c r="AF19" s="362">
        <v>2</v>
      </c>
      <c r="AG19" s="203"/>
      <c r="AH19" s="7" t="str">
        <f>IF(AG19="","",IF(I19=1,VLOOKUP(AG19,男子種目コード!$A$78:$B$81,2,FALSE),IF(I19=2,VLOOKUP(AG19,女子種目コード!$A$78:$B$81,2,FALSE))))</f>
        <v/>
      </c>
      <c r="AI19" s="454"/>
      <c r="AJ19" s="362">
        <v>0</v>
      </c>
      <c r="AK19" s="401">
        <v>2</v>
      </c>
      <c r="AL19" s="354">
        <v>0</v>
      </c>
      <c r="AM19" s="354"/>
      <c r="AN19" s="103"/>
      <c r="AO19" s="422" t="s">
        <v>137</v>
      </c>
      <c r="AP19" s="103" t="str">
        <f t="shared" si="14"/>
        <v/>
      </c>
      <c r="AQ19" s="103" t="str">
        <f t="shared" si="6"/>
        <v/>
      </c>
      <c r="AR19" s="103"/>
      <c r="AS19" s="103"/>
      <c r="AT19" s="240" t="str">
        <f t="shared" si="7"/>
        <v/>
      </c>
      <c r="AU19" s="240">
        <f t="shared" si="1"/>
        <v>0</v>
      </c>
      <c r="AV19" s="240">
        <f t="shared" si="2"/>
        <v>0</v>
      </c>
      <c r="AW19" s="240">
        <f t="shared" si="3"/>
        <v>0</v>
      </c>
      <c r="AX19" s="240">
        <f t="shared" si="8"/>
        <v>0</v>
      </c>
      <c r="AY19" s="238"/>
      <c r="AZ19" s="238"/>
      <c r="BA19" s="4"/>
      <c r="BB19" s="4">
        <f t="shared" si="9"/>
        <v>0</v>
      </c>
      <c r="BC19" s="4">
        <f t="shared" si="10"/>
        <v>0</v>
      </c>
      <c r="BD19" s="4" t="str">
        <f t="shared" si="11"/>
        <v/>
      </c>
      <c r="BE19" s="4" t="str">
        <f t="shared" si="12"/>
        <v/>
      </c>
      <c r="BF19" s="627"/>
      <c r="BG19" s="627"/>
      <c r="BH19" s="623"/>
      <c r="BI19" s="618"/>
      <c r="BJ19" s="623"/>
      <c r="BK19" s="618"/>
      <c r="BL19" s="623"/>
      <c r="BM19" s="618"/>
      <c r="BN19" s="623"/>
      <c r="BO19" s="618"/>
      <c r="BP19" s="179" t="e">
        <f ca="1">VLookUpX("男子B",$A$7:$F$56,4,5)</f>
        <v>#N/A</v>
      </c>
      <c r="BQ19" s="179" t="e">
        <f ca="1">VLookUpX("男子B",$A$7:$F$56,4,6)</f>
        <v>#N/A</v>
      </c>
      <c r="BR19" s="179" t="e">
        <f ca="1">VLookUpX("男子B",$C$7:$F$56,4,3)</f>
        <v>#N/A</v>
      </c>
      <c r="BS19" s="179" t="e">
        <f ca="1">VLookUpX("男子B",$C$7:$F$56,4,4)</f>
        <v>#N/A</v>
      </c>
      <c r="BT19" s="179" t="e">
        <f ca="1">VLookUpX("女子B",$A$7:$F$56,4,5)</f>
        <v>#N/A</v>
      </c>
      <c r="BU19" s="179" t="e">
        <f ca="1">VLookUpX("女子B",$A$7:$F$56,4,6)</f>
        <v>#N/A</v>
      </c>
      <c r="BV19" s="179" t="e">
        <f ca="1">VLookUpX("女子B",$C$7:$F$56,4,3)</f>
        <v>#N/A</v>
      </c>
      <c r="BW19" s="179" t="e">
        <f ca="1">VLookUpX("女子B",$C$7:$F$56,4,4)</f>
        <v>#N/A</v>
      </c>
    </row>
    <row r="20" spans="1:79">
      <c r="A20" s="5">
        <f t="shared" si="4"/>
        <v>0</v>
      </c>
      <c r="B20" s="18" t="str">
        <f>名簿!Q22</f>
        <v/>
      </c>
      <c r="C20" s="5">
        <f t="shared" si="5"/>
        <v>0</v>
      </c>
      <c r="D20" s="776" t="str">
        <f>名簿!D22</f>
        <v/>
      </c>
      <c r="E20" s="19">
        <f>名簿!E22</f>
        <v>0</v>
      </c>
      <c r="F20" s="205" t="str">
        <f>名簿!BN22</f>
        <v/>
      </c>
      <c r="G20" s="19" t="str">
        <f>名簿!Z22</f>
        <v/>
      </c>
      <c r="H20" s="122" t="str">
        <f t="shared" si="0"/>
        <v/>
      </c>
      <c r="I20" s="361" t="str">
        <f>名簿!O22</f>
        <v/>
      </c>
      <c r="J20" s="385">
        <f>名簿!I22</f>
        <v>0</v>
      </c>
      <c r="K20" s="684">
        <f>名簿!K22</f>
        <v>0</v>
      </c>
      <c r="L20" s="409" t="str">
        <f>名簿!BQ22</f>
        <v>00</v>
      </c>
      <c r="M20" s="19" t="s">
        <v>457</v>
      </c>
      <c r="N20" s="689">
        <v>23</v>
      </c>
      <c r="O20" s="202"/>
      <c r="P20" s="201" t="str">
        <f>IF(O20="","",IF(I20=1,VLOOKUP(O20,男子種目コード!$V$1:$W$5,2,FALSE),IF(I20=2,VLOOKUP(O20,女子種目コード!$V$1:$W$5,2,FALSE))))</f>
        <v/>
      </c>
      <c r="Q20" s="299" t="str">
        <f>IF(O20="","",HLOOKUP(O20,名簿!$AB$8:$BG$58,15,FALSE))</f>
        <v/>
      </c>
      <c r="R20" s="362">
        <v>0</v>
      </c>
      <c r="S20" s="401">
        <v>2</v>
      </c>
      <c r="T20" s="200"/>
      <c r="U20" s="201" t="str">
        <f>IF(T20="","",IF(I20=1,VLOOKUP(T20,男子種目コード!$V$1:$W$5,2,FALSE),IF(I20=2,VLOOKUP(T20,女子種目コード!$V$1:$W$5,2,FALSE))))</f>
        <v/>
      </c>
      <c r="V20" s="299" t="str">
        <f>IF(T20="","",HLOOKUP(T20,名簿!$AB$8:$BG$58,15,FALSE))</f>
        <v/>
      </c>
      <c r="W20" s="204"/>
      <c r="X20" s="205" t="str">
        <f>IF(W20="","",IF(I20=1,VLOOKUP(W20,男子種目コード!$D$2:$E$30,2,FALSE),IF(I20=2,VLOOKUP(W20,女子種目コード!$D$2:$E$30,2,FALSE))))</f>
        <v/>
      </c>
      <c r="Y20" s="454"/>
      <c r="Z20" s="362"/>
      <c r="AA20" s="362"/>
      <c r="AB20" s="459"/>
      <c r="AC20" s="463" t="str">
        <f>IF(AB20="","",IF(I20=1,VLOOKUP(AB20,男子種目コード!$V$1:$W$5,2,FALSE),IF(I20=2,VLOOKUP(AB20,女子種目コード!$V$1:$W$5,2,FALSE))))</f>
        <v/>
      </c>
      <c r="AD20" s="454"/>
      <c r="AE20" s="362">
        <v>0</v>
      </c>
      <c r="AF20" s="362">
        <v>2</v>
      </c>
      <c r="AG20" s="203"/>
      <c r="AH20" s="7" t="str">
        <f>IF(AG20="","",IF(I20=1,VLOOKUP(AG20,男子種目コード!$A$78:$B$81,2,FALSE),IF(I20=2,VLOOKUP(AG20,女子種目コード!$A$78:$B$81,2,FALSE))))</f>
        <v/>
      </c>
      <c r="AI20" s="454"/>
      <c r="AJ20" s="362">
        <v>0</v>
      </c>
      <c r="AK20" s="401">
        <v>2</v>
      </c>
      <c r="AL20" s="354">
        <v>0</v>
      </c>
      <c r="AM20" s="354"/>
      <c r="AN20" s="103"/>
      <c r="AO20" s="422" t="s">
        <v>136</v>
      </c>
      <c r="AP20" s="103" t="str">
        <f t="shared" si="14"/>
        <v/>
      </c>
      <c r="AQ20" s="103" t="str">
        <f t="shared" si="6"/>
        <v/>
      </c>
      <c r="AR20" s="103"/>
      <c r="AS20" s="103"/>
      <c r="AT20" s="240" t="str">
        <f t="shared" si="7"/>
        <v/>
      </c>
      <c r="AU20" s="240">
        <f t="shared" si="1"/>
        <v>0</v>
      </c>
      <c r="AV20" s="240">
        <f t="shared" si="2"/>
        <v>0</v>
      </c>
      <c r="AW20" s="240">
        <f t="shared" si="3"/>
        <v>0</v>
      </c>
      <c r="AX20" s="240">
        <f t="shared" si="8"/>
        <v>0</v>
      </c>
      <c r="AY20" s="238"/>
      <c r="AZ20" s="238"/>
      <c r="BA20" s="4"/>
      <c r="BB20" s="4">
        <f t="shared" si="9"/>
        <v>0</v>
      </c>
      <c r="BC20" s="4">
        <f t="shared" si="10"/>
        <v>0</v>
      </c>
      <c r="BD20" s="4" t="str">
        <f t="shared" si="11"/>
        <v/>
      </c>
      <c r="BE20" s="4" t="str">
        <f t="shared" si="12"/>
        <v/>
      </c>
      <c r="BF20" s="627"/>
      <c r="BG20" s="627"/>
      <c r="BH20" s="623"/>
      <c r="BI20" s="618"/>
      <c r="BJ20" s="623"/>
      <c r="BK20" s="618"/>
      <c r="BL20" s="623"/>
      <c r="BM20" s="618"/>
      <c r="BN20" s="623"/>
      <c r="BO20" s="618"/>
      <c r="BP20" s="179" t="e">
        <f ca="1">VLookUpX("男子B",$A$7:$F$56,5,5)</f>
        <v>#N/A</v>
      </c>
      <c r="BQ20" s="179" t="e">
        <f ca="1">VLookUpX("男子B",$A$7:$F$56,5,6)</f>
        <v>#N/A</v>
      </c>
      <c r="BR20" s="179" t="e">
        <f ca="1">VLookUpX("男子B",$C$7:$F$56,5,3)</f>
        <v>#N/A</v>
      </c>
      <c r="BS20" s="179" t="e">
        <f ca="1">VLookUpX("男子B",$C$7:$F$56,5,4)</f>
        <v>#N/A</v>
      </c>
      <c r="BT20" s="179" t="e">
        <f ca="1">VLookUpX("女子B",$A$7:$F$56,5,5)</f>
        <v>#N/A</v>
      </c>
      <c r="BU20" s="179" t="e">
        <f ca="1">VLookUpX("女子B",$A$7:$F$56,5,6)</f>
        <v>#N/A</v>
      </c>
      <c r="BV20" s="179" t="e">
        <f ca="1">VLookUpX("女子B",$C$7:$F$56,5,3)</f>
        <v>#N/A</v>
      </c>
      <c r="BW20" s="179" t="e">
        <f ca="1">VLookUpX("女子B",$C$7:$F$56,5,4)</f>
        <v>#N/A</v>
      </c>
    </row>
    <row r="21" spans="1:79">
      <c r="A21" s="5">
        <f t="shared" si="4"/>
        <v>0</v>
      </c>
      <c r="B21" s="18" t="str">
        <f>名簿!Q23</f>
        <v/>
      </c>
      <c r="C21" s="5">
        <f t="shared" si="5"/>
        <v>0</v>
      </c>
      <c r="D21" s="776" t="str">
        <f>名簿!D23</f>
        <v/>
      </c>
      <c r="E21" s="19">
        <f>名簿!E23</f>
        <v>0</v>
      </c>
      <c r="F21" s="205" t="str">
        <f>名簿!BN23</f>
        <v/>
      </c>
      <c r="G21" s="19" t="str">
        <f>名簿!Z23</f>
        <v/>
      </c>
      <c r="H21" s="122" t="str">
        <f t="shared" si="0"/>
        <v/>
      </c>
      <c r="I21" s="361" t="str">
        <f>名簿!O23</f>
        <v/>
      </c>
      <c r="J21" s="385">
        <f>名簿!I23</f>
        <v>0</v>
      </c>
      <c r="K21" s="684">
        <f>名簿!K23</f>
        <v>0</v>
      </c>
      <c r="L21" s="409" t="str">
        <f>名簿!BQ23</f>
        <v>00</v>
      </c>
      <c r="M21" s="19" t="s">
        <v>457</v>
      </c>
      <c r="N21" s="689">
        <v>23</v>
      </c>
      <c r="O21" s="202"/>
      <c r="P21" s="201" t="str">
        <f>IF(O21="","",IF(I21=1,VLOOKUP(O21,男子種目コード!$V$1:$W$5,2,FALSE),IF(I21=2,VLOOKUP(O21,女子種目コード!$V$1:$W$5,2,FALSE))))</f>
        <v/>
      </c>
      <c r="Q21" s="299" t="str">
        <f>IF(O21="","",HLOOKUP(O21,名簿!$AB$8:$BG$58,16,FALSE))</f>
        <v/>
      </c>
      <c r="R21" s="362">
        <v>0</v>
      </c>
      <c r="S21" s="401">
        <v>2</v>
      </c>
      <c r="T21" s="200"/>
      <c r="U21" s="201" t="str">
        <f>IF(T21="","",IF(I21=1,VLOOKUP(T21,男子種目コード!$V$1:$W$5,2,FALSE),IF(I21=2,VLOOKUP(T21,女子種目コード!$V$1:$W$5,2,FALSE))))</f>
        <v/>
      </c>
      <c r="V21" s="299" t="str">
        <f>IF(T21="","",HLOOKUP(T21,名簿!$AB$8:$BG$58,16,FALSE))</f>
        <v/>
      </c>
      <c r="W21" s="204"/>
      <c r="X21" s="205" t="str">
        <f>IF(W21="","",IF(I21=1,VLOOKUP(W21,男子種目コード!$D$2:$E$30,2,FALSE),IF(I21=2,VLOOKUP(W21,女子種目コード!$D$2:$E$30,2,FALSE))))</f>
        <v/>
      </c>
      <c r="Y21" s="454"/>
      <c r="Z21" s="362"/>
      <c r="AA21" s="362"/>
      <c r="AB21" s="459"/>
      <c r="AC21" s="463" t="str">
        <f>IF(AB21="","",IF(I21=1,VLOOKUP(AB21,男子種目コード!$V$1:$W$5,2,FALSE),IF(I21=2,VLOOKUP(AB21,女子種目コード!$V$1:$W$5,2,FALSE))))</f>
        <v/>
      </c>
      <c r="AD21" s="454"/>
      <c r="AE21" s="362">
        <v>0</v>
      </c>
      <c r="AF21" s="362">
        <v>2</v>
      </c>
      <c r="AG21" s="203"/>
      <c r="AH21" s="7" t="str">
        <f>IF(AG21="","",IF(I21=1,VLOOKUP(AG21,男子種目コード!$A$78:$B$81,2,FALSE),IF(I21=2,VLOOKUP(AG21,女子種目コード!$A$78:$B$81,2,FALSE))))</f>
        <v/>
      </c>
      <c r="AI21" s="454"/>
      <c r="AJ21" s="362">
        <v>0</v>
      </c>
      <c r="AK21" s="401">
        <v>2</v>
      </c>
      <c r="AL21" s="354">
        <v>0</v>
      </c>
      <c r="AM21" s="354"/>
      <c r="AN21" s="103"/>
      <c r="AO21" s="422" t="s">
        <v>141</v>
      </c>
      <c r="AP21" s="103" t="str">
        <f t="shared" si="14"/>
        <v/>
      </c>
      <c r="AQ21" s="103" t="str">
        <f t="shared" si="6"/>
        <v/>
      </c>
      <c r="AR21" s="103"/>
      <c r="AS21" s="103"/>
      <c r="AT21" s="240" t="str">
        <f t="shared" si="7"/>
        <v/>
      </c>
      <c r="AU21" s="240">
        <f t="shared" si="1"/>
        <v>0</v>
      </c>
      <c r="AV21" s="240">
        <f t="shared" si="2"/>
        <v>0</v>
      </c>
      <c r="AW21" s="240">
        <f t="shared" si="3"/>
        <v>0</v>
      </c>
      <c r="AX21" s="240">
        <f t="shared" si="8"/>
        <v>0</v>
      </c>
      <c r="AY21" s="238"/>
      <c r="AZ21" s="238"/>
      <c r="BA21" s="4"/>
      <c r="BB21" s="4">
        <f t="shared" si="9"/>
        <v>0</v>
      </c>
      <c r="BC21" s="4">
        <f t="shared" si="10"/>
        <v>0</v>
      </c>
      <c r="BD21" s="4" t="str">
        <f t="shared" si="11"/>
        <v/>
      </c>
      <c r="BE21" s="4" t="str">
        <f t="shared" si="12"/>
        <v/>
      </c>
      <c r="BF21" s="627"/>
      <c r="BG21" s="627"/>
      <c r="BH21" s="623"/>
      <c r="BI21" s="618"/>
      <c r="BJ21" s="623"/>
      <c r="BK21" s="618"/>
      <c r="BL21" s="623"/>
      <c r="BM21" s="618"/>
      <c r="BN21" s="623"/>
      <c r="BO21" s="618"/>
      <c r="BP21" s="179" t="e">
        <f ca="1">VLookUpX("男子B",$A$7:$F$56,6,5)</f>
        <v>#N/A</v>
      </c>
      <c r="BQ21" s="179" t="e">
        <f ca="1">VLookUpX("男子B",$A$7:$F$56,6,6)</f>
        <v>#N/A</v>
      </c>
      <c r="BR21" s="179" t="e">
        <f ca="1">VLookUpX("男子B",$C$7:$F$56,6,3)</f>
        <v>#N/A</v>
      </c>
      <c r="BS21" s="179" t="e">
        <f ca="1">VLookUpX("男子B",$C$7:$F$56,6,4)</f>
        <v>#N/A</v>
      </c>
      <c r="BT21" s="179" t="e">
        <f ca="1">VLookUpX("女子B",$A$7:$F$56,6,5)</f>
        <v>#N/A</v>
      </c>
      <c r="BU21" s="179" t="e">
        <f ca="1">VLookUpX("女子B",$A$7:$F$56,6,6)</f>
        <v>#N/A</v>
      </c>
      <c r="BV21" s="179" t="e">
        <f ca="1">VLookUpX("女子B",$C$7:$F$56,6,3)</f>
        <v>#N/A</v>
      </c>
      <c r="BW21" s="179" t="e">
        <f ca="1">VLookUpX("女子B",$C$7:$F$56,6,4)</f>
        <v>#N/A</v>
      </c>
    </row>
    <row r="22" spans="1:79">
      <c r="A22" s="5">
        <f t="shared" si="4"/>
        <v>0</v>
      </c>
      <c r="B22" s="18" t="str">
        <f>名簿!Q24</f>
        <v/>
      </c>
      <c r="C22" s="5">
        <f t="shared" si="5"/>
        <v>0</v>
      </c>
      <c r="D22" s="776" t="str">
        <f>名簿!D24</f>
        <v/>
      </c>
      <c r="E22" s="19">
        <f>名簿!E24</f>
        <v>0</v>
      </c>
      <c r="F22" s="205" t="str">
        <f>名簿!BN24</f>
        <v/>
      </c>
      <c r="G22" s="19" t="str">
        <f>名簿!Z24</f>
        <v/>
      </c>
      <c r="H22" s="122" t="str">
        <f t="shared" si="0"/>
        <v/>
      </c>
      <c r="I22" s="361" t="str">
        <f>名簿!O24</f>
        <v/>
      </c>
      <c r="J22" s="385">
        <f>名簿!I24</f>
        <v>0</v>
      </c>
      <c r="K22" s="684">
        <f>名簿!K24</f>
        <v>0</v>
      </c>
      <c r="L22" s="409" t="str">
        <f>名簿!BQ24</f>
        <v>00</v>
      </c>
      <c r="M22" s="19" t="s">
        <v>457</v>
      </c>
      <c r="N22" s="689">
        <v>23</v>
      </c>
      <c r="O22" s="202"/>
      <c r="P22" s="201" t="str">
        <f>IF(O22="","",IF(I22=1,VLOOKUP(O22,男子種目コード!$V$1:$W$5,2,FALSE),IF(I22=2,VLOOKUP(O22,女子種目コード!$V$1:$W$5,2,FALSE))))</f>
        <v/>
      </c>
      <c r="Q22" s="299" t="str">
        <f>IF(O22="","",HLOOKUP(O22,名簿!$AB$8:$BG$58,17,FALSE))</f>
        <v/>
      </c>
      <c r="R22" s="362">
        <v>0</v>
      </c>
      <c r="S22" s="401">
        <v>2</v>
      </c>
      <c r="T22" s="200"/>
      <c r="U22" s="201" t="str">
        <f>IF(T22="","",IF(I22=1,VLOOKUP(T22,男子種目コード!$V$1:$W$5,2,FALSE),IF(I22=2,VLOOKUP(T22,女子種目コード!$V$1:$W$5,2,FALSE))))</f>
        <v/>
      </c>
      <c r="V22" s="299" t="str">
        <f>IF(T22="","",HLOOKUP(T22,名簿!$AB$8:$BG$58,17,FALSE))</f>
        <v/>
      </c>
      <c r="W22" s="204"/>
      <c r="X22" s="205" t="str">
        <f>IF(W22="","",IF(I22=1,VLOOKUP(W22,男子種目コード!$D$2:$E$30,2,FALSE),IF(I22=2,VLOOKUP(W22,女子種目コード!$D$2:$E$30,2,FALSE))))</f>
        <v/>
      </c>
      <c r="Y22" s="454"/>
      <c r="Z22" s="362"/>
      <c r="AA22" s="362"/>
      <c r="AB22" s="459"/>
      <c r="AC22" s="463" t="str">
        <f>IF(AB22="","",IF(I22=1,VLOOKUP(AB22,男子種目コード!$V$1:$W$5,2,FALSE),IF(I22=2,VLOOKUP(AB22,女子種目コード!$V$1:$W$5,2,FALSE))))</f>
        <v/>
      </c>
      <c r="AD22" s="454"/>
      <c r="AE22" s="362">
        <v>0</v>
      </c>
      <c r="AF22" s="362">
        <v>2</v>
      </c>
      <c r="AG22" s="203"/>
      <c r="AH22" s="7" t="str">
        <f>IF(AG22="","",IF(I22=1,VLOOKUP(AG22,男子種目コード!$A$78:$B$81,2,FALSE),IF(I22=2,VLOOKUP(AG22,女子種目コード!$A$78:$B$81,2,FALSE))))</f>
        <v/>
      </c>
      <c r="AI22" s="454"/>
      <c r="AJ22" s="362">
        <v>0</v>
      </c>
      <c r="AK22" s="401">
        <v>2</v>
      </c>
      <c r="AL22" s="354">
        <v>0</v>
      </c>
      <c r="AM22" s="354"/>
      <c r="AN22" s="103"/>
      <c r="AO22" s="422" t="s">
        <v>142</v>
      </c>
      <c r="AP22" s="103" t="str">
        <f t="shared" si="14"/>
        <v/>
      </c>
      <c r="AQ22" s="103" t="str">
        <f t="shared" si="6"/>
        <v/>
      </c>
      <c r="AR22" s="103"/>
      <c r="AS22" s="103"/>
      <c r="AT22" s="240" t="str">
        <f t="shared" si="7"/>
        <v/>
      </c>
      <c r="AU22" s="240">
        <f t="shared" si="1"/>
        <v>0</v>
      </c>
      <c r="AV22" s="240">
        <f t="shared" si="2"/>
        <v>0</v>
      </c>
      <c r="AW22" s="240">
        <f t="shared" si="3"/>
        <v>0</v>
      </c>
      <c r="AX22" s="240">
        <f t="shared" si="8"/>
        <v>0</v>
      </c>
      <c r="AY22" s="238"/>
      <c r="AZ22" s="238"/>
      <c r="BA22" s="4"/>
      <c r="BB22" s="4">
        <f t="shared" si="9"/>
        <v>0</v>
      </c>
      <c r="BC22" s="4">
        <f t="shared" si="10"/>
        <v>0</v>
      </c>
      <c r="BD22" s="4" t="str">
        <f t="shared" si="11"/>
        <v/>
      </c>
      <c r="BE22" s="4" t="str">
        <f t="shared" si="12"/>
        <v/>
      </c>
      <c r="BF22" s="627"/>
      <c r="BG22" s="627"/>
      <c r="BH22" s="625"/>
      <c r="BI22" s="624"/>
      <c r="BJ22" s="625"/>
      <c r="BK22" s="624"/>
      <c r="BL22" s="625"/>
      <c r="BM22" s="625"/>
      <c r="BN22" s="625"/>
      <c r="BO22" s="624"/>
    </row>
    <row r="23" spans="1:79">
      <c r="A23" s="5">
        <f t="shared" si="4"/>
        <v>0</v>
      </c>
      <c r="B23" s="18" t="str">
        <f>名簿!Q25</f>
        <v/>
      </c>
      <c r="C23" s="5">
        <f t="shared" si="5"/>
        <v>0</v>
      </c>
      <c r="D23" s="776" t="str">
        <f>名簿!D25</f>
        <v/>
      </c>
      <c r="E23" s="19">
        <f>名簿!E25</f>
        <v>0</v>
      </c>
      <c r="F23" s="205" t="str">
        <f>名簿!BN25</f>
        <v/>
      </c>
      <c r="G23" s="19" t="str">
        <f>名簿!Z25</f>
        <v/>
      </c>
      <c r="H23" s="122" t="str">
        <f t="shared" si="0"/>
        <v/>
      </c>
      <c r="I23" s="361" t="str">
        <f>名簿!O25</f>
        <v/>
      </c>
      <c r="J23" s="385">
        <f>名簿!I25</f>
        <v>0</v>
      </c>
      <c r="K23" s="684">
        <f>名簿!K25</f>
        <v>0</v>
      </c>
      <c r="L23" s="409" t="str">
        <f>名簿!BQ25</f>
        <v>00</v>
      </c>
      <c r="M23" s="19" t="s">
        <v>457</v>
      </c>
      <c r="N23" s="689">
        <v>23</v>
      </c>
      <c r="O23" s="202"/>
      <c r="P23" s="201" t="str">
        <f>IF(O23="","",IF(I23=1,VLOOKUP(O23,男子種目コード!$V$1:$W$5,2,FALSE),IF(I23=2,VLOOKUP(O23,女子種目コード!$V$1:$W$5,2,FALSE))))</f>
        <v/>
      </c>
      <c r="Q23" s="299" t="str">
        <f>IF(O23="","",HLOOKUP(O23,名簿!$AB$8:$BG$58,18,FALSE))</f>
        <v/>
      </c>
      <c r="R23" s="362">
        <v>0</v>
      </c>
      <c r="S23" s="401">
        <v>2</v>
      </c>
      <c r="T23" s="200"/>
      <c r="U23" s="201" t="str">
        <f>IF(T23="","",IF(I23=1,VLOOKUP(T23,男子種目コード!$V$1:$W$5,2,FALSE),IF(I23=2,VLOOKUP(T23,女子種目コード!$V$1:$W$5,2,FALSE))))</f>
        <v/>
      </c>
      <c r="V23" s="299" t="str">
        <f>IF(T23="","",HLOOKUP(T23,名簿!$AB$8:$BG$58,18,FALSE))</f>
        <v/>
      </c>
      <c r="W23" s="204"/>
      <c r="X23" s="205" t="str">
        <f>IF(W23="","",IF(I23=1,VLOOKUP(W23,男子種目コード!$D$2:$E$30,2,FALSE),IF(I23=2,VLOOKUP(W23,女子種目コード!$D$2:$E$30,2,FALSE))))</f>
        <v/>
      </c>
      <c r="Y23" s="454"/>
      <c r="Z23" s="362"/>
      <c r="AA23" s="362"/>
      <c r="AB23" s="459"/>
      <c r="AC23" s="463" t="str">
        <f>IF(AB23="","",IF(I23=1,VLOOKUP(AB23,男子種目コード!$V$1:$W$5,2,FALSE),IF(I23=2,VLOOKUP(AB23,女子種目コード!$V$1:$W$5,2,FALSE))))</f>
        <v/>
      </c>
      <c r="AD23" s="454"/>
      <c r="AE23" s="362">
        <v>0</v>
      </c>
      <c r="AF23" s="362">
        <v>2</v>
      </c>
      <c r="AG23" s="203"/>
      <c r="AH23" s="7" t="str">
        <f>IF(AG23="","",IF(I23=1,VLOOKUP(AG23,男子種目コード!$A$78:$B$81,2,FALSE),IF(I23=2,VLOOKUP(AG23,女子種目コード!$A$78:$B$81,2,FALSE))))</f>
        <v/>
      </c>
      <c r="AI23" s="454"/>
      <c r="AJ23" s="362">
        <v>0</v>
      </c>
      <c r="AK23" s="401">
        <v>2</v>
      </c>
      <c r="AL23" s="354">
        <v>0</v>
      </c>
      <c r="AM23" s="354"/>
      <c r="AN23" s="103"/>
      <c r="AO23" s="422" t="s">
        <v>138</v>
      </c>
      <c r="AP23" s="103" t="str">
        <f t="shared" si="14"/>
        <v/>
      </c>
      <c r="AQ23" s="103" t="str">
        <f t="shared" si="6"/>
        <v/>
      </c>
      <c r="AR23" s="103"/>
      <c r="AS23" s="103"/>
      <c r="AT23" s="240" t="str">
        <f t="shared" si="7"/>
        <v/>
      </c>
      <c r="AU23" s="240">
        <f t="shared" si="1"/>
        <v>0</v>
      </c>
      <c r="AV23" s="240">
        <f t="shared" si="2"/>
        <v>0</v>
      </c>
      <c r="AW23" s="240">
        <f t="shared" si="3"/>
        <v>0</v>
      </c>
      <c r="AX23" s="240">
        <f t="shared" si="8"/>
        <v>0</v>
      </c>
      <c r="AY23" s="238"/>
      <c r="AZ23" s="238"/>
      <c r="BA23" s="4"/>
      <c r="BB23" s="4">
        <f t="shared" si="9"/>
        <v>0</v>
      </c>
      <c r="BC23" s="4">
        <f t="shared" si="10"/>
        <v>0</v>
      </c>
      <c r="BD23" s="4" t="str">
        <f t="shared" si="11"/>
        <v/>
      </c>
      <c r="BE23" s="4" t="str">
        <f t="shared" si="12"/>
        <v/>
      </c>
      <c r="BF23" s="627"/>
      <c r="BG23" s="627"/>
      <c r="BH23" s="622"/>
      <c r="BI23" s="621"/>
      <c r="BJ23" s="622"/>
      <c r="BK23" s="621"/>
      <c r="BL23" s="622"/>
      <c r="BM23" s="621"/>
      <c r="BN23" s="622"/>
      <c r="BO23" s="621"/>
    </row>
    <row r="24" spans="1:79">
      <c r="A24" s="5">
        <f t="shared" si="4"/>
        <v>0</v>
      </c>
      <c r="B24" s="18" t="str">
        <f>名簿!Q26</f>
        <v/>
      </c>
      <c r="C24" s="5">
        <f t="shared" si="5"/>
        <v>0</v>
      </c>
      <c r="D24" s="776" t="str">
        <f>名簿!D26</f>
        <v/>
      </c>
      <c r="E24" s="19">
        <f>名簿!E26</f>
        <v>0</v>
      </c>
      <c r="F24" s="205" t="str">
        <f>名簿!BN26</f>
        <v/>
      </c>
      <c r="G24" s="19" t="str">
        <f>名簿!Z26</f>
        <v/>
      </c>
      <c r="H24" s="122" t="str">
        <f t="shared" si="0"/>
        <v/>
      </c>
      <c r="I24" s="361" t="str">
        <f>名簿!O26</f>
        <v/>
      </c>
      <c r="J24" s="385">
        <f>名簿!I26</f>
        <v>0</v>
      </c>
      <c r="K24" s="684">
        <f>名簿!K26</f>
        <v>0</v>
      </c>
      <c r="L24" s="409" t="str">
        <f>名簿!BQ26</f>
        <v>00</v>
      </c>
      <c r="M24" s="19" t="s">
        <v>457</v>
      </c>
      <c r="N24" s="689">
        <v>23</v>
      </c>
      <c r="O24" s="202"/>
      <c r="P24" s="201" t="str">
        <f>IF(O24="","",IF(I24=1,VLOOKUP(O24,男子種目コード!$V$1:$W$5,2,FALSE),IF(I24=2,VLOOKUP(O24,女子種目コード!$V$1:$W$5,2,FALSE))))</f>
        <v/>
      </c>
      <c r="Q24" s="299" t="str">
        <f>IF(O24="","",HLOOKUP(O24,名簿!$AB$8:$BG$58,19,FALSE))</f>
        <v/>
      </c>
      <c r="R24" s="362">
        <v>0</v>
      </c>
      <c r="S24" s="401">
        <v>2</v>
      </c>
      <c r="T24" s="200"/>
      <c r="U24" s="201" t="str">
        <f>IF(T24="","",IF(I24=1,VLOOKUP(T24,男子種目コード!$V$1:$W$5,2,FALSE),IF(I24=2,VLOOKUP(T24,女子種目コード!$V$1:$W$5,2,FALSE))))</f>
        <v/>
      </c>
      <c r="V24" s="299" t="str">
        <f>IF(T24="","",HLOOKUP(T24,名簿!$AB$8:$BG$58,19,FALSE))</f>
        <v/>
      </c>
      <c r="W24" s="204"/>
      <c r="X24" s="205" t="str">
        <f>IF(W24="","",IF(I24=1,VLOOKUP(W24,男子種目コード!$D$2:$E$30,2,FALSE),IF(I24=2,VLOOKUP(W24,女子種目コード!$D$2:$E$30,2,FALSE))))</f>
        <v/>
      </c>
      <c r="Y24" s="454"/>
      <c r="Z24" s="362"/>
      <c r="AA24" s="362"/>
      <c r="AB24" s="459"/>
      <c r="AC24" s="463" t="str">
        <f>IF(AB24="","",IF(I24=1,VLOOKUP(AB24,男子種目コード!$V$1:$W$5,2,FALSE),IF(I24=2,VLOOKUP(AB24,女子種目コード!$V$1:$W$5,2,FALSE))))</f>
        <v/>
      </c>
      <c r="AD24" s="454"/>
      <c r="AE24" s="362">
        <v>0</v>
      </c>
      <c r="AF24" s="362">
        <v>2</v>
      </c>
      <c r="AG24" s="203"/>
      <c r="AH24" s="7" t="str">
        <f>IF(AG24="","",IF(I24=1,VLOOKUP(AG24,男子種目コード!$A$78:$B$81,2,FALSE),IF(I24=2,VLOOKUP(AG24,女子種目コード!$A$78:$B$81,2,FALSE))))</f>
        <v/>
      </c>
      <c r="AI24" s="454"/>
      <c r="AJ24" s="362">
        <v>0</v>
      </c>
      <c r="AK24" s="401">
        <v>2</v>
      </c>
      <c r="AL24" s="354">
        <v>0</v>
      </c>
      <c r="AM24" s="354"/>
      <c r="AN24" s="103"/>
      <c r="AO24" s="422" t="s">
        <v>140</v>
      </c>
      <c r="AP24" s="103" t="str">
        <f t="shared" si="14"/>
        <v/>
      </c>
      <c r="AQ24" s="103" t="str">
        <f t="shared" si="6"/>
        <v/>
      </c>
      <c r="AR24" s="103"/>
      <c r="AS24" s="103"/>
      <c r="AT24" s="240" t="str">
        <f t="shared" si="7"/>
        <v/>
      </c>
      <c r="AU24" s="240">
        <f t="shared" si="1"/>
        <v>0</v>
      </c>
      <c r="AV24" s="240">
        <f t="shared" si="2"/>
        <v>0</v>
      </c>
      <c r="AW24" s="240">
        <f t="shared" si="3"/>
        <v>0</v>
      </c>
      <c r="AX24" s="240">
        <f t="shared" si="8"/>
        <v>0</v>
      </c>
      <c r="AY24" s="238"/>
      <c r="AZ24" s="238"/>
      <c r="BA24" s="4"/>
      <c r="BB24" s="4">
        <f t="shared" si="9"/>
        <v>0</v>
      </c>
      <c r="BC24" s="4">
        <f t="shared" si="10"/>
        <v>0</v>
      </c>
      <c r="BD24" s="4" t="str">
        <f t="shared" si="11"/>
        <v/>
      </c>
      <c r="BE24" s="4" t="str">
        <f t="shared" si="12"/>
        <v/>
      </c>
      <c r="BF24" s="627"/>
      <c r="BG24" s="627"/>
      <c r="BH24" s="623"/>
      <c r="BI24" s="618"/>
      <c r="BJ24" s="623"/>
      <c r="BK24" s="618"/>
      <c r="BL24" s="623"/>
      <c r="BM24" s="618"/>
      <c r="BN24" s="623"/>
      <c r="BO24" s="618"/>
      <c r="BP24" s="179" t="e">
        <f ca="1">VLookUpX("男子C",$A$7:$F$56,1,5)</f>
        <v>#N/A</v>
      </c>
      <c r="BQ24" s="179" t="e">
        <f ca="1">VLookUpX("男子C",$A$7:$F$56,1,6)</f>
        <v>#N/A</v>
      </c>
      <c r="BR24" s="179" t="e">
        <f ca="1">VLookUpX("男子C",$C$7:$F$56,1,3)</f>
        <v>#N/A</v>
      </c>
      <c r="BS24" s="179" t="e">
        <f ca="1">VLookUpX("男子C",$C$7:$F$56,1,4)</f>
        <v>#N/A</v>
      </c>
      <c r="BT24" s="179" t="e">
        <f ca="1">VLookUpX("女子C",$A$7:$F$56,1,5)</f>
        <v>#N/A</v>
      </c>
      <c r="BU24" s="179" t="e">
        <f ca="1">VLookUpX("女子C",$A$7:$F$56,1,6)</f>
        <v>#N/A</v>
      </c>
      <c r="BV24" s="179" t="e">
        <f ca="1">VLookUpX("女子C",$C$7:$F$56,1,3)</f>
        <v>#N/A</v>
      </c>
      <c r="BW24" s="179" t="e">
        <f ca="1">VLookUpX("女子C",$C$7:$F$56,1,4)</f>
        <v>#N/A</v>
      </c>
      <c r="BX24" s="4" t="str">
        <f>IF(BH24="","",1)</f>
        <v/>
      </c>
      <c r="BY24" s="4" t="str">
        <f>IF(BJ24="","",1)</f>
        <v/>
      </c>
      <c r="BZ24" s="4" t="str">
        <f>IF(BL24="","",1)</f>
        <v/>
      </c>
      <c r="CA24" s="4" t="str">
        <f>IF(BN24="","",1)</f>
        <v/>
      </c>
    </row>
    <row r="25" spans="1:79">
      <c r="A25" s="5">
        <f t="shared" si="4"/>
        <v>0</v>
      </c>
      <c r="B25" s="18" t="str">
        <f>名簿!Q27</f>
        <v/>
      </c>
      <c r="C25" s="5">
        <f t="shared" si="5"/>
        <v>0</v>
      </c>
      <c r="D25" s="776" t="str">
        <f>名簿!D27</f>
        <v/>
      </c>
      <c r="E25" s="19">
        <f>名簿!E27</f>
        <v>0</v>
      </c>
      <c r="F25" s="205" t="str">
        <f>名簿!BN27</f>
        <v/>
      </c>
      <c r="G25" s="19" t="str">
        <f>名簿!Z27</f>
        <v/>
      </c>
      <c r="H25" s="122" t="str">
        <f t="shared" si="0"/>
        <v/>
      </c>
      <c r="I25" s="361" t="str">
        <f>名簿!O27</f>
        <v/>
      </c>
      <c r="J25" s="385">
        <f>名簿!I27</f>
        <v>0</v>
      </c>
      <c r="K25" s="684">
        <f>名簿!K27</f>
        <v>0</v>
      </c>
      <c r="L25" s="409" t="str">
        <f>名簿!BQ27</f>
        <v>00</v>
      </c>
      <c r="M25" s="19" t="s">
        <v>457</v>
      </c>
      <c r="N25" s="689">
        <v>23</v>
      </c>
      <c r="O25" s="202"/>
      <c r="P25" s="201" t="str">
        <f>IF(O25="","",IF(I25=1,VLOOKUP(O25,男子種目コード!$V$1:$W$5,2,FALSE),IF(I25=2,VLOOKUP(O25,女子種目コード!$V$1:$W$5,2,FALSE))))</f>
        <v/>
      </c>
      <c r="Q25" s="299" t="str">
        <f>IF(O25="","",HLOOKUP(O25,名簿!$AB$8:$BG$58,20,FALSE))</f>
        <v/>
      </c>
      <c r="R25" s="362">
        <v>0</v>
      </c>
      <c r="S25" s="401">
        <v>2</v>
      </c>
      <c r="T25" s="200"/>
      <c r="U25" s="201" t="str">
        <f>IF(T25="","",IF(I25=1,VLOOKUP(T25,男子種目コード!$V$1:$W$5,2,FALSE),IF(I25=2,VLOOKUP(T25,女子種目コード!$V$1:$W$5,2,FALSE))))</f>
        <v/>
      </c>
      <c r="V25" s="299" t="str">
        <f>IF(T25="","",HLOOKUP(T25,名簿!$AB$8:$BG$58,20,FALSE))</f>
        <v/>
      </c>
      <c r="W25" s="204"/>
      <c r="X25" s="205" t="str">
        <f>IF(W25="","",IF(I25=1,VLOOKUP(W25,男子種目コード!$D$2:$E$30,2,FALSE),IF(I25=2,VLOOKUP(W25,女子種目コード!$D$2:$E$30,2,FALSE))))</f>
        <v/>
      </c>
      <c r="Y25" s="454"/>
      <c r="Z25" s="362"/>
      <c r="AA25" s="362"/>
      <c r="AB25" s="459"/>
      <c r="AC25" s="463" t="str">
        <f>IF(AB25="","",IF(I25=1,VLOOKUP(AB25,男子種目コード!$V$1:$W$5,2,FALSE),IF(I25=2,VLOOKUP(AB25,女子種目コード!$V$1:$W$5,2,FALSE))))</f>
        <v/>
      </c>
      <c r="AD25" s="454"/>
      <c r="AE25" s="362">
        <v>0</v>
      </c>
      <c r="AF25" s="362">
        <v>2</v>
      </c>
      <c r="AG25" s="203"/>
      <c r="AH25" s="7" t="str">
        <f>IF(AG25="","",IF(I25=1,VLOOKUP(AG25,男子種目コード!$A$78:$B$81,2,FALSE),IF(I25=2,VLOOKUP(AG25,女子種目コード!$A$78:$B$81,2,FALSE))))</f>
        <v/>
      </c>
      <c r="AI25" s="454"/>
      <c r="AJ25" s="362">
        <v>0</v>
      </c>
      <c r="AK25" s="401">
        <v>2</v>
      </c>
      <c r="AL25" s="354">
        <v>0</v>
      </c>
      <c r="AM25" s="354"/>
      <c r="AN25" s="103"/>
      <c r="AO25" s="422" t="s">
        <v>139</v>
      </c>
      <c r="AP25" s="103" t="str">
        <f t="shared" si="14"/>
        <v/>
      </c>
      <c r="AQ25" s="103" t="str">
        <f t="shared" si="6"/>
        <v/>
      </c>
      <c r="AR25" s="103"/>
      <c r="AS25" s="103"/>
      <c r="AT25" s="240" t="str">
        <f t="shared" si="7"/>
        <v/>
      </c>
      <c r="AU25" s="240">
        <f t="shared" si="1"/>
        <v>0</v>
      </c>
      <c r="AV25" s="240">
        <f t="shared" si="2"/>
        <v>0</v>
      </c>
      <c r="AW25" s="240">
        <f t="shared" si="3"/>
        <v>0</v>
      </c>
      <c r="AX25" s="240">
        <f t="shared" si="8"/>
        <v>0</v>
      </c>
      <c r="AY25" s="238"/>
      <c r="AZ25" s="238"/>
      <c r="BA25" s="4"/>
      <c r="BB25" s="4">
        <f t="shared" si="9"/>
        <v>0</v>
      </c>
      <c r="BC25" s="4">
        <f t="shared" si="10"/>
        <v>0</v>
      </c>
      <c r="BD25" s="4" t="str">
        <f t="shared" si="11"/>
        <v/>
      </c>
      <c r="BE25" s="4" t="str">
        <f t="shared" si="12"/>
        <v/>
      </c>
      <c r="BF25" s="627"/>
      <c r="BG25" s="627"/>
      <c r="BH25" s="623"/>
      <c r="BI25" s="618"/>
      <c r="BJ25" s="623"/>
      <c r="BK25" s="618"/>
      <c r="BL25" s="623"/>
      <c r="BM25" s="618"/>
      <c r="BN25" s="623"/>
      <c r="BO25" s="618"/>
      <c r="BP25" s="179" t="e">
        <f ca="1">VLookUpX("男子C",$A$7:$F$56,2,5)</f>
        <v>#N/A</v>
      </c>
      <c r="BQ25" s="179" t="e">
        <f ca="1">VLookUpX("男子C",$A$7:$F$56,2,6)</f>
        <v>#N/A</v>
      </c>
      <c r="BR25" s="179" t="e">
        <f ca="1">VLookUpX("男子C",$C$7:$F$56,2,3)</f>
        <v>#N/A</v>
      </c>
      <c r="BS25" s="179" t="e">
        <f ca="1">VLookUpX("男子C",$C$7:$F$56,2,4)</f>
        <v>#N/A</v>
      </c>
      <c r="BT25" s="179" t="e">
        <f ca="1">VLookUpX("女子C",$A$7:$F$56,2,5)</f>
        <v>#N/A</v>
      </c>
      <c r="BU25" s="179" t="e">
        <f ca="1">VLookUpX("女子C",$A$7:$F$56,2,6)</f>
        <v>#N/A</v>
      </c>
      <c r="BV25" s="179" t="e">
        <f ca="1">VLookUpX("女子C",$C$7:$F$56,2,3)</f>
        <v>#N/A</v>
      </c>
      <c r="BW25" s="179" t="e">
        <f ca="1">VLookUpX("女子C",$C$7:$F$56,2,4)</f>
        <v>#N/A</v>
      </c>
    </row>
    <row r="26" spans="1:79">
      <c r="A26" s="5">
        <f t="shared" si="4"/>
        <v>0</v>
      </c>
      <c r="B26" s="18" t="str">
        <f>名簿!Q28</f>
        <v/>
      </c>
      <c r="C26" s="5">
        <f t="shared" si="5"/>
        <v>0</v>
      </c>
      <c r="D26" s="776">
        <f>名簿!D28</f>
        <v>0</v>
      </c>
      <c r="E26" s="19">
        <f>名簿!E28</f>
        <v>0</v>
      </c>
      <c r="F26" s="205" t="str">
        <f>名簿!BN28</f>
        <v/>
      </c>
      <c r="G26" s="19" t="str">
        <f>名簿!Z28</f>
        <v/>
      </c>
      <c r="H26" s="122" t="str">
        <f t="shared" si="0"/>
        <v/>
      </c>
      <c r="I26" s="361" t="str">
        <f>名簿!O28</f>
        <v/>
      </c>
      <c r="J26" s="385">
        <f>名簿!I28</f>
        <v>0</v>
      </c>
      <c r="K26" s="684">
        <f>名簿!K28</f>
        <v>0</v>
      </c>
      <c r="L26" s="409" t="str">
        <f>名簿!BQ28</f>
        <v>00</v>
      </c>
      <c r="M26" s="19" t="s">
        <v>457</v>
      </c>
      <c r="N26" s="689">
        <v>23</v>
      </c>
      <c r="O26" s="202"/>
      <c r="P26" s="201" t="str">
        <f>IF(O26="","",IF(I26=1,VLOOKUP(O26,男子種目コード!$V$1:$W$5,2,FALSE),IF(I26=2,VLOOKUP(O26,女子種目コード!$V$1:$W$5,2,FALSE))))</f>
        <v/>
      </c>
      <c r="Q26" s="299" t="str">
        <f>IF(O26="","",HLOOKUP(O26,名簿!$AB$8:$BG$58,21,FALSE))</f>
        <v/>
      </c>
      <c r="R26" s="362">
        <v>0</v>
      </c>
      <c r="S26" s="401">
        <v>2</v>
      </c>
      <c r="T26" s="200"/>
      <c r="U26" s="201" t="str">
        <f>IF(T26="","",IF(I26=1,VLOOKUP(T26,男子種目コード!$V$1:$W$5,2,FALSE),IF(I26=2,VLOOKUP(T26,女子種目コード!$V$1:$W$5,2,FALSE))))</f>
        <v/>
      </c>
      <c r="V26" s="299" t="str">
        <f>IF(T26="","",HLOOKUP(T26,名簿!$AB$8:$BG$58,21,FALSE))</f>
        <v/>
      </c>
      <c r="W26" s="204"/>
      <c r="X26" s="205" t="str">
        <f>IF(W26="","",IF(I26=1,VLOOKUP(W26,男子種目コード!$D$2:$E$30,2,FALSE),IF(I26=2,VLOOKUP(W26,女子種目コード!$D$2:$E$30,2,FALSE))))</f>
        <v/>
      </c>
      <c r="Y26" s="454"/>
      <c r="Z26" s="362"/>
      <c r="AA26" s="362"/>
      <c r="AB26" s="459"/>
      <c r="AC26" s="463" t="str">
        <f>IF(AB26="","",IF(I26=1,VLOOKUP(AB26,男子種目コード!$V$1:$W$5,2,FALSE),IF(I26=2,VLOOKUP(AB26,女子種目コード!$V$1:$W$5,2,FALSE))))</f>
        <v/>
      </c>
      <c r="AD26" s="454"/>
      <c r="AE26" s="362">
        <v>0</v>
      </c>
      <c r="AF26" s="362">
        <v>2</v>
      </c>
      <c r="AG26" s="203"/>
      <c r="AH26" s="7" t="str">
        <f>IF(AG26="","",IF(I26=1,VLOOKUP(AG26,男子種目コード!$A$78:$B$81,2,FALSE),IF(I26=2,VLOOKUP(AG26,女子種目コード!$A$78:$B$81,2,FALSE))))</f>
        <v/>
      </c>
      <c r="AI26" s="454"/>
      <c r="AJ26" s="362">
        <v>0</v>
      </c>
      <c r="AK26" s="401">
        <v>2</v>
      </c>
      <c r="AL26" s="354">
        <v>0</v>
      </c>
      <c r="AM26" s="354"/>
      <c r="AN26" s="103"/>
      <c r="AO26" s="422" t="s">
        <v>180</v>
      </c>
      <c r="AP26" s="103" t="str">
        <f t="shared" si="14"/>
        <v/>
      </c>
      <c r="AQ26" s="103" t="str">
        <f t="shared" si="6"/>
        <v/>
      </c>
      <c r="AR26" s="103"/>
      <c r="AS26" s="103"/>
      <c r="AT26" s="240" t="str">
        <f t="shared" si="7"/>
        <v/>
      </c>
      <c r="AU26" s="240">
        <f t="shared" si="1"/>
        <v>0</v>
      </c>
      <c r="AV26" s="240">
        <f t="shared" si="2"/>
        <v>0</v>
      </c>
      <c r="AW26" s="240">
        <f t="shared" si="3"/>
        <v>0</v>
      </c>
      <c r="AX26" s="240">
        <f t="shared" si="8"/>
        <v>0</v>
      </c>
      <c r="AY26" s="238"/>
      <c r="AZ26" s="238"/>
      <c r="BA26" s="4"/>
      <c r="BB26" s="4">
        <f t="shared" si="9"/>
        <v>0</v>
      </c>
      <c r="BC26" s="4">
        <f t="shared" si="10"/>
        <v>0</v>
      </c>
      <c r="BD26" s="4" t="str">
        <f t="shared" si="11"/>
        <v/>
      </c>
      <c r="BE26" s="4" t="str">
        <f t="shared" si="12"/>
        <v/>
      </c>
      <c r="BF26" s="627"/>
      <c r="BG26" s="627"/>
      <c r="BH26" s="623"/>
      <c r="BI26" s="618"/>
      <c r="BJ26" s="623"/>
      <c r="BK26" s="618"/>
      <c r="BL26" s="623"/>
      <c r="BM26" s="618"/>
      <c r="BN26" s="623"/>
      <c r="BO26" s="618"/>
      <c r="BP26" s="179" t="e">
        <f ca="1">VLookUpX("男子C",$A$7:$F$56,3,5)</f>
        <v>#N/A</v>
      </c>
      <c r="BQ26" s="179" t="e">
        <f ca="1">VLookUpX("男子C",$A$7:$F$56,3,6)</f>
        <v>#N/A</v>
      </c>
      <c r="BR26" s="179" t="e">
        <f ca="1">VLookUpX("男子C",$C$7:$F$56,3,3)</f>
        <v>#N/A</v>
      </c>
      <c r="BS26" s="179" t="e">
        <f ca="1">VLookUpX("男子C",$C$7:$F$56,3,4)</f>
        <v>#N/A</v>
      </c>
      <c r="BT26" s="179" t="e">
        <f ca="1">VLookUpX("女子C",$A$7:$F$56,3,5)</f>
        <v>#N/A</v>
      </c>
      <c r="BU26" s="179" t="e">
        <f ca="1">VLookUpX("女子C",$A$7:$F$56,3,6)</f>
        <v>#N/A</v>
      </c>
      <c r="BV26" s="179" t="e">
        <f ca="1">VLookUpX("女子C",$C$7:$F$56,3,3)</f>
        <v>#N/A</v>
      </c>
      <c r="BW26" s="179" t="e">
        <f ca="1">VLookUpX("女子C",$C$7:$F$56,3,4)</f>
        <v>#N/A</v>
      </c>
    </row>
    <row r="27" spans="1:79">
      <c r="A27" s="5">
        <f t="shared" si="4"/>
        <v>0</v>
      </c>
      <c r="B27" s="18" t="str">
        <f>名簿!Q29</f>
        <v/>
      </c>
      <c r="C27" s="5">
        <f t="shared" si="5"/>
        <v>0</v>
      </c>
      <c r="D27" s="776">
        <f>名簿!D29</f>
        <v>0</v>
      </c>
      <c r="E27" s="19">
        <f>名簿!E29</f>
        <v>0</v>
      </c>
      <c r="F27" s="205" t="str">
        <f>名簿!BN29</f>
        <v/>
      </c>
      <c r="G27" s="19" t="str">
        <f>名簿!Z29</f>
        <v/>
      </c>
      <c r="H27" s="122" t="str">
        <f t="shared" si="0"/>
        <v/>
      </c>
      <c r="I27" s="361" t="str">
        <f>名簿!O29</f>
        <v/>
      </c>
      <c r="J27" s="385">
        <f>名簿!I29</f>
        <v>0</v>
      </c>
      <c r="K27" s="684">
        <f>名簿!K29</f>
        <v>0</v>
      </c>
      <c r="L27" s="409" t="str">
        <f>名簿!BQ29</f>
        <v>00</v>
      </c>
      <c r="M27" s="19" t="s">
        <v>457</v>
      </c>
      <c r="N27" s="689">
        <v>23</v>
      </c>
      <c r="O27" s="202"/>
      <c r="P27" s="201" t="str">
        <f>IF(O27="","",IF(I27=1,VLOOKUP(O27,男子種目コード!$V$1:$W$5,2,FALSE),IF(I27=2,VLOOKUP(O27,女子種目コード!$V$1:$W$5,2,FALSE))))</f>
        <v/>
      </c>
      <c r="Q27" s="299" t="str">
        <f>IF(O27="","",HLOOKUP(O27,名簿!$AB$8:$BG$58,22,FALSE))</f>
        <v/>
      </c>
      <c r="R27" s="362">
        <v>0</v>
      </c>
      <c r="S27" s="401">
        <v>2</v>
      </c>
      <c r="T27" s="200"/>
      <c r="U27" s="201" t="str">
        <f>IF(T27="","",IF(I27=1,VLOOKUP(T27,男子種目コード!$V$1:$W$5,2,FALSE),IF(I27=2,VLOOKUP(T27,女子種目コード!$V$1:$W$5,2,FALSE))))</f>
        <v/>
      </c>
      <c r="V27" s="299" t="str">
        <f>IF(T27="","",HLOOKUP(T27,名簿!$AB$8:$BG$58,22,FALSE))</f>
        <v/>
      </c>
      <c r="W27" s="204"/>
      <c r="X27" s="205" t="str">
        <f>IF(W27="","",IF(I27=1,VLOOKUP(W27,男子種目コード!$D$2:$E$30,2,FALSE),IF(I27=2,VLOOKUP(W27,女子種目コード!$D$2:$E$30,2,FALSE))))</f>
        <v/>
      </c>
      <c r="Y27" s="454"/>
      <c r="Z27" s="362"/>
      <c r="AA27" s="362"/>
      <c r="AB27" s="459"/>
      <c r="AC27" s="463" t="str">
        <f>IF(AB27="","",IF(I27=1,VLOOKUP(AB27,男子種目コード!$V$1:$W$5,2,FALSE),IF(I27=2,VLOOKUP(AB27,女子種目コード!$V$1:$W$5,2,FALSE))))</f>
        <v/>
      </c>
      <c r="AD27" s="454"/>
      <c r="AE27" s="362">
        <v>0</v>
      </c>
      <c r="AF27" s="362">
        <v>2</v>
      </c>
      <c r="AG27" s="203"/>
      <c r="AH27" s="7" t="str">
        <f>IF(AG27="","",IF(I27=1,VLOOKUP(AG27,男子種目コード!$A$78:$B$81,2,FALSE),IF(I27=2,VLOOKUP(AG27,女子種目コード!$A$78:$B$81,2,FALSE))))</f>
        <v/>
      </c>
      <c r="AI27" s="454"/>
      <c r="AJ27" s="362">
        <v>0</v>
      </c>
      <c r="AK27" s="401">
        <v>2</v>
      </c>
      <c r="AL27" s="354">
        <v>0</v>
      </c>
      <c r="AM27" s="354"/>
      <c r="AN27" s="103"/>
      <c r="AO27" s="423" t="s">
        <v>190</v>
      </c>
      <c r="AP27" s="103" t="str">
        <f t="shared" si="14"/>
        <v/>
      </c>
      <c r="AQ27" s="103" t="str">
        <f t="shared" si="6"/>
        <v/>
      </c>
      <c r="AR27" s="103"/>
      <c r="AS27" s="103"/>
      <c r="AT27" s="240" t="str">
        <f t="shared" si="7"/>
        <v/>
      </c>
      <c r="AU27" s="240">
        <f t="shared" si="1"/>
        <v>0</v>
      </c>
      <c r="AV27" s="240">
        <f t="shared" si="2"/>
        <v>0</v>
      </c>
      <c r="AW27" s="240">
        <f t="shared" si="3"/>
        <v>0</v>
      </c>
      <c r="AX27" s="240">
        <f t="shared" si="8"/>
        <v>0</v>
      </c>
      <c r="AY27" s="238"/>
      <c r="BA27" s="4"/>
      <c r="BB27" s="4">
        <f t="shared" si="9"/>
        <v>0</v>
      </c>
      <c r="BC27" s="4">
        <f t="shared" si="10"/>
        <v>0</v>
      </c>
      <c r="BD27" s="4" t="str">
        <f t="shared" si="11"/>
        <v/>
      </c>
      <c r="BE27" s="4" t="str">
        <f t="shared" si="12"/>
        <v/>
      </c>
      <c r="BF27" s="627"/>
      <c r="BG27" s="627"/>
      <c r="BH27" s="623"/>
      <c r="BI27" s="618"/>
      <c r="BJ27" s="623"/>
      <c r="BK27" s="618"/>
      <c r="BL27" s="623"/>
      <c r="BM27" s="618"/>
      <c r="BN27" s="623"/>
      <c r="BO27" s="618"/>
      <c r="BP27" s="179" t="e">
        <f ca="1">VLookUpX("男子C",$A$7:$F$56,4,5)</f>
        <v>#N/A</v>
      </c>
      <c r="BQ27" s="179" t="e">
        <f ca="1">VLookUpX("男子C",$A$7:$F$56,4,6)</f>
        <v>#N/A</v>
      </c>
      <c r="BR27" s="179" t="e">
        <f ca="1">VLookUpX("男子C",$C$7:$F$56,4,3)</f>
        <v>#N/A</v>
      </c>
      <c r="BS27" s="179" t="e">
        <f ca="1">VLookUpX("男子C",$C$7:$F$56,4,4)</f>
        <v>#N/A</v>
      </c>
      <c r="BT27" s="179" t="e">
        <f ca="1">VLookUpX("女子C",$A$7:$F$56,4,5)</f>
        <v>#N/A</v>
      </c>
      <c r="BU27" s="179" t="e">
        <f ca="1">VLookUpX("女子C",$A$7:$F$56,4,6)</f>
        <v>#N/A</v>
      </c>
      <c r="BV27" s="179" t="e">
        <f ca="1">VLookUpX("女子C",$C$7:$F$56,4,3)</f>
        <v>#N/A</v>
      </c>
      <c r="BW27" s="179" t="e">
        <f ca="1">VLookUpX("女子C",$C$7:$F$56,4,4)</f>
        <v>#N/A</v>
      </c>
    </row>
    <row r="28" spans="1:79">
      <c r="A28" s="5">
        <f t="shared" si="4"/>
        <v>0</v>
      </c>
      <c r="B28" s="18" t="str">
        <f>名簿!Q30</f>
        <v/>
      </c>
      <c r="C28" s="5">
        <f t="shared" si="5"/>
        <v>0</v>
      </c>
      <c r="D28" s="776">
        <f>名簿!D30</f>
        <v>0</v>
      </c>
      <c r="E28" s="19">
        <f>名簿!E30</f>
        <v>0</v>
      </c>
      <c r="F28" s="205" t="str">
        <f>名簿!BN30</f>
        <v/>
      </c>
      <c r="G28" s="19" t="str">
        <f>名簿!Z30</f>
        <v/>
      </c>
      <c r="H28" s="122" t="str">
        <f t="shared" si="0"/>
        <v/>
      </c>
      <c r="I28" s="361" t="str">
        <f>名簿!O30</f>
        <v/>
      </c>
      <c r="J28" s="385">
        <f>名簿!I30</f>
        <v>0</v>
      </c>
      <c r="K28" s="684">
        <f>名簿!K30</f>
        <v>0</v>
      </c>
      <c r="L28" s="409" t="str">
        <f>名簿!BQ30</f>
        <v>00</v>
      </c>
      <c r="M28" s="19" t="s">
        <v>457</v>
      </c>
      <c r="N28" s="689">
        <v>23</v>
      </c>
      <c r="O28" s="202"/>
      <c r="P28" s="201" t="str">
        <f>IF(O28="","",IF(I28=1,VLOOKUP(O28,男子種目コード!$V$1:$W$5,2,FALSE),IF(I28=2,VLOOKUP(O28,女子種目コード!$V$1:$W$5,2,FALSE))))</f>
        <v/>
      </c>
      <c r="Q28" s="299" t="str">
        <f>IF(O28="","",HLOOKUP(O28,名簿!$AB$8:$BG$58,23,FALSE))</f>
        <v/>
      </c>
      <c r="R28" s="362">
        <v>0</v>
      </c>
      <c r="S28" s="401">
        <v>2</v>
      </c>
      <c r="T28" s="200"/>
      <c r="U28" s="201" t="str">
        <f>IF(T28="","",IF(I28=1,VLOOKUP(T28,男子種目コード!$V$1:$W$5,2,FALSE),IF(I28=2,VLOOKUP(T28,女子種目コード!$V$1:$W$5,2,FALSE))))</f>
        <v/>
      </c>
      <c r="V28" s="299" t="str">
        <f>IF(T28="","",HLOOKUP(T28,名簿!$AB$8:$BG$58,23,FALSE))</f>
        <v/>
      </c>
      <c r="W28" s="204"/>
      <c r="X28" s="205" t="str">
        <f>IF(W28="","",IF(I28=1,VLOOKUP(W28,男子種目コード!$D$2:$E$30,2,FALSE),IF(I28=2,VLOOKUP(W28,女子種目コード!$D$2:$E$30,2,FALSE))))</f>
        <v/>
      </c>
      <c r="Y28" s="454"/>
      <c r="Z28" s="362"/>
      <c r="AA28" s="362"/>
      <c r="AB28" s="459"/>
      <c r="AC28" s="463" t="str">
        <f>IF(AB28="","",IF(I28=1,VLOOKUP(AB28,男子種目コード!$V$1:$W$5,2,FALSE),IF(I28=2,VLOOKUP(AB28,女子種目コード!$V$1:$W$5,2,FALSE))))</f>
        <v/>
      </c>
      <c r="AD28" s="454"/>
      <c r="AE28" s="362">
        <v>0</v>
      </c>
      <c r="AF28" s="362">
        <v>2</v>
      </c>
      <c r="AG28" s="203"/>
      <c r="AH28" s="7" t="str">
        <f>IF(AG28="","",IF(I28=1,VLOOKUP(AG28,男子種目コード!$A$78:$B$81,2,FALSE),IF(I28=2,VLOOKUP(AG28,女子種目コード!$A$78:$B$81,2,FALSE))))</f>
        <v/>
      </c>
      <c r="AI28" s="454"/>
      <c r="AJ28" s="362">
        <v>0</v>
      </c>
      <c r="AK28" s="401">
        <v>2</v>
      </c>
      <c r="AL28" s="354">
        <v>0</v>
      </c>
      <c r="AM28" s="354"/>
      <c r="AN28" s="103"/>
      <c r="AO28" s="422" t="s">
        <v>184</v>
      </c>
      <c r="AP28" s="103" t="str">
        <f t="shared" si="14"/>
        <v/>
      </c>
      <c r="AQ28" s="103" t="str">
        <f t="shared" si="6"/>
        <v/>
      </c>
      <c r="AR28" s="103"/>
      <c r="AS28" s="103"/>
      <c r="AT28" s="240" t="str">
        <f t="shared" si="7"/>
        <v/>
      </c>
      <c r="AU28" s="240">
        <f t="shared" si="1"/>
        <v>0</v>
      </c>
      <c r="AV28" s="240">
        <f t="shared" si="2"/>
        <v>0</v>
      </c>
      <c r="AW28" s="240">
        <f t="shared" si="3"/>
        <v>0</v>
      </c>
      <c r="AX28" s="240">
        <f t="shared" si="8"/>
        <v>0</v>
      </c>
      <c r="AY28" s="238"/>
      <c r="BA28" s="4"/>
      <c r="BB28" s="4">
        <f t="shared" si="9"/>
        <v>0</v>
      </c>
      <c r="BC28" s="4">
        <f t="shared" si="10"/>
        <v>0</v>
      </c>
      <c r="BD28" s="4" t="str">
        <f t="shared" si="11"/>
        <v/>
      </c>
      <c r="BE28" s="4" t="str">
        <f t="shared" si="12"/>
        <v/>
      </c>
      <c r="BF28" s="627"/>
      <c r="BG28" s="627"/>
      <c r="BH28" s="623"/>
      <c r="BI28" s="618"/>
      <c r="BJ28" s="623"/>
      <c r="BK28" s="618"/>
      <c r="BL28" s="623"/>
      <c r="BM28" s="618"/>
      <c r="BN28" s="623"/>
      <c r="BO28" s="618"/>
      <c r="BP28" s="179" t="e">
        <f ca="1">VLookUpX("男子C",$A$7:$F$56,5,5)</f>
        <v>#N/A</v>
      </c>
      <c r="BQ28" s="179" t="e">
        <f ca="1">VLookUpX("男子C",$A$7:$F$56,5,6)</f>
        <v>#N/A</v>
      </c>
      <c r="BR28" s="179" t="e">
        <f ca="1">VLookUpX("男子C",$C$7:$F$56,5,3)</f>
        <v>#N/A</v>
      </c>
      <c r="BS28" s="179" t="e">
        <f ca="1">VLookUpX("男子C",$C$7:$F$56,5,4)</f>
        <v>#N/A</v>
      </c>
      <c r="BT28" s="179" t="e">
        <f ca="1">VLookUpX("女子C",$A$7:$F$56,5,5)</f>
        <v>#N/A</v>
      </c>
      <c r="BU28" s="179" t="e">
        <f ca="1">VLookUpX("女子C",$A$7:$F$56,5,6)</f>
        <v>#N/A</v>
      </c>
      <c r="BV28" s="179" t="e">
        <f ca="1">VLookUpX("女子C",$C$7:$F$56,5,3)</f>
        <v>#N/A</v>
      </c>
      <c r="BW28" s="179" t="e">
        <f ca="1">VLookUpX("女子C",$C$7:$F$56,5,4)</f>
        <v>#N/A</v>
      </c>
    </row>
    <row r="29" spans="1:79">
      <c r="A29" s="5">
        <f t="shared" si="4"/>
        <v>0</v>
      </c>
      <c r="B29" s="18" t="str">
        <f>名簿!Q31</f>
        <v/>
      </c>
      <c r="C29" s="5">
        <f t="shared" si="5"/>
        <v>0</v>
      </c>
      <c r="D29" s="776">
        <f>名簿!D31</f>
        <v>0</v>
      </c>
      <c r="E29" s="19">
        <f>名簿!E31</f>
        <v>0</v>
      </c>
      <c r="F29" s="205" t="str">
        <f>名簿!BN31</f>
        <v/>
      </c>
      <c r="G29" s="19" t="str">
        <f>名簿!Z31</f>
        <v/>
      </c>
      <c r="H29" s="122" t="str">
        <f t="shared" si="0"/>
        <v/>
      </c>
      <c r="I29" s="361" t="str">
        <f>名簿!O31</f>
        <v/>
      </c>
      <c r="J29" s="385">
        <f>名簿!I31</f>
        <v>0</v>
      </c>
      <c r="K29" s="684">
        <f>名簿!K31</f>
        <v>0</v>
      </c>
      <c r="L29" s="409" t="str">
        <f>名簿!BQ31</f>
        <v>00</v>
      </c>
      <c r="M29" s="19" t="s">
        <v>457</v>
      </c>
      <c r="N29" s="689">
        <v>23</v>
      </c>
      <c r="O29" s="202"/>
      <c r="P29" s="201" t="str">
        <f>IF(O29="","",IF(I29=1,VLOOKUP(O29,男子種目コード!$V$1:$W$5,2,FALSE),IF(I29=2,VLOOKUP(O29,女子種目コード!$V$1:$W$5,2,FALSE))))</f>
        <v/>
      </c>
      <c r="Q29" s="299" t="str">
        <f>IF(O29="","",HLOOKUP(O29,名簿!$AB$8:$BG$58,24,FALSE))</f>
        <v/>
      </c>
      <c r="R29" s="362">
        <v>0</v>
      </c>
      <c r="S29" s="401">
        <v>2</v>
      </c>
      <c r="T29" s="200"/>
      <c r="U29" s="201" t="str">
        <f>IF(T29="","",IF(I29=1,VLOOKUP(T29,男子種目コード!$V$1:$W$5,2,FALSE),IF(I29=2,VLOOKUP(T29,女子種目コード!$V$1:$W$5,2,FALSE))))</f>
        <v/>
      </c>
      <c r="V29" s="299" t="str">
        <f>IF(T29="","",HLOOKUP(T29,名簿!$AB$8:$BG$58,24,FALSE))</f>
        <v/>
      </c>
      <c r="W29" s="204"/>
      <c r="X29" s="205" t="str">
        <f>IF(W29="","",IF(I29=1,VLOOKUP(W29,男子種目コード!$D$2:$E$30,2,FALSE),IF(I29=2,VLOOKUP(W29,女子種目コード!$D$2:$E$30,2,FALSE))))</f>
        <v/>
      </c>
      <c r="Y29" s="454"/>
      <c r="Z29" s="362"/>
      <c r="AA29" s="362"/>
      <c r="AB29" s="459"/>
      <c r="AC29" s="463" t="str">
        <f>IF(AB29="","",IF(I29=1,VLOOKUP(AB29,男子種目コード!$V$1:$W$5,2,FALSE),IF(I29=2,VLOOKUP(AB29,女子種目コード!$V$1:$W$5,2,FALSE))))</f>
        <v/>
      </c>
      <c r="AD29" s="454"/>
      <c r="AE29" s="362">
        <v>0</v>
      </c>
      <c r="AF29" s="362">
        <v>2</v>
      </c>
      <c r="AG29" s="203"/>
      <c r="AH29" s="7" t="str">
        <f>IF(AG29="","",IF(I29=1,VLOOKUP(AG29,男子種目コード!$A$78:$B$81,2,FALSE),IF(I29=2,VLOOKUP(AG29,女子種目コード!$A$78:$B$81,2,FALSE))))</f>
        <v/>
      </c>
      <c r="AI29" s="454"/>
      <c r="AJ29" s="362">
        <v>0</v>
      </c>
      <c r="AK29" s="401">
        <v>2</v>
      </c>
      <c r="AL29" s="354">
        <v>0</v>
      </c>
      <c r="AM29" s="354"/>
      <c r="AN29" s="103"/>
      <c r="AO29" s="422" t="s">
        <v>181</v>
      </c>
      <c r="AP29" s="103" t="str">
        <f t="shared" si="14"/>
        <v/>
      </c>
      <c r="AQ29" s="103" t="str">
        <f t="shared" si="6"/>
        <v/>
      </c>
      <c r="AR29" s="103"/>
      <c r="AS29" s="103"/>
      <c r="AT29" s="240" t="str">
        <f t="shared" si="7"/>
        <v/>
      </c>
      <c r="AU29" s="240">
        <f t="shared" si="1"/>
        <v>0</v>
      </c>
      <c r="AV29" s="240">
        <f t="shared" si="2"/>
        <v>0</v>
      </c>
      <c r="AW29" s="240">
        <f t="shared" si="3"/>
        <v>0</v>
      </c>
      <c r="AX29" s="240">
        <f t="shared" si="8"/>
        <v>0</v>
      </c>
      <c r="AY29" s="238"/>
      <c r="BA29" s="4"/>
      <c r="BB29" s="4">
        <f t="shared" si="9"/>
        <v>0</v>
      </c>
      <c r="BC29" s="4">
        <f t="shared" si="10"/>
        <v>0</v>
      </c>
      <c r="BD29" s="4" t="str">
        <f t="shared" si="11"/>
        <v/>
      </c>
      <c r="BE29" s="4" t="str">
        <f t="shared" si="12"/>
        <v/>
      </c>
      <c r="BF29" s="627"/>
      <c r="BG29" s="627"/>
      <c r="BH29" s="623"/>
      <c r="BI29" s="618"/>
      <c r="BJ29" s="623"/>
      <c r="BK29" s="618"/>
      <c r="BL29" s="623"/>
      <c r="BM29" s="618"/>
      <c r="BN29" s="623"/>
      <c r="BO29" s="618"/>
      <c r="BP29" s="179" t="e">
        <f ca="1">VLookUpX("男子C",$A$7:$F$56,6,5)</f>
        <v>#N/A</v>
      </c>
      <c r="BQ29" s="179" t="e">
        <f ca="1">VLookUpX("男子C",$A$7:$F$56,6,6)</f>
        <v>#N/A</v>
      </c>
      <c r="BR29" s="179" t="e">
        <f ca="1">VLookUpX("男子C",$C$7:$F$56,6,3)</f>
        <v>#N/A</v>
      </c>
      <c r="BS29" s="179" t="e">
        <f ca="1">VLookUpX("男子C",$C$7:$F$56,6,4)</f>
        <v>#N/A</v>
      </c>
      <c r="BT29" s="179" t="e">
        <f ca="1">VLookUpX("女子C",$A$7:$F$56,6,5)</f>
        <v>#N/A</v>
      </c>
      <c r="BU29" s="179" t="e">
        <f ca="1">VLookUpX("女子C",$A$7:$F$56,6,6)</f>
        <v>#N/A</v>
      </c>
      <c r="BV29" s="179" t="e">
        <f ca="1">VLookUpX("女子C",$C$7:$F$56,6,3)</f>
        <v>#N/A</v>
      </c>
      <c r="BW29" s="179" t="e">
        <f ca="1">VLookUpX("女子C",$C$7:$F$56,6,4)</f>
        <v>#N/A</v>
      </c>
    </row>
    <row r="30" spans="1:79">
      <c r="A30" s="5">
        <f t="shared" si="4"/>
        <v>0</v>
      </c>
      <c r="B30" s="18" t="str">
        <f>名簿!Q32</f>
        <v/>
      </c>
      <c r="C30" s="5">
        <f t="shared" si="5"/>
        <v>0</v>
      </c>
      <c r="D30" s="776">
        <f>名簿!D32</f>
        <v>0</v>
      </c>
      <c r="E30" s="19">
        <f>名簿!E32</f>
        <v>0</v>
      </c>
      <c r="F30" s="205" t="str">
        <f>名簿!BN32</f>
        <v/>
      </c>
      <c r="G30" s="19" t="str">
        <f>名簿!Z32</f>
        <v/>
      </c>
      <c r="H30" s="122" t="str">
        <f t="shared" si="0"/>
        <v/>
      </c>
      <c r="I30" s="361" t="str">
        <f>名簿!O32</f>
        <v/>
      </c>
      <c r="J30" s="385">
        <f>名簿!I32</f>
        <v>0</v>
      </c>
      <c r="K30" s="684">
        <f>名簿!K32</f>
        <v>0</v>
      </c>
      <c r="L30" s="409" t="str">
        <f>名簿!BQ32</f>
        <v>00</v>
      </c>
      <c r="M30" s="19" t="s">
        <v>457</v>
      </c>
      <c r="N30" s="689">
        <v>23</v>
      </c>
      <c r="O30" s="202"/>
      <c r="P30" s="201" t="str">
        <f>IF(O30="","",IF(I30=1,VLOOKUP(O30,男子種目コード!$V$1:$W$5,2,FALSE),IF(I30=2,VLOOKUP(O30,女子種目コード!$V$1:$W$5,2,FALSE))))</f>
        <v/>
      </c>
      <c r="Q30" s="299" t="str">
        <f>IF(O30="","",HLOOKUP(O30,名簿!$AB$8:$BG$58,25,FALSE))</f>
        <v/>
      </c>
      <c r="R30" s="362">
        <v>0</v>
      </c>
      <c r="S30" s="401">
        <v>2</v>
      </c>
      <c r="T30" s="200"/>
      <c r="U30" s="201" t="str">
        <f>IF(T30="","",IF(I30=1,VLOOKUP(T30,男子種目コード!$V$1:$W$5,2,FALSE),IF(I30=2,VLOOKUP(T30,女子種目コード!$V$1:$W$5,2,FALSE))))</f>
        <v/>
      </c>
      <c r="V30" s="299" t="str">
        <f>IF(T30="","",HLOOKUP(T30,名簿!$AB$8:$BG$58,25,FALSE))</f>
        <v/>
      </c>
      <c r="W30" s="204"/>
      <c r="X30" s="205" t="str">
        <f>IF(W30="","",IF(I30=1,VLOOKUP(W30,男子種目コード!$D$2:$E$30,2,FALSE),IF(I30=2,VLOOKUP(W30,女子種目コード!$D$2:$E$30,2,FALSE))))</f>
        <v/>
      </c>
      <c r="Y30" s="454"/>
      <c r="Z30" s="362"/>
      <c r="AA30" s="362"/>
      <c r="AB30" s="459"/>
      <c r="AC30" s="463" t="str">
        <f>IF(AB30="","",IF(I30=1,VLOOKUP(AB30,男子種目コード!$V$1:$W$5,2,FALSE),IF(I30=2,VLOOKUP(AB30,女子種目コード!$V$1:$W$5,2,FALSE))))</f>
        <v/>
      </c>
      <c r="AD30" s="454"/>
      <c r="AE30" s="362">
        <v>0</v>
      </c>
      <c r="AF30" s="362">
        <v>2</v>
      </c>
      <c r="AG30" s="203"/>
      <c r="AH30" s="7" t="str">
        <f>IF(AG30="","",IF(I30=1,VLOOKUP(AG30,男子種目コード!$A$78:$B$81,2,FALSE),IF(I30=2,VLOOKUP(AG30,女子種目コード!$A$78:$B$81,2,FALSE))))</f>
        <v/>
      </c>
      <c r="AI30" s="454"/>
      <c r="AJ30" s="362">
        <v>0</v>
      </c>
      <c r="AK30" s="401">
        <v>2</v>
      </c>
      <c r="AL30" s="354">
        <v>0</v>
      </c>
      <c r="AM30" s="354"/>
      <c r="AN30" s="103"/>
      <c r="AO30" s="422" t="s">
        <v>182</v>
      </c>
      <c r="AP30" s="103" t="str">
        <f t="shared" si="14"/>
        <v/>
      </c>
      <c r="AQ30" s="103" t="str">
        <f t="shared" si="6"/>
        <v/>
      </c>
      <c r="AR30" s="103"/>
      <c r="AS30" s="103"/>
      <c r="AT30" s="240" t="str">
        <f t="shared" si="7"/>
        <v/>
      </c>
      <c r="AU30" s="240">
        <f t="shared" si="1"/>
        <v>0</v>
      </c>
      <c r="AV30" s="240">
        <f t="shared" si="2"/>
        <v>0</v>
      </c>
      <c r="AW30" s="240">
        <f t="shared" si="3"/>
        <v>0</v>
      </c>
      <c r="AX30" s="240">
        <f t="shared" si="8"/>
        <v>0</v>
      </c>
      <c r="AY30" s="237"/>
      <c r="AZ30" s="237"/>
      <c r="BA30" s="4"/>
      <c r="BB30" s="4">
        <f t="shared" si="9"/>
        <v>0</v>
      </c>
      <c r="BC30" s="4">
        <f t="shared" si="10"/>
        <v>0</v>
      </c>
      <c r="BD30" s="4" t="str">
        <f t="shared" si="11"/>
        <v/>
      </c>
      <c r="BE30" s="4" t="str">
        <f t="shared" si="12"/>
        <v/>
      </c>
      <c r="BF30" s="627"/>
      <c r="BG30" s="627"/>
      <c r="BH30" s="625"/>
      <c r="BI30" s="624"/>
      <c r="BJ30" s="625"/>
      <c r="BK30" s="624"/>
      <c r="BL30" s="625"/>
      <c r="BM30" s="625"/>
      <c r="BN30" s="625"/>
      <c r="BO30" s="624"/>
    </row>
    <row r="31" spans="1:79">
      <c r="A31" s="5">
        <f t="shared" si="4"/>
        <v>0</v>
      </c>
      <c r="B31" s="18" t="str">
        <f>名簿!Q33</f>
        <v/>
      </c>
      <c r="C31" s="5">
        <f t="shared" si="5"/>
        <v>0</v>
      </c>
      <c r="D31" s="776">
        <f>名簿!D33</f>
        <v>0</v>
      </c>
      <c r="E31" s="19">
        <f>名簿!E33</f>
        <v>0</v>
      </c>
      <c r="F31" s="205" t="str">
        <f>名簿!BN33</f>
        <v/>
      </c>
      <c r="G31" s="19" t="str">
        <f>名簿!Z33</f>
        <v/>
      </c>
      <c r="H31" s="122" t="str">
        <f t="shared" si="0"/>
        <v/>
      </c>
      <c r="I31" s="361" t="str">
        <f>名簿!O33</f>
        <v/>
      </c>
      <c r="J31" s="385">
        <f>名簿!I33</f>
        <v>0</v>
      </c>
      <c r="K31" s="684">
        <f>名簿!K33</f>
        <v>0</v>
      </c>
      <c r="L31" s="409" t="str">
        <f>名簿!BQ33</f>
        <v>00</v>
      </c>
      <c r="M31" s="19" t="s">
        <v>457</v>
      </c>
      <c r="N31" s="689">
        <v>23</v>
      </c>
      <c r="O31" s="202"/>
      <c r="P31" s="201" t="str">
        <f>IF(O31="","",IF(I31=1,VLOOKUP(O31,男子種目コード!$V$1:$W$5,2,FALSE),IF(I31=2,VLOOKUP(O31,女子種目コード!$V$1:$W$5,2,FALSE))))</f>
        <v/>
      </c>
      <c r="Q31" s="299" t="str">
        <f>IF(O31="","",HLOOKUP(O31,名簿!$AB$8:$BG$58,26,FALSE))</f>
        <v/>
      </c>
      <c r="R31" s="362">
        <v>0</v>
      </c>
      <c r="S31" s="401">
        <v>2</v>
      </c>
      <c r="T31" s="200"/>
      <c r="U31" s="201" t="str">
        <f>IF(T31="","",IF(I31=1,VLOOKUP(T31,男子種目コード!$V$1:$W$5,2,FALSE),IF(I31=2,VLOOKUP(T31,女子種目コード!$V$1:$W$5,2,FALSE))))</f>
        <v/>
      </c>
      <c r="V31" s="299" t="str">
        <f>IF(T31="","",HLOOKUP(T31,名簿!$AB$8:$BG$58,26,FALSE))</f>
        <v/>
      </c>
      <c r="W31" s="204"/>
      <c r="X31" s="205" t="str">
        <f>IF(W31="","",IF(I31=1,VLOOKUP(W31,男子種目コード!$D$2:$E$30,2,FALSE),IF(I31=2,VLOOKUP(W31,女子種目コード!$D$2:$E$30,2,FALSE))))</f>
        <v/>
      </c>
      <c r="Y31" s="454"/>
      <c r="Z31" s="362"/>
      <c r="AA31" s="362"/>
      <c r="AB31" s="459"/>
      <c r="AC31" s="463" t="str">
        <f>IF(AB31="","",IF(I31=1,VLOOKUP(AB31,男子種目コード!$V$1:$W$5,2,FALSE),IF(I31=2,VLOOKUP(AB31,女子種目コード!$V$1:$W$5,2,FALSE))))</f>
        <v/>
      </c>
      <c r="AD31" s="454"/>
      <c r="AE31" s="362">
        <v>0</v>
      </c>
      <c r="AF31" s="362">
        <v>2</v>
      </c>
      <c r="AG31" s="203"/>
      <c r="AH31" s="7" t="str">
        <f>IF(AG31="","",IF(I31=1,VLOOKUP(AG31,男子種目コード!$A$78:$B$81,2,FALSE),IF(I31=2,VLOOKUP(AG31,女子種目コード!$A$78:$B$81,2,FALSE))))</f>
        <v/>
      </c>
      <c r="AI31" s="454"/>
      <c r="AJ31" s="362">
        <v>0</v>
      </c>
      <c r="AK31" s="401">
        <v>2</v>
      </c>
      <c r="AL31" s="354">
        <v>0</v>
      </c>
      <c r="AM31" s="354"/>
      <c r="AN31" s="103"/>
      <c r="AO31" s="422" t="s">
        <v>183</v>
      </c>
      <c r="AP31" s="103" t="str">
        <f t="shared" si="14"/>
        <v/>
      </c>
      <c r="AQ31" s="103" t="str">
        <f t="shared" si="6"/>
        <v/>
      </c>
      <c r="AR31" s="103"/>
      <c r="AS31" s="103"/>
      <c r="AT31" s="240" t="str">
        <f t="shared" si="7"/>
        <v/>
      </c>
      <c r="AU31" s="240">
        <f t="shared" si="1"/>
        <v>0</v>
      </c>
      <c r="AV31" s="240">
        <f t="shared" si="2"/>
        <v>0</v>
      </c>
      <c r="AW31" s="240">
        <f t="shared" si="3"/>
        <v>0</v>
      </c>
      <c r="AX31" s="240">
        <f t="shared" si="8"/>
        <v>0</v>
      </c>
      <c r="AY31" s="237"/>
      <c r="AZ31" s="237"/>
      <c r="BA31" s="4"/>
      <c r="BB31" s="4">
        <f t="shared" si="9"/>
        <v>0</v>
      </c>
      <c r="BC31" s="4">
        <f t="shared" si="10"/>
        <v>0</v>
      </c>
      <c r="BD31" s="4" t="str">
        <f t="shared" si="11"/>
        <v/>
      </c>
      <c r="BE31" s="4" t="str">
        <f t="shared" si="12"/>
        <v/>
      </c>
      <c r="BF31" s="627"/>
      <c r="BG31" s="627"/>
      <c r="BH31" s="622"/>
      <c r="BI31" s="621"/>
      <c r="BJ31" s="622"/>
      <c r="BK31" s="621"/>
      <c r="BL31" s="622"/>
      <c r="BM31" s="621"/>
      <c r="BN31" s="622"/>
      <c r="BO31" s="621"/>
    </row>
    <row r="32" spans="1:79">
      <c r="A32" s="5">
        <f t="shared" si="4"/>
        <v>0</v>
      </c>
      <c r="B32" s="18" t="str">
        <f>名簿!Q34</f>
        <v/>
      </c>
      <c r="C32" s="5">
        <f t="shared" si="5"/>
        <v>0</v>
      </c>
      <c r="D32" s="776">
        <f>名簿!D34</f>
        <v>0</v>
      </c>
      <c r="E32" s="19">
        <f>名簿!E34</f>
        <v>0</v>
      </c>
      <c r="F32" s="205" t="str">
        <f>名簿!BN34</f>
        <v/>
      </c>
      <c r="G32" s="19" t="str">
        <f>名簿!Z34</f>
        <v/>
      </c>
      <c r="H32" s="122" t="str">
        <f t="shared" si="0"/>
        <v/>
      </c>
      <c r="I32" s="361" t="str">
        <f>名簿!O34</f>
        <v/>
      </c>
      <c r="J32" s="385">
        <f>名簿!I34</f>
        <v>0</v>
      </c>
      <c r="K32" s="684">
        <f>名簿!K34</f>
        <v>0</v>
      </c>
      <c r="L32" s="409" t="str">
        <f>名簿!BQ34</f>
        <v>00</v>
      </c>
      <c r="M32" s="19" t="s">
        <v>457</v>
      </c>
      <c r="N32" s="689">
        <v>23</v>
      </c>
      <c r="O32" s="202"/>
      <c r="P32" s="201" t="str">
        <f>IF(O32="","",IF(I32=1,VLOOKUP(O32,男子種目コード!$V$1:$W$5,2,FALSE),IF(I32=2,VLOOKUP(O32,女子種目コード!$V$1:$W$5,2,FALSE))))</f>
        <v/>
      </c>
      <c r="Q32" s="299" t="str">
        <f>IF(O32="","",HLOOKUP(O32,名簿!$AB$8:$BG$58,27,FALSE))</f>
        <v/>
      </c>
      <c r="R32" s="362">
        <v>0</v>
      </c>
      <c r="S32" s="401">
        <v>2</v>
      </c>
      <c r="T32" s="200"/>
      <c r="U32" s="201" t="str">
        <f>IF(T32="","",IF(I32=1,VLOOKUP(T32,男子種目コード!$V$1:$W$5,2,FALSE),IF(I32=2,VLOOKUP(T32,女子種目コード!$V$1:$W$5,2,FALSE))))</f>
        <v/>
      </c>
      <c r="V32" s="299" t="str">
        <f>IF(T32="","",HLOOKUP(T32,名簿!$AB$8:$BG$58,27,FALSE))</f>
        <v/>
      </c>
      <c r="W32" s="204"/>
      <c r="X32" s="205" t="str">
        <f>IF(W32="","",IF(I32=1,VLOOKUP(W32,男子種目コード!$D$2:$E$30,2,FALSE),IF(I32=2,VLOOKUP(W32,女子種目コード!$D$2:$E$30,2,FALSE))))</f>
        <v/>
      </c>
      <c r="Y32" s="454"/>
      <c r="Z32" s="362"/>
      <c r="AA32" s="362"/>
      <c r="AB32" s="459"/>
      <c r="AC32" s="463" t="str">
        <f>IF(AB32="","",IF(I32=1,VLOOKUP(AB32,男子種目コード!$V$1:$W$5,2,FALSE),IF(I32=2,VLOOKUP(AB32,女子種目コード!$V$1:$W$5,2,FALSE))))</f>
        <v/>
      </c>
      <c r="AD32" s="454"/>
      <c r="AE32" s="362">
        <v>0</v>
      </c>
      <c r="AF32" s="362">
        <v>2</v>
      </c>
      <c r="AG32" s="203"/>
      <c r="AH32" s="7" t="str">
        <f>IF(AG32="","",IF(I32=1,VLOOKUP(AG32,男子種目コード!$A$78:$B$81,2,FALSE),IF(I32=2,VLOOKUP(AG32,女子種目コード!$A$78:$B$81,2,FALSE))))</f>
        <v/>
      </c>
      <c r="AI32" s="454"/>
      <c r="AJ32" s="362">
        <v>0</v>
      </c>
      <c r="AK32" s="401">
        <v>2</v>
      </c>
      <c r="AL32" s="354">
        <v>0</v>
      </c>
      <c r="AM32" s="354"/>
      <c r="AN32" s="103"/>
      <c r="AO32" s="424" t="s">
        <v>210</v>
      </c>
      <c r="AP32" s="103" t="str">
        <f t="shared" si="14"/>
        <v/>
      </c>
      <c r="AQ32" s="103" t="str">
        <f t="shared" si="6"/>
        <v/>
      </c>
      <c r="AR32" s="103"/>
      <c r="AS32" s="103"/>
      <c r="AT32" s="240" t="str">
        <f t="shared" si="7"/>
        <v/>
      </c>
      <c r="AU32" s="240">
        <f t="shared" si="1"/>
        <v>0</v>
      </c>
      <c r="AV32" s="240">
        <f t="shared" si="2"/>
        <v>0</v>
      </c>
      <c r="AW32" s="240">
        <f t="shared" si="3"/>
        <v>0</v>
      </c>
      <c r="AX32" s="240">
        <f t="shared" si="8"/>
        <v>0</v>
      </c>
      <c r="AY32" s="237"/>
      <c r="AZ32" s="237"/>
      <c r="BA32" s="4"/>
      <c r="BB32" s="4">
        <f t="shared" si="9"/>
        <v>0</v>
      </c>
      <c r="BC32" s="4">
        <f t="shared" si="10"/>
        <v>0</v>
      </c>
      <c r="BD32" s="4" t="str">
        <f t="shared" si="11"/>
        <v/>
      </c>
      <c r="BE32" s="4" t="str">
        <f t="shared" si="12"/>
        <v/>
      </c>
      <c r="BF32" s="627"/>
      <c r="BG32" s="627"/>
      <c r="BH32" s="623"/>
      <c r="BI32" s="618"/>
      <c r="BJ32" s="623"/>
      <c r="BK32" s="618"/>
      <c r="BL32" s="623"/>
      <c r="BM32" s="618"/>
      <c r="BN32" s="623"/>
      <c r="BO32" s="618"/>
      <c r="BP32" s="179" t="e">
        <f ca="1">VLookUpX("男子D",$A$7:$F$56,1,5)</f>
        <v>#N/A</v>
      </c>
      <c r="BQ32" s="179" t="e">
        <f ca="1">VLookUpX("男子D",$A$7:$F$56,1,6)</f>
        <v>#N/A</v>
      </c>
      <c r="BR32" s="179" t="e">
        <f ca="1">VLookUpX("男子D",$C$7:$F$56,1,3)</f>
        <v>#N/A</v>
      </c>
      <c r="BS32" s="179" t="e">
        <f ca="1">VLookUpX("男子D",$C$7:$F$56,1,4)</f>
        <v>#N/A</v>
      </c>
      <c r="BT32" s="179" t="e">
        <f ca="1">VLookUpX("女子D",$A$7:$F$56,1,5)</f>
        <v>#N/A</v>
      </c>
      <c r="BU32" s="179" t="e">
        <f ca="1">VLookUpX("女子D",$A$7:$F$56,1,6)</f>
        <v>#N/A</v>
      </c>
      <c r="BV32" s="179" t="e">
        <f ca="1">VLookUpX("女子D",$C$7:$F$56,1,3)</f>
        <v>#N/A</v>
      </c>
      <c r="BW32" s="179" t="e">
        <f ca="1">VLookUpX("女子D",$C$7:$F$56,1,4)</f>
        <v>#N/A</v>
      </c>
      <c r="BX32" s="4" t="str">
        <f>IF(BH32="","",1)</f>
        <v/>
      </c>
      <c r="BY32" s="4" t="str">
        <f>IF(BJ32="","",1)</f>
        <v/>
      </c>
      <c r="BZ32" s="4" t="str">
        <f>IF(BL32="","",1)</f>
        <v/>
      </c>
      <c r="CA32" s="4" t="str">
        <f>IF(BN32="","",1)</f>
        <v/>
      </c>
    </row>
    <row r="33" spans="1:80">
      <c r="A33" s="5">
        <f t="shared" si="4"/>
        <v>0</v>
      </c>
      <c r="B33" s="18" t="str">
        <f>名簿!Q35</f>
        <v/>
      </c>
      <c r="C33" s="5">
        <f t="shared" si="5"/>
        <v>0</v>
      </c>
      <c r="D33" s="776">
        <f>名簿!D35</f>
        <v>0</v>
      </c>
      <c r="E33" s="19">
        <f>名簿!E35</f>
        <v>0</v>
      </c>
      <c r="F33" s="205" t="str">
        <f>名簿!BN35</f>
        <v/>
      </c>
      <c r="G33" s="19" t="str">
        <f>名簿!Z35</f>
        <v/>
      </c>
      <c r="H33" s="122" t="str">
        <f t="shared" si="0"/>
        <v/>
      </c>
      <c r="I33" s="361" t="str">
        <f>名簿!O35</f>
        <v/>
      </c>
      <c r="J33" s="385">
        <f>名簿!I35</f>
        <v>0</v>
      </c>
      <c r="K33" s="684">
        <f>名簿!K35</f>
        <v>0</v>
      </c>
      <c r="L33" s="409" t="str">
        <f>名簿!BQ35</f>
        <v>00</v>
      </c>
      <c r="M33" s="19" t="s">
        <v>457</v>
      </c>
      <c r="N33" s="689">
        <v>23</v>
      </c>
      <c r="O33" s="202"/>
      <c r="P33" s="201" t="str">
        <f>IF(O33="","",IF(I33=1,VLOOKUP(O33,男子種目コード!$V$1:$W$5,2,FALSE),IF(I33=2,VLOOKUP(O33,女子種目コード!$V$1:$W$5,2,FALSE))))</f>
        <v/>
      </c>
      <c r="Q33" s="299" t="str">
        <f>IF(O33="","",HLOOKUP(O33,名簿!$AB$8:$BG$58,28,FALSE))</f>
        <v/>
      </c>
      <c r="R33" s="362">
        <v>0</v>
      </c>
      <c r="S33" s="401">
        <v>2</v>
      </c>
      <c r="T33" s="200"/>
      <c r="U33" s="201" t="str">
        <f>IF(T33="","",IF(I33=1,VLOOKUP(T33,男子種目コード!$V$1:$W$5,2,FALSE),IF(I33=2,VLOOKUP(T33,女子種目コード!$V$1:$W$5,2,FALSE))))</f>
        <v/>
      </c>
      <c r="V33" s="299" t="str">
        <f>IF(T33="","",HLOOKUP(T33,名簿!$AB$8:$BG$58,28,FALSE))</f>
        <v/>
      </c>
      <c r="W33" s="204"/>
      <c r="X33" s="205" t="str">
        <f>IF(W33="","",IF(I33=1,VLOOKUP(W33,男子種目コード!$D$2:$E$30,2,FALSE),IF(I33=2,VLOOKUP(W33,女子種目コード!$D$2:$E$30,2,FALSE))))</f>
        <v/>
      </c>
      <c r="Y33" s="454"/>
      <c r="Z33" s="362"/>
      <c r="AA33" s="362"/>
      <c r="AB33" s="459"/>
      <c r="AC33" s="463" t="str">
        <f>IF(AB33="","",IF(I33=1,VLOOKUP(AB33,男子種目コード!$V$1:$W$5,2,FALSE),IF(I33=2,VLOOKUP(AB33,女子種目コード!$V$1:$W$5,2,FALSE))))</f>
        <v/>
      </c>
      <c r="AD33" s="454"/>
      <c r="AE33" s="362">
        <v>0</v>
      </c>
      <c r="AF33" s="362">
        <v>2</v>
      </c>
      <c r="AG33" s="203"/>
      <c r="AH33" s="7" t="str">
        <f>IF(AG33="","",IF(I33=1,VLOOKUP(AG33,男子種目コード!$A$78:$B$81,2,FALSE),IF(I33=2,VLOOKUP(AG33,女子種目コード!$A$78:$B$81,2,FALSE))))</f>
        <v/>
      </c>
      <c r="AI33" s="454"/>
      <c r="AJ33" s="362">
        <v>0</v>
      </c>
      <c r="AK33" s="401">
        <v>2</v>
      </c>
      <c r="AL33" s="354">
        <v>0</v>
      </c>
      <c r="AM33" s="354"/>
      <c r="AN33" s="103"/>
      <c r="AO33" s="424" t="s">
        <v>211</v>
      </c>
      <c r="AP33" s="103" t="str">
        <f t="shared" si="14"/>
        <v/>
      </c>
      <c r="AQ33" s="103" t="str">
        <f t="shared" si="6"/>
        <v/>
      </c>
      <c r="AR33" s="103"/>
      <c r="AS33" s="103"/>
      <c r="AT33" s="240" t="str">
        <f t="shared" si="7"/>
        <v/>
      </c>
      <c r="AU33" s="240">
        <f t="shared" si="1"/>
        <v>0</v>
      </c>
      <c r="AV33" s="240">
        <f t="shared" si="2"/>
        <v>0</v>
      </c>
      <c r="AW33" s="240">
        <f t="shared" si="3"/>
        <v>0</v>
      </c>
      <c r="AX33" s="240">
        <f t="shared" si="8"/>
        <v>0</v>
      </c>
      <c r="AY33" s="237"/>
      <c r="AZ33" s="237"/>
      <c r="BA33" s="4"/>
      <c r="BB33" s="4">
        <f t="shared" si="9"/>
        <v>0</v>
      </c>
      <c r="BC33" s="4">
        <f t="shared" si="10"/>
        <v>0</v>
      </c>
      <c r="BD33" s="4" t="str">
        <f t="shared" si="11"/>
        <v/>
      </c>
      <c r="BE33" s="4" t="str">
        <f t="shared" si="12"/>
        <v/>
      </c>
      <c r="BF33" s="627"/>
      <c r="BG33" s="627"/>
      <c r="BH33" s="623"/>
      <c r="BI33" s="618"/>
      <c r="BJ33" s="623"/>
      <c r="BK33" s="618"/>
      <c r="BL33" s="623"/>
      <c r="BM33" s="618"/>
      <c r="BN33" s="623"/>
      <c r="BO33" s="618"/>
      <c r="BP33" s="179" t="e">
        <f ca="1">VLookUpX("男子D",$A$7:$F$56,2,5)</f>
        <v>#N/A</v>
      </c>
      <c r="BQ33" s="179" t="e">
        <f ca="1">VLookUpX("男子D",$A$7:$F$56,2,6)</f>
        <v>#N/A</v>
      </c>
      <c r="BR33" s="179" t="e">
        <f ca="1">VLookUpX("男子D",$C$7:$F$56,2,3)</f>
        <v>#N/A</v>
      </c>
      <c r="BS33" s="179" t="e">
        <f ca="1">VLookUpX("男子D",$C$7:$F$56,2,4)</f>
        <v>#N/A</v>
      </c>
      <c r="BT33" s="179" t="e">
        <f ca="1">VLookUpX("女子D",$A$7:$F$56,2,5)</f>
        <v>#N/A</v>
      </c>
      <c r="BU33" s="179" t="e">
        <f ca="1">VLookUpX("女子D",$A$7:$F$56,2,6)</f>
        <v>#N/A</v>
      </c>
      <c r="BV33" s="179" t="e">
        <f ca="1">VLookUpX("女子D",$C$7:$F$56,2,3)</f>
        <v>#N/A</v>
      </c>
      <c r="BW33" s="179" t="e">
        <f ca="1">VLookUpX("女子D",$C$7:$F$56,2,4)</f>
        <v>#N/A</v>
      </c>
    </row>
    <row r="34" spans="1:80">
      <c r="A34" s="5">
        <f t="shared" si="4"/>
        <v>0</v>
      </c>
      <c r="B34" s="18" t="str">
        <f>名簿!Q36</f>
        <v/>
      </c>
      <c r="C34" s="5">
        <f t="shared" si="5"/>
        <v>0</v>
      </c>
      <c r="D34" s="776">
        <f>名簿!D36</f>
        <v>0</v>
      </c>
      <c r="E34" s="19">
        <f>名簿!E36</f>
        <v>0</v>
      </c>
      <c r="F34" s="205" t="str">
        <f>名簿!BN36</f>
        <v/>
      </c>
      <c r="G34" s="19" t="str">
        <f>名簿!Z36</f>
        <v/>
      </c>
      <c r="H34" s="122" t="str">
        <f t="shared" si="0"/>
        <v/>
      </c>
      <c r="I34" s="361" t="str">
        <f>名簿!O36</f>
        <v/>
      </c>
      <c r="J34" s="385">
        <f>名簿!I36</f>
        <v>0</v>
      </c>
      <c r="K34" s="684">
        <f>名簿!K36</f>
        <v>0</v>
      </c>
      <c r="L34" s="409" t="str">
        <f>名簿!BQ36</f>
        <v>00</v>
      </c>
      <c r="M34" s="19" t="s">
        <v>457</v>
      </c>
      <c r="N34" s="689">
        <v>23</v>
      </c>
      <c r="O34" s="202"/>
      <c r="P34" s="201" t="str">
        <f>IF(O34="","",IF(I34=1,VLOOKUP(O34,男子種目コード!$V$1:$W$5,2,FALSE),IF(I34=2,VLOOKUP(O34,女子種目コード!$V$1:$W$5,2,FALSE))))</f>
        <v/>
      </c>
      <c r="Q34" s="299" t="str">
        <f>IF(O34="","",HLOOKUP(O34,名簿!$AB$8:$BG$58,29,FALSE))</f>
        <v/>
      </c>
      <c r="R34" s="362">
        <v>0</v>
      </c>
      <c r="S34" s="401">
        <v>2</v>
      </c>
      <c r="T34" s="200"/>
      <c r="U34" s="201" t="str">
        <f>IF(T34="","",IF(I34=1,VLOOKUP(T34,男子種目コード!$V$1:$W$5,2,FALSE),IF(I34=2,VLOOKUP(T34,女子種目コード!$V$1:$W$5,2,FALSE))))</f>
        <v/>
      </c>
      <c r="V34" s="299" t="str">
        <f>IF(T34="","",HLOOKUP(T34,名簿!$AB$8:$BG$58,29,FALSE))</f>
        <v/>
      </c>
      <c r="W34" s="204"/>
      <c r="X34" s="205" t="str">
        <f>IF(W34="","",IF(I34=1,VLOOKUP(W34,男子種目コード!$D$2:$E$30,2,FALSE),IF(I34=2,VLOOKUP(W34,女子種目コード!$D$2:$E$30,2,FALSE))))</f>
        <v/>
      </c>
      <c r="Y34" s="454"/>
      <c r="Z34" s="362"/>
      <c r="AA34" s="362"/>
      <c r="AB34" s="459"/>
      <c r="AC34" s="463" t="str">
        <f>IF(AB34="","",IF(I34=1,VLOOKUP(AB34,男子種目コード!$V$1:$W$5,2,FALSE),IF(I34=2,VLOOKUP(AB34,女子種目コード!$V$1:$W$5,2,FALSE))))</f>
        <v/>
      </c>
      <c r="AD34" s="454"/>
      <c r="AE34" s="362">
        <v>0</v>
      </c>
      <c r="AF34" s="362">
        <v>2</v>
      </c>
      <c r="AG34" s="203"/>
      <c r="AH34" s="7" t="str">
        <f>IF(AG34="","",IF(I34=1,VLOOKUP(AG34,男子種目コード!$A$78:$B$81,2,FALSE),IF(I34=2,VLOOKUP(AG34,女子種目コード!$A$78:$B$81,2,FALSE))))</f>
        <v/>
      </c>
      <c r="AI34" s="454"/>
      <c r="AJ34" s="362">
        <v>0</v>
      </c>
      <c r="AK34" s="401">
        <v>2</v>
      </c>
      <c r="AL34" s="354">
        <v>0</v>
      </c>
      <c r="AM34" s="354"/>
      <c r="AN34" s="103"/>
      <c r="AO34" s="424" t="s">
        <v>212</v>
      </c>
      <c r="AP34" s="103" t="str">
        <f t="shared" si="14"/>
        <v/>
      </c>
      <c r="AQ34" s="103" t="str">
        <f t="shared" si="6"/>
        <v/>
      </c>
      <c r="AR34" s="103"/>
      <c r="AS34" s="103"/>
      <c r="AT34" s="240" t="str">
        <f t="shared" si="7"/>
        <v/>
      </c>
      <c r="AU34" s="240">
        <f t="shared" si="1"/>
        <v>0</v>
      </c>
      <c r="AV34" s="240">
        <f t="shared" si="2"/>
        <v>0</v>
      </c>
      <c r="AW34" s="240">
        <f t="shared" si="3"/>
        <v>0</v>
      </c>
      <c r="AX34" s="240">
        <f t="shared" si="8"/>
        <v>0</v>
      </c>
      <c r="AY34" s="237"/>
      <c r="AZ34" s="237"/>
      <c r="BA34" s="4"/>
      <c r="BB34" s="4">
        <f t="shared" si="9"/>
        <v>0</v>
      </c>
      <c r="BC34" s="4">
        <f t="shared" si="10"/>
        <v>0</v>
      </c>
      <c r="BD34" s="4" t="str">
        <f t="shared" si="11"/>
        <v/>
      </c>
      <c r="BE34" s="4" t="str">
        <f t="shared" si="12"/>
        <v/>
      </c>
      <c r="BF34" s="627"/>
      <c r="BG34" s="627"/>
      <c r="BH34" s="623"/>
      <c r="BI34" s="618"/>
      <c r="BJ34" s="623"/>
      <c r="BK34" s="618"/>
      <c r="BL34" s="623"/>
      <c r="BM34" s="618"/>
      <c r="BN34" s="623"/>
      <c r="BO34" s="618"/>
      <c r="BP34" s="179" t="e">
        <f ca="1">VLookUpX("男子D",$A$7:$F$56,3,5)</f>
        <v>#N/A</v>
      </c>
      <c r="BQ34" s="179" t="e">
        <f ca="1">VLookUpX("男子D",$A$7:$F$56,3,6)</f>
        <v>#N/A</v>
      </c>
      <c r="BR34" s="179" t="e">
        <f ca="1">VLookUpX("男子D",$C$7:$F$56,3,3)</f>
        <v>#N/A</v>
      </c>
      <c r="BS34" s="179" t="e">
        <f ca="1">VLookUpX("男子D",$C$7:$F$56,3,4)</f>
        <v>#N/A</v>
      </c>
      <c r="BT34" s="179" t="e">
        <f ca="1">VLookUpX("女子D",$A$7:$F$56,3,5)</f>
        <v>#N/A</v>
      </c>
      <c r="BU34" s="179" t="e">
        <f ca="1">VLookUpX("女子D",$A$7:$F$56,3,6)</f>
        <v>#N/A</v>
      </c>
      <c r="BV34" s="179" t="e">
        <f ca="1">VLookUpX("女子D",$C$7:$F$56,3,3)</f>
        <v>#N/A</v>
      </c>
      <c r="BW34" s="179" t="e">
        <f ca="1">VLookUpX("女子D",$C$7:$F$56,3,4)</f>
        <v>#N/A</v>
      </c>
    </row>
    <row r="35" spans="1:80">
      <c r="A35" s="5">
        <f t="shared" si="4"/>
        <v>0</v>
      </c>
      <c r="B35" s="18" t="str">
        <f>名簿!Q37</f>
        <v/>
      </c>
      <c r="C35" s="5">
        <f t="shared" si="5"/>
        <v>0</v>
      </c>
      <c r="D35" s="776">
        <f>名簿!D37</f>
        <v>0</v>
      </c>
      <c r="E35" s="19">
        <f>名簿!E37</f>
        <v>0</v>
      </c>
      <c r="F35" s="205" t="str">
        <f>名簿!BN37</f>
        <v/>
      </c>
      <c r="G35" s="19" t="str">
        <f>名簿!Z37</f>
        <v/>
      </c>
      <c r="H35" s="122" t="str">
        <f t="shared" si="0"/>
        <v/>
      </c>
      <c r="I35" s="361" t="str">
        <f>名簿!O37</f>
        <v/>
      </c>
      <c r="J35" s="385">
        <f>名簿!I37</f>
        <v>0</v>
      </c>
      <c r="K35" s="684">
        <f>名簿!K37</f>
        <v>0</v>
      </c>
      <c r="L35" s="409" t="str">
        <f>名簿!BQ37</f>
        <v>00</v>
      </c>
      <c r="M35" s="19" t="s">
        <v>457</v>
      </c>
      <c r="N35" s="689">
        <v>23</v>
      </c>
      <c r="O35" s="202"/>
      <c r="P35" s="201" t="str">
        <f>IF(O35="","",IF(I35=1,VLOOKUP(O35,男子種目コード!$V$1:$W$5,2,FALSE),IF(I35=2,VLOOKUP(O35,女子種目コード!$V$1:$W$5,2,FALSE))))</f>
        <v/>
      </c>
      <c r="Q35" s="299" t="str">
        <f>IF(O35="","",HLOOKUP(O35,名簿!$AB$8:$BG$58,30,FALSE))</f>
        <v/>
      </c>
      <c r="R35" s="362">
        <v>0</v>
      </c>
      <c r="S35" s="401">
        <v>2</v>
      </c>
      <c r="T35" s="200"/>
      <c r="U35" s="201" t="str">
        <f>IF(T35="","",IF(I35=1,VLOOKUP(T35,男子種目コード!$V$1:$W$5,2,FALSE),IF(I35=2,VLOOKUP(T35,女子種目コード!$V$1:$W$5,2,FALSE))))</f>
        <v/>
      </c>
      <c r="V35" s="299" t="str">
        <f>IF(T35="","",HLOOKUP(T35,名簿!$AB$8:$BG$58,30,FALSE))</f>
        <v/>
      </c>
      <c r="W35" s="204"/>
      <c r="X35" s="205" t="str">
        <f>IF(W35="","",IF(I35=1,VLOOKUP(W35,男子種目コード!$D$2:$E$30,2,FALSE),IF(I35=2,VLOOKUP(W35,女子種目コード!$D$2:$E$30,2,FALSE))))</f>
        <v/>
      </c>
      <c r="Y35" s="454"/>
      <c r="Z35" s="362"/>
      <c r="AA35" s="362"/>
      <c r="AB35" s="459"/>
      <c r="AC35" s="463" t="str">
        <f>IF(AB35="","",IF(I35=1,VLOOKUP(AB35,男子種目コード!$V$1:$W$5,2,FALSE),IF(I35=2,VLOOKUP(AB35,女子種目コード!$V$1:$W$5,2,FALSE))))</f>
        <v/>
      </c>
      <c r="AD35" s="454"/>
      <c r="AE35" s="362">
        <v>0</v>
      </c>
      <c r="AF35" s="362">
        <v>2</v>
      </c>
      <c r="AG35" s="203"/>
      <c r="AH35" s="7" t="str">
        <f>IF(AG35="","",IF(I35=1,VLOOKUP(AG35,男子種目コード!$A$78:$B$81,2,FALSE),IF(I35=2,VLOOKUP(AG35,女子種目コード!$A$78:$B$81,2,FALSE))))</f>
        <v/>
      </c>
      <c r="AI35" s="454"/>
      <c r="AJ35" s="362">
        <v>0</v>
      </c>
      <c r="AK35" s="401">
        <v>2</v>
      </c>
      <c r="AL35" s="354">
        <v>0</v>
      </c>
      <c r="AM35" s="354"/>
      <c r="AN35" s="103"/>
      <c r="AO35" s="424" t="s">
        <v>213</v>
      </c>
      <c r="AP35" s="103" t="str">
        <f t="shared" si="14"/>
        <v/>
      </c>
      <c r="AQ35" s="103" t="str">
        <f t="shared" si="6"/>
        <v/>
      </c>
      <c r="AR35" s="103"/>
      <c r="AS35" s="103"/>
      <c r="AT35" s="240" t="str">
        <f t="shared" si="7"/>
        <v/>
      </c>
      <c r="AU35" s="240">
        <f t="shared" si="1"/>
        <v>0</v>
      </c>
      <c r="AV35" s="240">
        <f t="shared" si="2"/>
        <v>0</v>
      </c>
      <c r="AW35" s="240">
        <f t="shared" si="3"/>
        <v>0</v>
      </c>
      <c r="AX35" s="240">
        <f t="shared" si="8"/>
        <v>0</v>
      </c>
      <c r="AY35" s="238"/>
      <c r="AZ35" s="238"/>
      <c r="BA35" s="4"/>
      <c r="BB35" s="4">
        <f t="shared" si="9"/>
        <v>0</v>
      </c>
      <c r="BC35" s="4">
        <f t="shared" si="10"/>
        <v>0</v>
      </c>
      <c r="BD35" s="4" t="str">
        <f t="shared" si="11"/>
        <v/>
      </c>
      <c r="BE35" s="4" t="str">
        <f t="shared" si="12"/>
        <v/>
      </c>
      <c r="BF35" s="627"/>
      <c r="BG35" s="627"/>
      <c r="BH35" s="623"/>
      <c r="BI35" s="618"/>
      <c r="BJ35" s="623"/>
      <c r="BK35" s="618"/>
      <c r="BL35" s="623"/>
      <c r="BM35" s="618"/>
      <c r="BN35" s="623"/>
      <c r="BO35" s="618"/>
      <c r="BP35" s="179" t="e">
        <f ca="1">VLookUpX("男子D",$A$7:$F$56,4,5)</f>
        <v>#N/A</v>
      </c>
      <c r="BQ35" s="179" t="e">
        <f ca="1">VLookUpX("男子D",$A$7:$F$56,4,6)</f>
        <v>#N/A</v>
      </c>
      <c r="BR35" s="179" t="e">
        <f ca="1">VLookUpX("男子D",$C$7:$F$56,4,3)</f>
        <v>#N/A</v>
      </c>
      <c r="BS35" s="179" t="e">
        <f ca="1">VLookUpX("男子D",$C$7:$F$56,4,4)</f>
        <v>#N/A</v>
      </c>
      <c r="BT35" s="179" t="e">
        <f ca="1">VLookUpX("女子D",$A$7:$F$56,4,5)</f>
        <v>#N/A</v>
      </c>
      <c r="BU35" s="179" t="e">
        <f ca="1">VLookUpX("女子D",$A$7:$F$56,4,6)</f>
        <v>#N/A</v>
      </c>
      <c r="BV35" s="179" t="e">
        <f ca="1">VLookUpX("女子D",$C$7:$F$56,4,3)</f>
        <v>#N/A</v>
      </c>
      <c r="BW35" s="179" t="e">
        <f ca="1">VLookUpX("女子D",$C$7:$F$56,4,4)</f>
        <v>#N/A</v>
      </c>
    </row>
    <row r="36" spans="1:80">
      <c r="A36" s="5">
        <f t="shared" si="4"/>
        <v>0</v>
      </c>
      <c r="B36" s="18" t="str">
        <f>名簿!Q38</f>
        <v/>
      </c>
      <c r="C36" s="5">
        <f t="shared" si="5"/>
        <v>0</v>
      </c>
      <c r="D36" s="776">
        <f>名簿!D38</f>
        <v>0</v>
      </c>
      <c r="E36" s="19">
        <f>名簿!E38</f>
        <v>0</v>
      </c>
      <c r="F36" s="205" t="str">
        <f>名簿!BN38</f>
        <v/>
      </c>
      <c r="G36" s="19" t="str">
        <f>名簿!Z38</f>
        <v/>
      </c>
      <c r="H36" s="122" t="str">
        <f t="shared" si="0"/>
        <v/>
      </c>
      <c r="I36" s="361" t="str">
        <f>名簿!O38</f>
        <v/>
      </c>
      <c r="J36" s="385">
        <f>名簿!I38</f>
        <v>0</v>
      </c>
      <c r="K36" s="684">
        <f>名簿!K38</f>
        <v>0</v>
      </c>
      <c r="L36" s="409" t="str">
        <f>名簿!BQ38</f>
        <v>00</v>
      </c>
      <c r="M36" s="19" t="s">
        <v>457</v>
      </c>
      <c r="N36" s="689">
        <v>23</v>
      </c>
      <c r="O36" s="202"/>
      <c r="P36" s="201" t="str">
        <f>IF(O36="","",IF(I36=1,VLOOKUP(O36,男子種目コード!$V$1:$W$5,2,FALSE),IF(I36=2,VLOOKUP(O36,女子種目コード!$V$1:$W$5,2,FALSE))))</f>
        <v/>
      </c>
      <c r="Q36" s="299" t="str">
        <f>IF(O36="","",HLOOKUP(O36,名簿!$AB$8:$BG$58,31,FALSE))</f>
        <v/>
      </c>
      <c r="R36" s="362">
        <v>0</v>
      </c>
      <c r="S36" s="401">
        <v>2</v>
      </c>
      <c r="T36" s="200"/>
      <c r="U36" s="201" t="str">
        <f>IF(T36="","",IF(I36=1,VLOOKUP(T36,男子種目コード!$V$1:$W$5,2,FALSE),IF(I36=2,VLOOKUP(T36,女子種目コード!$V$1:$W$5,2,FALSE))))</f>
        <v/>
      </c>
      <c r="V36" s="299" t="str">
        <f>IF(T36="","",HLOOKUP(T36,名簿!$AB$8:$BG$58,31,FALSE))</f>
        <v/>
      </c>
      <c r="W36" s="204"/>
      <c r="X36" s="205" t="str">
        <f>IF(W36="","",IF(I36=1,VLOOKUP(W36,男子種目コード!$D$2:$E$30,2,FALSE),IF(I36=2,VLOOKUP(W36,女子種目コード!$D$2:$E$30,2,FALSE))))</f>
        <v/>
      </c>
      <c r="Y36" s="454"/>
      <c r="Z36" s="362"/>
      <c r="AA36" s="362"/>
      <c r="AB36" s="459"/>
      <c r="AC36" s="463" t="str">
        <f>IF(AB36="","",IF(I36=1,VLOOKUP(AB36,男子種目コード!$V$1:$W$5,2,FALSE),IF(I36=2,VLOOKUP(AB36,女子種目コード!$V$1:$W$5,2,FALSE))))</f>
        <v/>
      </c>
      <c r="AD36" s="454"/>
      <c r="AE36" s="362">
        <v>0</v>
      </c>
      <c r="AF36" s="362">
        <v>2</v>
      </c>
      <c r="AG36" s="203"/>
      <c r="AH36" s="7" t="str">
        <f>IF(AG36="","",IF(I36=1,VLOOKUP(AG36,男子種目コード!$A$78:$B$81,2,FALSE),IF(I36=2,VLOOKUP(AG36,女子種目コード!$A$78:$B$81,2,FALSE))))</f>
        <v/>
      </c>
      <c r="AI36" s="454"/>
      <c r="AJ36" s="362">
        <v>0</v>
      </c>
      <c r="AK36" s="401">
        <v>2</v>
      </c>
      <c r="AL36" s="354">
        <v>0</v>
      </c>
      <c r="AM36" s="354"/>
      <c r="AN36" s="103"/>
      <c r="AO36" s="424" t="s">
        <v>214</v>
      </c>
      <c r="AP36" s="103" t="str">
        <f t="shared" si="14"/>
        <v/>
      </c>
      <c r="AQ36" s="103" t="str">
        <f t="shared" si="6"/>
        <v/>
      </c>
      <c r="AR36" s="103"/>
      <c r="AS36" s="103"/>
      <c r="AT36" s="240" t="str">
        <f t="shared" si="7"/>
        <v/>
      </c>
      <c r="AU36" s="240">
        <f t="shared" si="1"/>
        <v>0</v>
      </c>
      <c r="AV36" s="240">
        <f t="shared" si="2"/>
        <v>0</v>
      </c>
      <c r="AW36" s="240">
        <f t="shared" si="3"/>
        <v>0</v>
      </c>
      <c r="AX36" s="240">
        <f t="shared" si="8"/>
        <v>0</v>
      </c>
      <c r="AY36" s="237"/>
      <c r="AZ36" s="237"/>
      <c r="BA36" s="4"/>
      <c r="BB36" s="4">
        <f t="shared" si="9"/>
        <v>0</v>
      </c>
      <c r="BC36" s="4">
        <f t="shared" si="10"/>
        <v>0</v>
      </c>
      <c r="BD36" s="4" t="str">
        <f t="shared" si="11"/>
        <v/>
      </c>
      <c r="BE36" s="4" t="str">
        <f t="shared" si="12"/>
        <v/>
      </c>
      <c r="BF36" s="627"/>
      <c r="BG36" s="627"/>
      <c r="BH36" s="623"/>
      <c r="BI36" s="618"/>
      <c r="BJ36" s="623"/>
      <c r="BK36" s="618"/>
      <c r="BL36" s="623"/>
      <c r="BM36" s="618"/>
      <c r="BN36" s="623"/>
      <c r="BO36" s="618"/>
      <c r="BP36" s="179" t="e">
        <f ca="1">VLookUpX("男子D",$A$7:$F$56,5,5)</f>
        <v>#N/A</v>
      </c>
      <c r="BQ36" s="179" t="e">
        <f ca="1">VLookUpX("男子D",$A$7:$F$56,5,6)</f>
        <v>#N/A</v>
      </c>
      <c r="BR36" s="179" t="e">
        <f ca="1">VLookUpX("男子D",$C$7:$F$56,5,3)</f>
        <v>#N/A</v>
      </c>
      <c r="BS36" s="179" t="e">
        <f ca="1">VLookUpX("男子D",$C$7:$F$56,5,4)</f>
        <v>#N/A</v>
      </c>
      <c r="BT36" s="179" t="e">
        <f ca="1">VLookUpX("女子D",$A$7:$F$56,5,5)</f>
        <v>#N/A</v>
      </c>
      <c r="BU36" s="179" t="e">
        <f ca="1">VLookUpX("女子D",$A$7:$F$56,5,6)</f>
        <v>#N/A</v>
      </c>
      <c r="BV36" s="179" t="e">
        <f ca="1">VLookUpX("女子D",$C$7:$F$56,5,3)</f>
        <v>#N/A</v>
      </c>
      <c r="BW36" s="179" t="e">
        <f ca="1">VLookUpX("女子D",$C$7:$F$56,5,4)</f>
        <v>#N/A</v>
      </c>
    </row>
    <row r="37" spans="1:80">
      <c r="A37" s="5">
        <f t="shared" si="4"/>
        <v>0</v>
      </c>
      <c r="B37" s="18" t="str">
        <f>名簿!Q39</f>
        <v/>
      </c>
      <c r="C37" s="5">
        <f t="shared" si="5"/>
        <v>0</v>
      </c>
      <c r="D37" s="776">
        <f>名簿!D39</f>
        <v>0</v>
      </c>
      <c r="E37" s="19">
        <f>名簿!E39</f>
        <v>0</v>
      </c>
      <c r="F37" s="205" t="str">
        <f>名簿!BN39</f>
        <v/>
      </c>
      <c r="G37" s="19" t="str">
        <f>名簿!Z39</f>
        <v/>
      </c>
      <c r="H37" s="122" t="str">
        <f t="shared" si="0"/>
        <v/>
      </c>
      <c r="I37" s="361" t="str">
        <f>名簿!O39</f>
        <v/>
      </c>
      <c r="J37" s="385">
        <f>名簿!I39</f>
        <v>0</v>
      </c>
      <c r="K37" s="684">
        <f>名簿!K39</f>
        <v>0</v>
      </c>
      <c r="L37" s="409" t="str">
        <f>名簿!BQ39</f>
        <v>00</v>
      </c>
      <c r="M37" s="19" t="s">
        <v>457</v>
      </c>
      <c r="N37" s="689">
        <v>23</v>
      </c>
      <c r="O37" s="202"/>
      <c r="P37" s="201" t="str">
        <f>IF(O37="","",IF(I37=1,VLOOKUP(O37,男子種目コード!$V$1:$W$5,2,FALSE),IF(I37=2,VLOOKUP(O37,女子種目コード!$V$1:$W$5,2,FALSE))))</f>
        <v/>
      </c>
      <c r="Q37" s="299" t="str">
        <f>IF(O37="","",HLOOKUP(O37,名簿!$AB$8:$BG$58,32,FALSE))</f>
        <v/>
      </c>
      <c r="R37" s="362">
        <v>0</v>
      </c>
      <c r="S37" s="401">
        <v>2</v>
      </c>
      <c r="T37" s="200"/>
      <c r="U37" s="201" t="str">
        <f>IF(T37="","",IF(I37=1,VLOOKUP(T37,男子種目コード!$V$1:$W$5,2,FALSE),IF(I37=2,VLOOKUP(T37,女子種目コード!$V$1:$W$5,2,FALSE))))</f>
        <v/>
      </c>
      <c r="V37" s="299" t="str">
        <f>IF(T37="","",HLOOKUP(T37,名簿!$AB$8:$BG$58,32,FALSE))</f>
        <v/>
      </c>
      <c r="W37" s="204"/>
      <c r="X37" s="205" t="str">
        <f>IF(W37="","",IF(I37=1,VLOOKUP(W37,男子種目コード!$D$2:$E$30,2,FALSE),IF(I37=2,VLOOKUP(W37,女子種目コード!$D$2:$E$30,2,FALSE))))</f>
        <v/>
      </c>
      <c r="Y37" s="454"/>
      <c r="Z37" s="362"/>
      <c r="AA37" s="362"/>
      <c r="AB37" s="459"/>
      <c r="AC37" s="463" t="str">
        <f>IF(AB37="","",IF(I37=1,VLOOKUP(AB37,男子種目コード!$V$1:$W$5,2,FALSE),IF(I37=2,VLOOKUP(AB37,女子種目コード!$V$1:$W$5,2,FALSE))))</f>
        <v/>
      </c>
      <c r="AD37" s="454"/>
      <c r="AE37" s="362">
        <v>0</v>
      </c>
      <c r="AF37" s="362">
        <v>2</v>
      </c>
      <c r="AG37" s="203"/>
      <c r="AH37" s="7" t="str">
        <f>IF(AG37="","",IF(I37=1,VLOOKUP(AG37,男子種目コード!$A$78:$B$81,2,FALSE),IF(I37=2,VLOOKUP(AG37,女子種目コード!$A$78:$B$81,2,FALSE))))</f>
        <v/>
      </c>
      <c r="AI37" s="454"/>
      <c r="AJ37" s="362">
        <v>0</v>
      </c>
      <c r="AK37" s="401">
        <v>2</v>
      </c>
      <c r="AL37" s="354">
        <v>0</v>
      </c>
      <c r="AM37" s="354"/>
      <c r="AN37" s="103"/>
      <c r="AO37" s="424" t="s">
        <v>215</v>
      </c>
      <c r="AP37" s="103" t="str">
        <f t="shared" si="14"/>
        <v/>
      </c>
      <c r="AQ37" s="103" t="str">
        <f t="shared" si="6"/>
        <v/>
      </c>
      <c r="AR37" s="103"/>
      <c r="AS37" s="103"/>
      <c r="AT37" s="240" t="str">
        <f t="shared" si="7"/>
        <v/>
      </c>
      <c r="AU37" s="240">
        <f t="shared" si="1"/>
        <v>0</v>
      </c>
      <c r="AV37" s="240">
        <f t="shared" si="2"/>
        <v>0</v>
      </c>
      <c r="AW37" s="240">
        <f t="shared" si="3"/>
        <v>0</v>
      </c>
      <c r="AX37" s="240">
        <f t="shared" si="8"/>
        <v>0</v>
      </c>
      <c r="AY37" s="237"/>
      <c r="AZ37" s="237"/>
      <c r="BA37" s="4"/>
      <c r="BB37" s="4">
        <f t="shared" si="9"/>
        <v>0</v>
      </c>
      <c r="BC37" s="4">
        <f t="shared" si="10"/>
        <v>0</v>
      </c>
      <c r="BD37" s="4" t="str">
        <f t="shared" si="11"/>
        <v/>
      </c>
      <c r="BE37" s="4" t="str">
        <f t="shared" si="12"/>
        <v/>
      </c>
      <c r="BF37" s="627"/>
      <c r="BG37" s="627"/>
      <c r="BH37" s="623"/>
      <c r="BI37" s="618"/>
      <c r="BJ37" s="623"/>
      <c r="BK37" s="618"/>
      <c r="BL37" s="623"/>
      <c r="BM37" s="618"/>
      <c r="BN37" s="623"/>
      <c r="BO37" s="618"/>
      <c r="BP37" s="179" t="e">
        <f ca="1">VLookUpX("男子D",$A$7:$F$56,6,5)</f>
        <v>#N/A</v>
      </c>
      <c r="BQ37" s="179" t="e">
        <f ca="1">VLookUpX("男子D",$A$7:$F$56,6,6)</f>
        <v>#N/A</v>
      </c>
      <c r="BR37" s="179" t="e">
        <f ca="1">VLookUpX("男子D",$C$7:$F$56,6,3)</f>
        <v>#N/A</v>
      </c>
      <c r="BS37" s="179" t="e">
        <f ca="1">VLookUpX("男子D",$C$7:$F$56,6,4)</f>
        <v>#N/A</v>
      </c>
      <c r="BT37" s="179" t="e">
        <f ca="1">VLookUpX("女子D",$A$7:$F$56,6,5)</f>
        <v>#N/A</v>
      </c>
      <c r="BU37" s="179" t="e">
        <f ca="1">VLookUpX("女子D",$A$7:$F$56,6,6)</f>
        <v>#N/A</v>
      </c>
      <c r="BV37" s="179" t="e">
        <f ca="1">VLookUpX("女子D",$C$7:$F$56,6,3)</f>
        <v>#N/A</v>
      </c>
      <c r="BW37" s="179" t="e">
        <f ca="1">VLookUpX("女子D",$C$7:$F$56,6,4)</f>
        <v>#N/A</v>
      </c>
    </row>
    <row r="38" spans="1:80" ht="13.5" customHeight="1">
      <c r="A38" s="5">
        <f t="shared" si="4"/>
        <v>0</v>
      </c>
      <c r="B38" s="18" t="str">
        <f>名簿!Q40</f>
        <v/>
      </c>
      <c r="C38" s="5">
        <f t="shared" si="5"/>
        <v>0</v>
      </c>
      <c r="D38" s="776">
        <f>名簿!D40</f>
        <v>0</v>
      </c>
      <c r="E38" s="19">
        <f>名簿!E40</f>
        <v>0</v>
      </c>
      <c r="F38" s="205" t="str">
        <f>名簿!BN40</f>
        <v/>
      </c>
      <c r="G38" s="19" t="str">
        <f>名簿!Z40</f>
        <v/>
      </c>
      <c r="H38" s="122" t="str">
        <f t="shared" si="0"/>
        <v/>
      </c>
      <c r="I38" s="361" t="str">
        <f>名簿!O40</f>
        <v/>
      </c>
      <c r="J38" s="385">
        <f>名簿!I40</f>
        <v>0</v>
      </c>
      <c r="K38" s="684">
        <f>名簿!K40</f>
        <v>0</v>
      </c>
      <c r="L38" s="409" t="str">
        <f>名簿!BQ40</f>
        <v>00</v>
      </c>
      <c r="M38" s="19" t="s">
        <v>457</v>
      </c>
      <c r="N38" s="689">
        <v>23</v>
      </c>
      <c r="O38" s="202"/>
      <c r="P38" s="201" t="str">
        <f>IF(O38="","",IF(I38=1,VLOOKUP(O38,男子種目コード!$V$1:$W$5,2,FALSE),IF(I38=2,VLOOKUP(O38,女子種目コード!$V$1:$W$5,2,FALSE))))</f>
        <v/>
      </c>
      <c r="Q38" s="299" t="str">
        <f>IF(O38="","",HLOOKUP(O38,名簿!$AB$8:$BG$58,33,FALSE))</f>
        <v/>
      </c>
      <c r="R38" s="362">
        <v>0</v>
      </c>
      <c r="S38" s="401">
        <v>2</v>
      </c>
      <c r="T38" s="200"/>
      <c r="U38" s="201" t="str">
        <f>IF(T38="","",IF(I38=1,VLOOKUP(T38,男子種目コード!$V$1:$W$5,2,FALSE),IF(I38=2,VLOOKUP(T38,女子種目コード!$V$1:$W$5,2,FALSE))))</f>
        <v/>
      </c>
      <c r="V38" s="299" t="str">
        <f>IF(T38="","",HLOOKUP(T38,名簿!$AB$8:$BG$58,33,FALSE))</f>
        <v/>
      </c>
      <c r="W38" s="204"/>
      <c r="X38" s="205" t="str">
        <f>IF(W38="","",IF(I38=1,VLOOKUP(W38,男子種目コード!$D$2:$E$30,2,FALSE),IF(I38=2,VLOOKUP(W38,女子種目コード!$D$2:$E$30,2,FALSE))))</f>
        <v/>
      </c>
      <c r="Y38" s="454"/>
      <c r="Z38" s="362"/>
      <c r="AA38" s="362"/>
      <c r="AB38" s="459"/>
      <c r="AC38" s="463" t="str">
        <f>IF(AB38="","",IF(I38=1,VLOOKUP(AB38,男子種目コード!$V$1:$W$5,2,FALSE),IF(I38=2,VLOOKUP(AB38,女子種目コード!$V$1:$W$5,2,FALSE))))</f>
        <v/>
      </c>
      <c r="AD38" s="454"/>
      <c r="AE38" s="362">
        <v>0</v>
      </c>
      <c r="AF38" s="362">
        <v>2</v>
      </c>
      <c r="AG38" s="203"/>
      <c r="AH38" s="7" t="str">
        <f>IF(AG38="","",IF(I38=1,VLOOKUP(AG38,男子種目コード!$A$78:$B$81,2,FALSE),IF(I38=2,VLOOKUP(AG38,女子種目コード!$A$78:$B$81,2,FALSE))))</f>
        <v/>
      </c>
      <c r="AI38" s="454"/>
      <c r="AJ38" s="362">
        <v>0</v>
      </c>
      <c r="AK38" s="401">
        <v>2</v>
      </c>
      <c r="AL38" s="354">
        <v>0</v>
      </c>
      <c r="AM38" s="354"/>
      <c r="AN38" s="103"/>
      <c r="AO38" s="358"/>
      <c r="AP38" s="103" t="str">
        <f t="shared" si="14"/>
        <v/>
      </c>
      <c r="AQ38" s="103" t="str">
        <f t="shared" si="6"/>
        <v/>
      </c>
      <c r="AR38" s="103"/>
      <c r="AS38" s="103"/>
      <c r="AT38" s="240" t="str">
        <f t="shared" si="7"/>
        <v/>
      </c>
      <c r="AU38" s="240">
        <f t="shared" si="1"/>
        <v>0</v>
      </c>
      <c r="AV38" s="240">
        <f t="shared" si="2"/>
        <v>0</v>
      </c>
      <c r="AW38" s="240">
        <f t="shared" si="3"/>
        <v>0</v>
      </c>
      <c r="AX38" s="240">
        <f t="shared" si="8"/>
        <v>0</v>
      </c>
      <c r="AY38" s="238"/>
      <c r="AZ38" s="238"/>
      <c r="BA38" s="4"/>
      <c r="BB38" s="4">
        <f t="shared" si="9"/>
        <v>0</v>
      </c>
      <c r="BC38" s="4">
        <f t="shared" si="10"/>
        <v>0</v>
      </c>
      <c r="BD38" s="4" t="str">
        <f t="shared" si="11"/>
        <v/>
      </c>
      <c r="BE38" s="4" t="str">
        <f t="shared" si="12"/>
        <v/>
      </c>
      <c r="BF38" s="627"/>
      <c r="BG38" s="627"/>
      <c r="BH38" s="626"/>
      <c r="BI38" s="627"/>
      <c r="BJ38" s="626"/>
      <c r="BK38" s="627"/>
      <c r="BL38" s="626"/>
      <c r="BM38" s="629"/>
      <c r="BN38" s="628"/>
      <c r="BO38" s="629"/>
      <c r="BX38" s="4">
        <f ca="1">SUM(BX8:BX37)</f>
        <v>0</v>
      </c>
      <c r="BY38" s="4">
        <f ca="1">SUM(BY8:BY37)</f>
        <v>0</v>
      </c>
      <c r="BZ38" s="4">
        <f ca="1">SUM(BZ8:BZ37)</f>
        <v>0</v>
      </c>
      <c r="CA38" s="4">
        <f ca="1">SUM(CA8:CA37)</f>
        <v>0</v>
      </c>
      <c r="CB38" s="4">
        <f ca="1">SUM(BX38:CA38)</f>
        <v>0</v>
      </c>
    </row>
    <row r="39" spans="1:80" ht="14.25" customHeight="1">
      <c r="A39" s="5">
        <f t="shared" si="4"/>
        <v>0</v>
      </c>
      <c r="B39" s="18" t="str">
        <f>名簿!Q41</f>
        <v/>
      </c>
      <c r="C39" s="5">
        <f t="shared" si="5"/>
        <v>0</v>
      </c>
      <c r="D39" s="776">
        <f>名簿!D41</f>
        <v>0</v>
      </c>
      <c r="E39" s="19">
        <f>名簿!E41</f>
        <v>0</v>
      </c>
      <c r="F39" s="205" t="str">
        <f>名簿!BN41</f>
        <v/>
      </c>
      <c r="G39" s="19" t="str">
        <f>名簿!Z41</f>
        <v/>
      </c>
      <c r="H39" s="122" t="str">
        <f t="shared" si="0"/>
        <v/>
      </c>
      <c r="I39" s="361" t="str">
        <f>名簿!O41</f>
        <v/>
      </c>
      <c r="J39" s="385">
        <f>名簿!I41</f>
        <v>0</v>
      </c>
      <c r="K39" s="684">
        <f>名簿!K41</f>
        <v>0</v>
      </c>
      <c r="L39" s="409" t="str">
        <f>名簿!BQ41</f>
        <v>00</v>
      </c>
      <c r="M39" s="19" t="s">
        <v>457</v>
      </c>
      <c r="N39" s="689">
        <v>23</v>
      </c>
      <c r="O39" s="202"/>
      <c r="P39" s="201" t="str">
        <f>IF(O39="","",IF(I39=1,VLOOKUP(O39,男子種目コード!$V$1:$W$5,2,FALSE),IF(I39=2,VLOOKUP(O39,女子種目コード!$V$1:$W$5,2,FALSE))))</f>
        <v/>
      </c>
      <c r="Q39" s="299" t="str">
        <f>IF(O39="","",HLOOKUP(O39,名簿!$AB$8:$BG$58,34,FALSE))</f>
        <v/>
      </c>
      <c r="R39" s="362">
        <v>0</v>
      </c>
      <c r="S39" s="401">
        <v>2</v>
      </c>
      <c r="T39" s="200"/>
      <c r="U39" s="201" t="str">
        <f>IF(T39="","",IF(I39=1,VLOOKUP(T39,男子種目コード!$V$1:$W$5,2,FALSE),IF(I39=2,VLOOKUP(T39,女子種目コード!$V$1:$W$5,2,FALSE))))</f>
        <v/>
      </c>
      <c r="V39" s="299" t="str">
        <f>IF(T39="","",HLOOKUP(T39,名簿!$AB$8:$BG$58,34,FALSE))</f>
        <v/>
      </c>
      <c r="W39" s="204"/>
      <c r="X39" s="205" t="str">
        <f>IF(W39="","",IF(I39=1,VLOOKUP(W39,男子種目コード!$D$2:$E$30,2,FALSE),IF(I39=2,VLOOKUP(W39,女子種目コード!$D$2:$E$30,2,FALSE))))</f>
        <v/>
      </c>
      <c r="Y39" s="454"/>
      <c r="Z39" s="362"/>
      <c r="AA39" s="362"/>
      <c r="AB39" s="459"/>
      <c r="AC39" s="463" t="str">
        <f>IF(AB39="","",IF(I39=1,VLOOKUP(AB39,男子種目コード!$V$1:$W$5,2,FALSE),IF(I39=2,VLOOKUP(AB39,女子種目コード!$V$1:$W$5,2,FALSE))))</f>
        <v/>
      </c>
      <c r="AD39" s="454"/>
      <c r="AE39" s="362">
        <v>0</v>
      </c>
      <c r="AF39" s="362">
        <v>2</v>
      </c>
      <c r="AG39" s="203"/>
      <c r="AH39" s="7" t="str">
        <f>IF(AG39="","",IF(I39=1,VLOOKUP(AG39,男子種目コード!$A$78:$B$81,2,FALSE),IF(I39=2,VLOOKUP(AG39,女子種目コード!$A$78:$B$81,2,FALSE))))</f>
        <v/>
      </c>
      <c r="AI39" s="454"/>
      <c r="AJ39" s="362">
        <v>0</v>
      </c>
      <c r="AK39" s="401">
        <v>2</v>
      </c>
      <c r="AL39" s="354">
        <v>0</v>
      </c>
      <c r="AM39" s="354"/>
      <c r="AN39" s="103"/>
      <c r="AO39" s="358"/>
      <c r="AP39" s="103" t="str">
        <f>IF(O39="","",1)</f>
        <v/>
      </c>
      <c r="AQ39" s="103" t="str">
        <f t="shared" si="6"/>
        <v/>
      </c>
      <c r="AR39" s="103"/>
      <c r="AS39" s="103"/>
      <c r="AT39" s="240" t="str">
        <f t="shared" si="7"/>
        <v/>
      </c>
      <c r="AU39" s="240">
        <f t="shared" si="1"/>
        <v>0</v>
      </c>
      <c r="AV39" s="240">
        <f t="shared" si="2"/>
        <v>0</v>
      </c>
      <c r="AW39" s="240">
        <f t="shared" si="3"/>
        <v>0</v>
      </c>
      <c r="AX39" s="240">
        <f t="shared" si="8"/>
        <v>0</v>
      </c>
      <c r="AY39" s="238"/>
      <c r="AZ39" s="238"/>
      <c r="BA39" s="4"/>
      <c r="BB39" s="4">
        <f t="shared" si="9"/>
        <v>0</v>
      </c>
      <c r="BC39" s="4">
        <f t="shared" si="10"/>
        <v>0</v>
      </c>
      <c r="BD39" s="4" t="str">
        <f t="shared" si="11"/>
        <v/>
      </c>
      <c r="BE39" s="4" t="str">
        <f t="shared" si="12"/>
        <v/>
      </c>
      <c r="BF39" s="627"/>
      <c r="BG39" s="627"/>
      <c r="BH39" s="630"/>
      <c r="BI39" s="624"/>
      <c r="BJ39" s="626"/>
      <c r="BK39" s="627"/>
      <c r="BL39" s="626"/>
      <c r="BM39" s="629"/>
      <c r="BN39" s="628"/>
      <c r="BO39" s="629"/>
    </row>
    <row r="40" spans="1:80">
      <c r="A40" s="5">
        <f t="shared" si="4"/>
        <v>0</v>
      </c>
      <c r="B40" s="18" t="str">
        <f>名簿!Q42</f>
        <v/>
      </c>
      <c r="C40" s="5">
        <f t="shared" si="5"/>
        <v>0</v>
      </c>
      <c r="D40" s="776">
        <f>名簿!D42</f>
        <v>0</v>
      </c>
      <c r="E40" s="19">
        <f>名簿!E42</f>
        <v>0</v>
      </c>
      <c r="F40" s="205" t="str">
        <f>名簿!BN42</f>
        <v/>
      </c>
      <c r="G40" s="19" t="str">
        <f>名簿!Z42</f>
        <v/>
      </c>
      <c r="H40" s="122" t="str">
        <f t="shared" si="0"/>
        <v/>
      </c>
      <c r="I40" s="361" t="str">
        <f>名簿!O42</f>
        <v/>
      </c>
      <c r="J40" s="385">
        <f>名簿!I42</f>
        <v>0</v>
      </c>
      <c r="K40" s="684">
        <f>名簿!K42</f>
        <v>0</v>
      </c>
      <c r="L40" s="409" t="str">
        <f>名簿!BQ42</f>
        <v>00</v>
      </c>
      <c r="M40" s="19" t="s">
        <v>457</v>
      </c>
      <c r="N40" s="689">
        <v>23</v>
      </c>
      <c r="O40" s="202"/>
      <c r="P40" s="201" t="str">
        <f>IF(O40="","",IF(I40=1,VLOOKUP(O40,男子種目コード!$V$1:$W$5,2,FALSE),IF(I40=2,VLOOKUP(O40,女子種目コード!$V$1:$W$5,2,FALSE))))</f>
        <v/>
      </c>
      <c r="Q40" s="299" t="str">
        <f>IF(O40="","",HLOOKUP(O40,名簿!$AB$8:$BG$58,35,FALSE))</f>
        <v/>
      </c>
      <c r="R40" s="362">
        <v>0</v>
      </c>
      <c r="S40" s="401">
        <v>2</v>
      </c>
      <c r="T40" s="200"/>
      <c r="U40" s="201" t="str">
        <f>IF(T40="","",IF(I40=1,VLOOKUP(T40,男子種目コード!$V$1:$W$5,2,FALSE),IF(I40=2,VLOOKUP(T40,女子種目コード!$V$1:$W$5,2,FALSE))))</f>
        <v/>
      </c>
      <c r="V40" s="299" t="str">
        <f>IF(T40="","",HLOOKUP(T40,名簿!$AB$8:$BG$58,35,FALSE))</f>
        <v/>
      </c>
      <c r="W40" s="204"/>
      <c r="X40" s="205" t="str">
        <f>IF(W40="","",IF(I40=1,VLOOKUP(W40,男子種目コード!$D$2:$E$30,2,FALSE),IF(I40=2,VLOOKUP(W40,女子種目コード!$D$2:$E$30,2,FALSE))))</f>
        <v/>
      </c>
      <c r="Y40" s="454"/>
      <c r="Z40" s="362"/>
      <c r="AA40" s="362"/>
      <c r="AB40" s="459"/>
      <c r="AC40" s="463" t="str">
        <f>IF(AB40="","",IF(I40=1,VLOOKUP(AB40,男子種目コード!$V$1:$W$5,2,FALSE),IF(I40=2,VLOOKUP(AB40,女子種目コード!$V$1:$W$5,2,FALSE))))</f>
        <v/>
      </c>
      <c r="AD40" s="454"/>
      <c r="AE40" s="362">
        <v>0</v>
      </c>
      <c r="AF40" s="362">
        <v>2</v>
      </c>
      <c r="AG40" s="203"/>
      <c r="AH40" s="7" t="str">
        <f>IF(AG40="","",IF(I40=1,VLOOKUP(AG40,男子種目コード!$A$78:$B$81,2,FALSE),IF(I40=2,VLOOKUP(AG40,女子種目コード!$A$78:$B$81,2,FALSE))))</f>
        <v/>
      </c>
      <c r="AI40" s="454"/>
      <c r="AJ40" s="362">
        <v>0</v>
      </c>
      <c r="AK40" s="401">
        <v>2</v>
      </c>
      <c r="AL40" s="354">
        <v>0</v>
      </c>
      <c r="AM40" s="354"/>
      <c r="AN40" s="103"/>
      <c r="AO40" s="358"/>
      <c r="AP40" s="103" t="str">
        <f t="shared" si="14"/>
        <v/>
      </c>
      <c r="AQ40" s="103" t="str">
        <f t="shared" si="6"/>
        <v/>
      </c>
      <c r="AR40" s="103"/>
      <c r="AS40" s="103"/>
      <c r="AT40" s="240" t="str">
        <f t="shared" si="7"/>
        <v/>
      </c>
      <c r="AU40" s="240">
        <f t="shared" si="1"/>
        <v>0</v>
      </c>
      <c r="AV40" s="240">
        <f t="shared" si="2"/>
        <v>0</v>
      </c>
      <c r="AW40" s="240">
        <f t="shared" si="3"/>
        <v>0</v>
      </c>
      <c r="AX40" s="240">
        <f t="shared" si="8"/>
        <v>0</v>
      </c>
      <c r="AY40" s="238"/>
      <c r="AZ40" s="238"/>
      <c r="BA40" s="4"/>
      <c r="BB40" s="4">
        <f t="shared" si="9"/>
        <v>0</v>
      </c>
      <c r="BC40" s="4">
        <f t="shared" si="10"/>
        <v>0</v>
      </c>
      <c r="BD40" s="4" t="str">
        <f t="shared" si="11"/>
        <v/>
      </c>
      <c r="BE40" s="4" t="str">
        <f t="shared" si="12"/>
        <v/>
      </c>
      <c r="BF40" s="627"/>
      <c r="BG40" s="627"/>
      <c r="BH40" s="626"/>
      <c r="BI40" s="622"/>
      <c r="BJ40" s="626"/>
      <c r="BK40" s="627"/>
      <c r="BL40" s="626"/>
      <c r="BM40" s="629"/>
      <c r="BN40" s="628"/>
      <c r="BO40" s="629"/>
    </row>
    <row r="41" spans="1:80">
      <c r="A41" s="5">
        <f t="shared" si="4"/>
        <v>0</v>
      </c>
      <c r="B41" s="18" t="str">
        <f>名簿!Q43</f>
        <v/>
      </c>
      <c r="C41" s="5">
        <f t="shared" si="5"/>
        <v>0</v>
      </c>
      <c r="D41" s="776">
        <f>名簿!D43</f>
        <v>0</v>
      </c>
      <c r="E41" s="19">
        <f>名簿!E43</f>
        <v>0</v>
      </c>
      <c r="F41" s="205" t="str">
        <f>名簿!BN43</f>
        <v/>
      </c>
      <c r="G41" s="19" t="str">
        <f>名簿!Z43</f>
        <v/>
      </c>
      <c r="H41" s="122" t="str">
        <f t="shared" si="0"/>
        <v/>
      </c>
      <c r="I41" s="361" t="str">
        <f>名簿!O43</f>
        <v/>
      </c>
      <c r="J41" s="385">
        <f>名簿!I43</f>
        <v>0</v>
      </c>
      <c r="K41" s="684">
        <f>名簿!K43</f>
        <v>0</v>
      </c>
      <c r="L41" s="409" t="str">
        <f>名簿!BQ43</f>
        <v>00</v>
      </c>
      <c r="M41" s="19" t="s">
        <v>457</v>
      </c>
      <c r="N41" s="689">
        <v>23</v>
      </c>
      <c r="O41" s="202"/>
      <c r="P41" s="201" t="str">
        <f>IF(O41="","",IF(I41=1,VLOOKUP(O41,男子種目コード!$V$1:$W$5,2,FALSE),IF(I41=2,VLOOKUP(O41,女子種目コード!$V$1:$W$5,2,FALSE))))</f>
        <v/>
      </c>
      <c r="Q41" s="299" t="str">
        <f>IF(O41="","",HLOOKUP(O41,名簿!$AB$8:$BG$58,36,FALSE))</f>
        <v/>
      </c>
      <c r="R41" s="362">
        <v>0</v>
      </c>
      <c r="S41" s="401">
        <v>2</v>
      </c>
      <c r="T41" s="200"/>
      <c r="U41" s="201" t="str">
        <f>IF(T41="","",IF(I41=1,VLOOKUP(T41,男子種目コード!$V$1:$W$5,2,FALSE),IF(I41=2,VLOOKUP(T41,女子種目コード!$V$1:$W$5,2,FALSE))))</f>
        <v/>
      </c>
      <c r="V41" s="299" t="str">
        <f>IF(T41="","",HLOOKUP(T41,名簿!$AB$8:$BG$58,36,FALSE))</f>
        <v/>
      </c>
      <c r="W41" s="204"/>
      <c r="X41" s="205" t="str">
        <f>IF(W41="","",IF(I41=1,VLOOKUP(W41,男子種目コード!$D$2:$E$30,2,FALSE),IF(I41=2,VLOOKUP(W41,女子種目コード!$D$2:$E$30,2,FALSE))))</f>
        <v/>
      </c>
      <c r="Y41" s="454"/>
      <c r="Z41" s="362"/>
      <c r="AA41" s="362"/>
      <c r="AB41" s="459"/>
      <c r="AC41" s="463" t="str">
        <f>IF(AB41="","",IF(I41=1,VLOOKUP(AB41,男子種目コード!$V$1:$W$5,2,FALSE),IF(I41=2,VLOOKUP(AB41,女子種目コード!$V$1:$W$5,2,FALSE))))</f>
        <v/>
      </c>
      <c r="AD41" s="454"/>
      <c r="AE41" s="362">
        <v>0</v>
      </c>
      <c r="AF41" s="362">
        <v>2</v>
      </c>
      <c r="AG41" s="203"/>
      <c r="AH41" s="7" t="str">
        <f>IF(AG41="","",IF(I41=1,VLOOKUP(AG41,男子種目コード!$A$78:$B$81,2,FALSE),IF(I41=2,VLOOKUP(AG41,女子種目コード!$A$78:$B$81,2,FALSE))))</f>
        <v/>
      </c>
      <c r="AI41" s="454"/>
      <c r="AJ41" s="362">
        <v>0</v>
      </c>
      <c r="AK41" s="401">
        <v>2</v>
      </c>
      <c r="AL41" s="354">
        <v>0</v>
      </c>
      <c r="AM41" s="354"/>
      <c r="AN41" s="103"/>
      <c r="AO41" s="358"/>
      <c r="AP41" s="103" t="str">
        <f t="shared" si="14"/>
        <v/>
      </c>
      <c r="AQ41" s="103" t="str">
        <f t="shared" si="6"/>
        <v/>
      </c>
      <c r="AR41" s="103"/>
      <c r="AS41" s="103"/>
      <c r="AT41" s="240" t="str">
        <f t="shared" si="7"/>
        <v/>
      </c>
      <c r="AU41" s="240">
        <f t="shared" si="1"/>
        <v>0</v>
      </c>
      <c r="AV41" s="240">
        <f t="shared" si="2"/>
        <v>0</v>
      </c>
      <c r="AW41" s="240">
        <f t="shared" si="3"/>
        <v>0</v>
      </c>
      <c r="AX41" s="240">
        <f t="shared" si="8"/>
        <v>0</v>
      </c>
      <c r="AY41" s="238"/>
      <c r="AZ41" s="238"/>
      <c r="BA41" s="4"/>
      <c r="BB41" s="4">
        <f t="shared" si="9"/>
        <v>0</v>
      </c>
      <c r="BC41" s="4">
        <f t="shared" si="10"/>
        <v>0</v>
      </c>
      <c r="BD41" s="4" t="str">
        <f t="shared" si="11"/>
        <v/>
      </c>
      <c r="BE41" s="4" t="str">
        <f t="shared" si="12"/>
        <v/>
      </c>
      <c r="BF41" s="627"/>
      <c r="BG41" s="627"/>
      <c r="BH41" s="626"/>
      <c r="BI41" s="627"/>
      <c r="BJ41" s="626"/>
      <c r="BK41" s="627"/>
      <c r="BL41" s="626"/>
      <c r="BM41" s="629"/>
      <c r="BN41" s="628"/>
      <c r="BO41" s="629"/>
    </row>
    <row r="42" spans="1:80">
      <c r="A42" s="5">
        <f t="shared" si="4"/>
        <v>0</v>
      </c>
      <c r="B42" s="18" t="str">
        <f>名簿!Q44</f>
        <v/>
      </c>
      <c r="C42" s="5">
        <f t="shared" si="5"/>
        <v>0</v>
      </c>
      <c r="D42" s="776">
        <f>名簿!D44</f>
        <v>0</v>
      </c>
      <c r="E42" s="19">
        <f>名簿!E44</f>
        <v>0</v>
      </c>
      <c r="F42" s="205" t="str">
        <f>名簿!BN44</f>
        <v/>
      </c>
      <c r="G42" s="19" t="str">
        <f>名簿!Z44</f>
        <v/>
      </c>
      <c r="H42" s="122" t="str">
        <f t="shared" si="0"/>
        <v/>
      </c>
      <c r="I42" s="361" t="str">
        <f>名簿!O44</f>
        <v/>
      </c>
      <c r="J42" s="385">
        <f>名簿!I44</f>
        <v>0</v>
      </c>
      <c r="K42" s="684">
        <f>名簿!K44</f>
        <v>0</v>
      </c>
      <c r="L42" s="409" t="str">
        <f>名簿!BQ44</f>
        <v>00</v>
      </c>
      <c r="M42" s="19" t="s">
        <v>457</v>
      </c>
      <c r="N42" s="689">
        <v>23</v>
      </c>
      <c r="O42" s="202"/>
      <c r="P42" s="201" t="str">
        <f>IF(O42="","",IF(I42=1,VLOOKUP(O42,男子種目コード!$V$1:$W$5,2,FALSE),IF(I42=2,VLOOKUP(O42,女子種目コード!$V$1:$W$5,2,FALSE))))</f>
        <v/>
      </c>
      <c r="Q42" s="299" t="str">
        <f>IF(O42="","",HLOOKUP(O42,名簿!$AB$8:$BG$58,37,FALSE))</f>
        <v/>
      </c>
      <c r="R42" s="362">
        <v>0</v>
      </c>
      <c r="S42" s="401">
        <v>2</v>
      </c>
      <c r="T42" s="200"/>
      <c r="U42" s="201" t="str">
        <f>IF(T42="","",IF(I42=1,VLOOKUP(T42,男子種目コード!$V$1:$W$5,2,FALSE),IF(I42=2,VLOOKUP(T42,女子種目コード!$V$1:$W$5,2,FALSE))))</f>
        <v/>
      </c>
      <c r="V42" s="299" t="str">
        <f>IF(T42="","",HLOOKUP(T42,名簿!$AB$8:$BG$58,37,FALSE))</f>
        <v/>
      </c>
      <c r="W42" s="204"/>
      <c r="X42" s="205" t="str">
        <f>IF(W42="","",IF(I42=1,VLOOKUP(W42,男子種目コード!$D$2:$E$30,2,FALSE),IF(I42=2,VLOOKUP(W42,女子種目コード!$D$2:$E$30,2,FALSE))))</f>
        <v/>
      </c>
      <c r="Y42" s="454"/>
      <c r="Z42" s="362"/>
      <c r="AA42" s="362"/>
      <c r="AB42" s="459"/>
      <c r="AC42" s="463" t="str">
        <f>IF(AB42="","",IF(I42=1,VLOOKUP(AB42,男子種目コード!$V$1:$W$5,2,FALSE),IF(I42=2,VLOOKUP(AB42,女子種目コード!$V$1:$W$5,2,FALSE))))</f>
        <v/>
      </c>
      <c r="AD42" s="454"/>
      <c r="AE42" s="362">
        <v>0</v>
      </c>
      <c r="AF42" s="362">
        <v>2</v>
      </c>
      <c r="AG42" s="203"/>
      <c r="AH42" s="7" t="str">
        <f>IF(AG42="","",IF(I42=1,VLOOKUP(AG42,男子種目コード!$A$78:$B$81,2,FALSE),IF(I42=2,VLOOKUP(AG42,女子種目コード!$A$78:$B$81,2,FALSE))))</f>
        <v/>
      </c>
      <c r="AI42" s="454"/>
      <c r="AJ42" s="362">
        <v>0</v>
      </c>
      <c r="AK42" s="401">
        <v>2</v>
      </c>
      <c r="AL42" s="354">
        <v>0</v>
      </c>
      <c r="AM42" s="354"/>
      <c r="AN42" s="103"/>
      <c r="AO42" s="358"/>
      <c r="AP42" s="103" t="str">
        <f t="shared" si="14"/>
        <v/>
      </c>
      <c r="AQ42" s="103" t="str">
        <f t="shared" si="6"/>
        <v/>
      </c>
      <c r="AR42" s="103"/>
      <c r="AS42" s="103"/>
      <c r="AT42" s="240" t="str">
        <f t="shared" si="7"/>
        <v/>
      </c>
      <c r="AU42" s="240">
        <f t="shared" si="1"/>
        <v>0</v>
      </c>
      <c r="AV42" s="240">
        <f t="shared" si="2"/>
        <v>0</v>
      </c>
      <c r="AW42" s="240">
        <f t="shared" si="3"/>
        <v>0</v>
      </c>
      <c r="AX42" s="240">
        <f t="shared" si="8"/>
        <v>0</v>
      </c>
      <c r="AY42" s="238"/>
      <c r="AZ42" s="238"/>
      <c r="BA42" s="4"/>
      <c r="BB42" s="4">
        <f t="shared" si="9"/>
        <v>0</v>
      </c>
      <c r="BC42" s="4">
        <f t="shared" si="10"/>
        <v>0</v>
      </c>
      <c r="BD42" s="4" t="str">
        <f t="shared" si="11"/>
        <v/>
      </c>
      <c r="BE42" s="4" t="str">
        <f t="shared" si="12"/>
        <v/>
      </c>
      <c r="BF42" s="627"/>
      <c r="BG42" s="627"/>
      <c r="BH42" s="626"/>
      <c r="BI42" s="627"/>
      <c r="BJ42" s="626"/>
      <c r="BK42" s="627"/>
      <c r="BL42" s="626"/>
      <c r="BM42" s="146"/>
      <c r="BN42" s="412"/>
      <c r="BO42" s="146"/>
    </row>
    <row r="43" spans="1:80">
      <c r="A43" s="5">
        <f t="shared" si="4"/>
        <v>0</v>
      </c>
      <c r="B43" s="18" t="str">
        <f>名簿!Q45</f>
        <v/>
      </c>
      <c r="C43" s="5">
        <f t="shared" si="5"/>
        <v>0</v>
      </c>
      <c r="D43" s="776">
        <f>名簿!D45</f>
        <v>0</v>
      </c>
      <c r="E43" s="19">
        <f>名簿!E45</f>
        <v>0</v>
      </c>
      <c r="F43" s="205" t="str">
        <f>名簿!BN45</f>
        <v/>
      </c>
      <c r="G43" s="19" t="str">
        <f>名簿!Z45</f>
        <v/>
      </c>
      <c r="H43" s="122" t="str">
        <f t="shared" si="0"/>
        <v/>
      </c>
      <c r="I43" s="361" t="str">
        <f>名簿!O45</f>
        <v/>
      </c>
      <c r="J43" s="385">
        <f>名簿!I45</f>
        <v>0</v>
      </c>
      <c r="K43" s="684">
        <f>名簿!K45</f>
        <v>0</v>
      </c>
      <c r="L43" s="409" t="str">
        <f>名簿!BQ45</f>
        <v>00</v>
      </c>
      <c r="M43" s="19" t="s">
        <v>457</v>
      </c>
      <c r="N43" s="689">
        <v>23</v>
      </c>
      <c r="O43" s="202"/>
      <c r="P43" s="201" t="str">
        <f>IF(O43="","",IF(I43=1,VLOOKUP(O43,男子種目コード!$V$1:$W$5,2,FALSE),IF(I43=2,VLOOKUP(O43,女子種目コード!$V$1:$W$5,2,FALSE))))</f>
        <v/>
      </c>
      <c r="Q43" s="299" t="str">
        <f>IF(O43="","",HLOOKUP(O43,名簿!$AB$8:$BG$58,38,FALSE))</f>
        <v/>
      </c>
      <c r="R43" s="362">
        <v>0</v>
      </c>
      <c r="S43" s="401">
        <v>2</v>
      </c>
      <c r="T43" s="200"/>
      <c r="U43" s="201" t="str">
        <f>IF(T43="","",IF(I43=1,VLOOKUP(T43,男子種目コード!$V$1:$W$5,2,FALSE),IF(I43=2,VLOOKUP(T43,女子種目コード!$V$1:$W$5,2,FALSE))))</f>
        <v/>
      </c>
      <c r="V43" s="299" t="str">
        <f>IF(T43="","",HLOOKUP(T43,名簿!$AB$8:$BG$58,38,FALSE))</f>
        <v/>
      </c>
      <c r="W43" s="204"/>
      <c r="X43" s="205" t="str">
        <f>IF(W43="","",IF(I43=1,VLOOKUP(W43,男子種目コード!$D$2:$E$30,2,FALSE),IF(I43=2,VLOOKUP(W43,女子種目コード!$D$2:$E$30,2,FALSE))))</f>
        <v/>
      </c>
      <c r="Y43" s="454"/>
      <c r="Z43" s="362"/>
      <c r="AA43" s="362"/>
      <c r="AB43" s="459"/>
      <c r="AC43" s="463" t="str">
        <f>IF(AB43="","",IF(I43=1,VLOOKUP(AB43,男子種目コード!$V$1:$W$5,2,FALSE),IF(I43=2,VLOOKUP(AB43,女子種目コード!$V$1:$W$5,2,FALSE))))</f>
        <v/>
      </c>
      <c r="AD43" s="454"/>
      <c r="AE43" s="362">
        <v>0</v>
      </c>
      <c r="AF43" s="362">
        <v>2</v>
      </c>
      <c r="AG43" s="203"/>
      <c r="AH43" s="7" t="str">
        <f>IF(AG43="","",IF(I43=1,VLOOKUP(AG43,男子種目コード!$A$78:$B$81,2,FALSE),IF(I43=2,VLOOKUP(AG43,女子種目コード!$A$78:$B$81,2,FALSE))))</f>
        <v/>
      </c>
      <c r="AI43" s="454"/>
      <c r="AJ43" s="362">
        <v>0</v>
      </c>
      <c r="AK43" s="401">
        <v>2</v>
      </c>
      <c r="AL43" s="354">
        <v>0</v>
      </c>
      <c r="AM43" s="354"/>
      <c r="AN43" s="103"/>
      <c r="AO43" s="358"/>
      <c r="AP43" s="103" t="str">
        <f t="shared" si="14"/>
        <v/>
      </c>
      <c r="AQ43" s="103" t="str">
        <f t="shared" si="6"/>
        <v/>
      </c>
      <c r="AR43" s="103"/>
      <c r="AS43" s="103"/>
      <c r="AT43" s="240" t="str">
        <f t="shared" si="7"/>
        <v/>
      </c>
      <c r="AU43" s="240">
        <f t="shared" si="1"/>
        <v>0</v>
      </c>
      <c r="AV43" s="240">
        <f t="shared" si="2"/>
        <v>0</v>
      </c>
      <c r="AW43" s="240">
        <f t="shared" si="3"/>
        <v>0</v>
      </c>
      <c r="AX43" s="240">
        <f t="shared" si="8"/>
        <v>0</v>
      </c>
      <c r="AY43" s="238"/>
      <c r="AZ43" s="238"/>
      <c r="BA43" s="4"/>
      <c r="BB43" s="4">
        <f t="shared" si="9"/>
        <v>0</v>
      </c>
      <c r="BC43" s="4">
        <f t="shared" si="10"/>
        <v>0</v>
      </c>
      <c r="BD43" s="4" t="str">
        <f t="shared" si="11"/>
        <v/>
      </c>
      <c r="BE43" s="4" t="str">
        <f t="shared" si="12"/>
        <v/>
      </c>
      <c r="BF43" s="627"/>
      <c r="BG43" s="627"/>
      <c r="BH43" s="626"/>
      <c r="BI43" s="627"/>
      <c r="BJ43" s="626"/>
      <c r="BK43" s="627"/>
      <c r="BL43" s="626"/>
      <c r="BM43" s="146"/>
      <c r="BN43" s="412"/>
      <c r="BO43" s="146"/>
    </row>
    <row r="44" spans="1:80">
      <c r="A44" s="5">
        <f t="shared" si="4"/>
        <v>0</v>
      </c>
      <c r="B44" s="18" t="str">
        <f>名簿!Q46</f>
        <v/>
      </c>
      <c r="C44" s="5">
        <f t="shared" si="5"/>
        <v>0</v>
      </c>
      <c r="D44" s="776">
        <f>名簿!D46</f>
        <v>0</v>
      </c>
      <c r="E44" s="19">
        <f>名簿!E46</f>
        <v>0</v>
      </c>
      <c r="F44" s="205" t="str">
        <f>名簿!BN46</f>
        <v/>
      </c>
      <c r="G44" s="19" t="str">
        <f>名簿!Z46</f>
        <v/>
      </c>
      <c r="H44" s="122" t="str">
        <f t="shared" si="0"/>
        <v/>
      </c>
      <c r="I44" s="361" t="str">
        <f>名簿!O46</f>
        <v/>
      </c>
      <c r="J44" s="385">
        <f>名簿!I46</f>
        <v>0</v>
      </c>
      <c r="K44" s="684">
        <f>名簿!K46</f>
        <v>0</v>
      </c>
      <c r="L44" s="409" t="str">
        <f>名簿!BQ46</f>
        <v>00</v>
      </c>
      <c r="M44" s="19" t="s">
        <v>457</v>
      </c>
      <c r="N44" s="689">
        <v>23</v>
      </c>
      <c r="O44" s="202"/>
      <c r="P44" s="201" t="str">
        <f>IF(O44="","",IF(I44=1,VLOOKUP(O44,男子種目コード!$V$1:$W$5,2,FALSE),IF(I44=2,VLOOKUP(O44,女子種目コード!$V$1:$W$5,2,FALSE))))</f>
        <v/>
      </c>
      <c r="Q44" s="299" t="str">
        <f>IF(O44="","",HLOOKUP(O44,名簿!$AB$8:$BG$58,39,FALSE))</f>
        <v/>
      </c>
      <c r="R44" s="362">
        <v>0</v>
      </c>
      <c r="S44" s="401">
        <v>2</v>
      </c>
      <c r="T44" s="200"/>
      <c r="U44" s="201" t="str">
        <f>IF(T44="","",IF(I44=1,VLOOKUP(T44,男子種目コード!$V$1:$W$5,2,FALSE),IF(I44=2,VLOOKUP(T44,女子種目コード!$V$1:$W$5,2,FALSE))))</f>
        <v/>
      </c>
      <c r="V44" s="299" t="str">
        <f>IF(T44="","",HLOOKUP(T44,名簿!$AB$8:$BG$58,39,FALSE))</f>
        <v/>
      </c>
      <c r="W44" s="204"/>
      <c r="X44" s="205" t="str">
        <f>IF(W44="","",IF(I44=1,VLOOKUP(W44,男子種目コード!$D$2:$E$30,2,FALSE),IF(I44=2,VLOOKUP(W44,女子種目コード!$D$2:$E$30,2,FALSE))))</f>
        <v/>
      </c>
      <c r="Y44" s="454"/>
      <c r="Z44" s="362"/>
      <c r="AA44" s="362"/>
      <c r="AB44" s="459"/>
      <c r="AC44" s="463" t="str">
        <f>IF(AB44="","",IF(I44=1,VLOOKUP(AB44,男子種目コード!$V$1:$W$5,2,FALSE),IF(I44=2,VLOOKUP(AB44,女子種目コード!$V$1:$W$5,2,FALSE))))</f>
        <v/>
      </c>
      <c r="AD44" s="454"/>
      <c r="AE44" s="362">
        <v>0</v>
      </c>
      <c r="AF44" s="362">
        <v>2</v>
      </c>
      <c r="AG44" s="203"/>
      <c r="AH44" s="7" t="str">
        <f>IF(AG44="","",IF(I44=1,VLOOKUP(AG44,男子種目コード!$A$78:$B$81,2,FALSE),IF(I44=2,VLOOKUP(AG44,女子種目コード!$A$78:$B$81,2,FALSE))))</f>
        <v/>
      </c>
      <c r="AI44" s="454"/>
      <c r="AJ44" s="362">
        <v>0</v>
      </c>
      <c r="AK44" s="401">
        <v>2</v>
      </c>
      <c r="AL44" s="354">
        <v>0</v>
      </c>
      <c r="AM44" s="354"/>
      <c r="AN44" s="103"/>
      <c r="AO44" s="358"/>
      <c r="AP44" s="103" t="str">
        <f t="shared" si="14"/>
        <v/>
      </c>
      <c r="AQ44" s="103" t="str">
        <f t="shared" si="6"/>
        <v/>
      </c>
      <c r="AR44" s="103"/>
      <c r="AS44" s="103"/>
      <c r="AT44" s="240" t="str">
        <f t="shared" si="7"/>
        <v/>
      </c>
      <c r="AU44" s="240">
        <f t="shared" si="1"/>
        <v>0</v>
      </c>
      <c r="AV44" s="240">
        <f t="shared" si="2"/>
        <v>0</v>
      </c>
      <c r="AW44" s="240">
        <f t="shared" si="3"/>
        <v>0</v>
      </c>
      <c r="AX44" s="240">
        <f t="shared" si="8"/>
        <v>0</v>
      </c>
      <c r="AY44" s="238"/>
      <c r="AZ44" s="238"/>
      <c r="BA44" s="4"/>
      <c r="BB44" s="4">
        <f t="shared" si="9"/>
        <v>0</v>
      </c>
      <c r="BC44" s="4">
        <f t="shared" si="10"/>
        <v>0</v>
      </c>
      <c r="BD44" s="4" t="str">
        <f t="shared" si="11"/>
        <v/>
      </c>
      <c r="BE44" s="4" t="str">
        <f t="shared" si="12"/>
        <v/>
      </c>
      <c r="BF44" s="627"/>
      <c r="BG44" s="627"/>
      <c r="BH44" s="626"/>
      <c r="BI44" s="627"/>
      <c r="BJ44" s="626"/>
      <c r="BK44" s="627"/>
      <c r="BL44" s="626"/>
      <c r="BM44" s="146"/>
      <c r="BN44" s="412"/>
      <c r="BO44" s="146"/>
    </row>
    <row r="45" spans="1:80">
      <c r="A45" s="5">
        <f t="shared" si="4"/>
        <v>0</v>
      </c>
      <c r="B45" s="18" t="str">
        <f>名簿!Q47</f>
        <v/>
      </c>
      <c r="C45" s="5">
        <f t="shared" si="5"/>
        <v>0</v>
      </c>
      <c r="D45" s="776">
        <f>名簿!D47</f>
        <v>0</v>
      </c>
      <c r="E45" s="19">
        <f>名簿!E47</f>
        <v>0</v>
      </c>
      <c r="F45" s="205" t="str">
        <f>名簿!BN47</f>
        <v/>
      </c>
      <c r="G45" s="19" t="str">
        <f>名簿!Z47</f>
        <v/>
      </c>
      <c r="H45" s="122" t="str">
        <f t="shared" si="0"/>
        <v/>
      </c>
      <c r="I45" s="361" t="str">
        <f>名簿!O47</f>
        <v/>
      </c>
      <c r="J45" s="385">
        <f>名簿!I47</f>
        <v>0</v>
      </c>
      <c r="K45" s="684">
        <f>名簿!K47</f>
        <v>0</v>
      </c>
      <c r="L45" s="409" t="str">
        <f>名簿!BQ47</f>
        <v>00</v>
      </c>
      <c r="M45" s="19" t="s">
        <v>457</v>
      </c>
      <c r="N45" s="689">
        <v>23</v>
      </c>
      <c r="O45" s="202"/>
      <c r="P45" s="201" t="str">
        <f>IF(O45="","",IF(I45=1,VLOOKUP(O45,男子種目コード!$V$1:$W$5,2,FALSE),IF(I45=2,VLOOKUP(O45,女子種目コード!$V$1:$W$5,2,FALSE))))</f>
        <v/>
      </c>
      <c r="Q45" s="299" t="str">
        <f>IF(O45="","",HLOOKUP(O45,名簿!$AB$8:$BG$58,40,FALSE))</f>
        <v/>
      </c>
      <c r="R45" s="362">
        <v>0</v>
      </c>
      <c r="S45" s="401">
        <v>2</v>
      </c>
      <c r="T45" s="200"/>
      <c r="U45" s="201" t="str">
        <f>IF(T45="","",IF(I45=1,VLOOKUP(T45,男子種目コード!$V$1:$W$5,2,FALSE),IF(I45=2,VLOOKUP(T45,女子種目コード!$V$1:$W$5,2,FALSE))))</f>
        <v/>
      </c>
      <c r="V45" s="299" t="str">
        <f>IF(T45="","",HLOOKUP(T45,名簿!$AB$8:$BG$58,40,FALSE))</f>
        <v/>
      </c>
      <c r="W45" s="204"/>
      <c r="X45" s="205" t="str">
        <f>IF(W45="","",IF(I45=1,VLOOKUP(W45,男子種目コード!$D$2:$E$30,2,FALSE),IF(I45=2,VLOOKUP(W45,女子種目コード!$D$2:$E$30,2,FALSE))))</f>
        <v/>
      </c>
      <c r="Y45" s="454"/>
      <c r="Z45" s="362"/>
      <c r="AA45" s="362"/>
      <c r="AB45" s="459"/>
      <c r="AC45" s="463" t="str">
        <f>IF(AB45="","",IF(I45=1,VLOOKUP(AB45,男子種目コード!$V$1:$W$5,2,FALSE),IF(I45=2,VLOOKUP(AB45,女子種目コード!$V$1:$W$5,2,FALSE))))</f>
        <v/>
      </c>
      <c r="AD45" s="454"/>
      <c r="AE45" s="362">
        <v>0</v>
      </c>
      <c r="AF45" s="362">
        <v>2</v>
      </c>
      <c r="AG45" s="203"/>
      <c r="AH45" s="7" t="str">
        <f>IF(AG45="","",IF(I45=1,VLOOKUP(AG45,男子種目コード!$A$78:$B$81,2,FALSE),IF(I45=2,VLOOKUP(AG45,女子種目コード!$A$78:$B$81,2,FALSE))))</f>
        <v/>
      </c>
      <c r="AI45" s="454"/>
      <c r="AJ45" s="362">
        <v>0</v>
      </c>
      <c r="AK45" s="401">
        <v>2</v>
      </c>
      <c r="AL45" s="354">
        <v>0</v>
      </c>
      <c r="AM45" s="354"/>
      <c r="AN45" s="103"/>
      <c r="AO45" s="358"/>
      <c r="AP45" s="103" t="str">
        <f t="shared" si="14"/>
        <v/>
      </c>
      <c r="AQ45" s="103" t="str">
        <f t="shared" si="6"/>
        <v/>
      </c>
      <c r="AR45" s="103"/>
      <c r="AS45" s="103"/>
      <c r="AT45" s="240" t="str">
        <f t="shared" si="7"/>
        <v/>
      </c>
      <c r="AU45" s="240">
        <f t="shared" si="1"/>
        <v>0</v>
      </c>
      <c r="AV45" s="240">
        <f t="shared" si="2"/>
        <v>0</v>
      </c>
      <c r="AW45" s="240">
        <f t="shared" si="3"/>
        <v>0</v>
      </c>
      <c r="AX45" s="240">
        <f t="shared" si="8"/>
        <v>0</v>
      </c>
      <c r="AY45" s="238"/>
      <c r="AZ45" s="238"/>
      <c r="BA45" s="4"/>
      <c r="BB45" s="4">
        <f t="shared" si="9"/>
        <v>0</v>
      </c>
      <c r="BC45" s="4">
        <f t="shared" si="10"/>
        <v>0</v>
      </c>
      <c r="BD45" s="4" t="str">
        <f t="shared" si="11"/>
        <v/>
      </c>
      <c r="BE45" s="4" t="str">
        <f t="shared" si="12"/>
        <v/>
      </c>
      <c r="BF45" s="627"/>
      <c r="BG45" s="627"/>
      <c r="BH45" s="626"/>
      <c r="BI45" s="627"/>
      <c r="BJ45" s="626"/>
      <c r="BK45" s="627"/>
      <c r="BL45" s="626"/>
      <c r="BM45" s="146"/>
      <c r="BN45" s="412"/>
      <c r="BO45" s="146"/>
    </row>
    <row r="46" spans="1:80">
      <c r="A46" s="5">
        <f t="shared" si="4"/>
        <v>0</v>
      </c>
      <c r="B46" s="18" t="str">
        <f>名簿!Q48</f>
        <v/>
      </c>
      <c r="C46" s="5">
        <f t="shared" si="5"/>
        <v>0</v>
      </c>
      <c r="D46" s="776">
        <f>名簿!D48</f>
        <v>0</v>
      </c>
      <c r="E46" s="19">
        <f>名簿!E48</f>
        <v>0</v>
      </c>
      <c r="F46" s="205" t="str">
        <f>名簿!BN48</f>
        <v/>
      </c>
      <c r="G46" s="19" t="str">
        <f>名簿!Z48</f>
        <v/>
      </c>
      <c r="H46" s="122" t="str">
        <f t="shared" si="0"/>
        <v/>
      </c>
      <c r="I46" s="361" t="str">
        <f>名簿!O48</f>
        <v/>
      </c>
      <c r="J46" s="385">
        <f>名簿!I48</f>
        <v>0</v>
      </c>
      <c r="K46" s="684">
        <f>名簿!K48</f>
        <v>0</v>
      </c>
      <c r="L46" s="409" t="str">
        <f>名簿!BQ48</f>
        <v>00</v>
      </c>
      <c r="M46" s="19" t="s">
        <v>457</v>
      </c>
      <c r="N46" s="689">
        <v>23</v>
      </c>
      <c r="O46" s="202"/>
      <c r="P46" s="201" t="str">
        <f>IF(O46="","",IF(I46=1,VLOOKUP(O46,男子種目コード!$V$1:$W$5,2,FALSE),IF(I46=2,VLOOKUP(O46,女子種目コード!$V$1:$W$5,2,FALSE))))</f>
        <v/>
      </c>
      <c r="Q46" s="299" t="str">
        <f>IF(O46="","",HLOOKUP(O46,名簿!$AB$8:$BG$58,41,FALSE))</f>
        <v/>
      </c>
      <c r="R46" s="362">
        <v>0</v>
      </c>
      <c r="S46" s="401">
        <v>2</v>
      </c>
      <c r="T46" s="200"/>
      <c r="U46" s="201" t="str">
        <f>IF(T46="","",IF(I46=1,VLOOKUP(T46,男子種目コード!$V$1:$W$5,2,FALSE),IF(I46=2,VLOOKUP(T46,女子種目コード!$V$1:$W$5,2,FALSE))))</f>
        <v/>
      </c>
      <c r="V46" s="299" t="str">
        <f>IF(T46="","",HLOOKUP(T46,名簿!$AB$8:$BG$58,41,FALSE))</f>
        <v/>
      </c>
      <c r="W46" s="204"/>
      <c r="X46" s="205" t="str">
        <f>IF(W46="","",IF(I46=1,VLOOKUP(W46,男子種目コード!$D$2:$E$30,2,FALSE),IF(I46=2,VLOOKUP(W46,女子種目コード!$D$2:$E$30,2,FALSE))))</f>
        <v/>
      </c>
      <c r="Y46" s="454"/>
      <c r="Z46" s="362"/>
      <c r="AA46" s="362"/>
      <c r="AB46" s="459"/>
      <c r="AC46" s="463" t="str">
        <f>IF(AB46="","",IF(I46=1,VLOOKUP(AB46,男子種目コード!$V$1:$W$5,2,FALSE),IF(I46=2,VLOOKUP(AB46,女子種目コード!$V$1:$W$5,2,FALSE))))</f>
        <v/>
      </c>
      <c r="AD46" s="454"/>
      <c r="AE46" s="362">
        <v>0</v>
      </c>
      <c r="AF46" s="362">
        <v>2</v>
      </c>
      <c r="AG46" s="203"/>
      <c r="AH46" s="7" t="str">
        <f>IF(AG46="","",IF(I46=1,VLOOKUP(AG46,男子種目コード!$A$78:$B$81,2,FALSE),IF(I46=2,VLOOKUP(AG46,女子種目コード!$A$78:$B$81,2,FALSE))))</f>
        <v/>
      </c>
      <c r="AI46" s="454"/>
      <c r="AJ46" s="362">
        <v>0</v>
      </c>
      <c r="AK46" s="401">
        <v>2</v>
      </c>
      <c r="AL46" s="354">
        <v>0</v>
      </c>
      <c r="AM46" s="354"/>
      <c r="AN46" s="103"/>
      <c r="AO46" s="358"/>
      <c r="AP46" s="103" t="str">
        <f t="shared" si="14"/>
        <v/>
      </c>
      <c r="AQ46" s="103" t="str">
        <f t="shared" si="6"/>
        <v/>
      </c>
      <c r="AR46" s="103"/>
      <c r="AS46" s="103"/>
      <c r="AT46" s="240" t="str">
        <f t="shared" si="7"/>
        <v/>
      </c>
      <c r="AU46" s="240">
        <f t="shared" si="1"/>
        <v>0</v>
      </c>
      <c r="AV46" s="240">
        <f t="shared" si="2"/>
        <v>0</v>
      </c>
      <c r="AW46" s="240">
        <f t="shared" si="3"/>
        <v>0</v>
      </c>
      <c r="AX46" s="240">
        <f t="shared" si="8"/>
        <v>0</v>
      </c>
      <c r="AY46" s="238"/>
      <c r="AZ46" s="238"/>
      <c r="BA46" s="4"/>
      <c r="BB46" s="4">
        <f t="shared" si="9"/>
        <v>0</v>
      </c>
      <c r="BC46" s="4">
        <f t="shared" si="10"/>
        <v>0</v>
      </c>
      <c r="BD46" s="4" t="str">
        <f t="shared" si="11"/>
        <v/>
      </c>
      <c r="BE46" s="4" t="str">
        <f t="shared" si="12"/>
        <v/>
      </c>
      <c r="BF46" s="627"/>
      <c r="BG46" s="627"/>
      <c r="BH46" s="626"/>
      <c r="BI46" s="627"/>
      <c r="BJ46" s="626"/>
      <c r="BK46" s="627"/>
      <c r="BL46" s="626"/>
      <c r="BM46" s="146"/>
      <c r="BN46" s="412"/>
      <c r="BO46" s="146"/>
    </row>
    <row r="47" spans="1:80">
      <c r="A47" s="5">
        <f t="shared" si="4"/>
        <v>0</v>
      </c>
      <c r="B47" s="18" t="str">
        <f>名簿!Q49</f>
        <v/>
      </c>
      <c r="C47" s="5">
        <f t="shared" si="5"/>
        <v>0</v>
      </c>
      <c r="D47" s="776">
        <f>名簿!D49</f>
        <v>0</v>
      </c>
      <c r="E47" s="19">
        <f>名簿!E49</f>
        <v>0</v>
      </c>
      <c r="F47" s="205" t="str">
        <f>名簿!BN49</f>
        <v/>
      </c>
      <c r="G47" s="19" t="str">
        <f>名簿!Z49</f>
        <v/>
      </c>
      <c r="H47" s="122" t="str">
        <f t="shared" si="0"/>
        <v/>
      </c>
      <c r="I47" s="361" t="str">
        <f>名簿!O49</f>
        <v/>
      </c>
      <c r="J47" s="385">
        <f>名簿!I49</f>
        <v>0</v>
      </c>
      <c r="K47" s="684">
        <f>名簿!K49</f>
        <v>0</v>
      </c>
      <c r="L47" s="409" t="str">
        <f>名簿!BQ49</f>
        <v>00</v>
      </c>
      <c r="M47" s="19" t="s">
        <v>457</v>
      </c>
      <c r="N47" s="689">
        <v>23</v>
      </c>
      <c r="O47" s="202"/>
      <c r="P47" s="201" t="str">
        <f>IF(O47="","",IF(I47=1,VLOOKUP(O47,男子種目コード!$V$1:$W$5,2,FALSE),IF(I47=2,VLOOKUP(O47,女子種目コード!$V$1:$W$5,2,FALSE))))</f>
        <v/>
      </c>
      <c r="Q47" s="299" t="str">
        <f>IF(O47="","",HLOOKUP(O47,名簿!$AB$8:$BG$58,42,FALSE))</f>
        <v/>
      </c>
      <c r="R47" s="362">
        <v>0</v>
      </c>
      <c r="S47" s="401">
        <v>2</v>
      </c>
      <c r="T47" s="200"/>
      <c r="U47" s="201" t="str">
        <f>IF(T47="","",IF(I47=1,VLOOKUP(T47,男子種目コード!$V$1:$W$5,2,FALSE),IF(I47=2,VLOOKUP(T47,女子種目コード!$V$1:$W$5,2,FALSE))))</f>
        <v/>
      </c>
      <c r="V47" s="299" t="str">
        <f>IF(T47="","",HLOOKUP(T47,名簿!$AB$8:$BG$58,42,FALSE))</f>
        <v/>
      </c>
      <c r="W47" s="204"/>
      <c r="X47" s="205" t="str">
        <f>IF(W47="","",IF(I47=1,VLOOKUP(W47,男子種目コード!$D$2:$E$30,2,FALSE),IF(I47=2,VLOOKUP(W47,女子種目コード!$D$2:$E$30,2,FALSE))))</f>
        <v/>
      </c>
      <c r="Y47" s="454"/>
      <c r="Z47" s="362"/>
      <c r="AA47" s="362"/>
      <c r="AB47" s="459"/>
      <c r="AC47" s="463" t="str">
        <f>IF(AB47="","",IF(I47=1,VLOOKUP(AB47,男子種目コード!$V$1:$W$5,2,FALSE),IF(I47=2,VLOOKUP(AB47,女子種目コード!$V$1:$W$5,2,FALSE))))</f>
        <v/>
      </c>
      <c r="AD47" s="454"/>
      <c r="AE47" s="362">
        <v>0</v>
      </c>
      <c r="AF47" s="362">
        <v>2</v>
      </c>
      <c r="AG47" s="203"/>
      <c r="AH47" s="7" t="str">
        <f>IF(AG47="","",IF(I47=1,VLOOKUP(AG47,男子種目コード!$A$78:$B$81,2,FALSE),IF(I47=2,VLOOKUP(AG47,女子種目コード!$A$78:$B$81,2,FALSE))))</f>
        <v/>
      </c>
      <c r="AI47" s="454"/>
      <c r="AJ47" s="362">
        <v>0</v>
      </c>
      <c r="AK47" s="401">
        <v>2</v>
      </c>
      <c r="AL47" s="354">
        <v>0</v>
      </c>
      <c r="AM47" s="354"/>
      <c r="AN47" s="103"/>
      <c r="AO47" s="358"/>
      <c r="AP47" s="103" t="str">
        <f t="shared" si="14"/>
        <v/>
      </c>
      <c r="AQ47" s="103" t="str">
        <f t="shared" si="6"/>
        <v/>
      </c>
      <c r="AR47" s="103"/>
      <c r="AS47" s="103"/>
      <c r="AT47" s="240" t="str">
        <f t="shared" si="7"/>
        <v/>
      </c>
      <c r="AU47" s="240">
        <f t="shared" si="1"/>
        <v>0</v>
      </c>
      <c r="AV47" s="240">
        <f t="shared" si="2"/>
        <v>0</v>
      </c>
      <c r="AW47" s="240">
        <f t="shared" si="3"/>
        <v>0</v>
      </c>
      <c r="AX47" s="240">
        <f t="shared" si="8"/>
        <v>0</v>
      </c>
      <c r="AY47" s="238"/>
      <c r="AZ47" s="238"/>
      <c r="BA47" s="4"/>
      <c r="BB47" s="4">
        <f t="shared" si="9"/>
        <v>0</v>
      </c>
      <c r="BC47" s="4">
        <f t="shared" si="10"/>
        <v>0</v>
      </c>
      <c r="BD47" s="4" t="str">
        <f t="shared" si="11"/>
        <v/>
      </c>
      <c r="BE47" s="4" t="str">
        <f t="shared" si="12"/>
        <v/>
      </c>
      <c r="BF47" s="627"/>
      <c r="BG47" s="627"/>
      <c r="BH47" s="626"/>
      <c r="BI47" s="627"/>
      <c r="BJ47" s="626"/>
      <c r="BK47" s="627"/>
      <c r="BL47" s="626"/>
      <c r="BM47" s="146"/>
      <c r="BN47" s="412"/>
      <c r="BO47" s="146"/>
    </row>
    <row r="48" spans="1:80">
      <c r="A48" s="5">
        <f t="shared" si="4"/>
        <v>0</v>
      </c>
      <c r="B48" s="18" t="str">
        <f>名簿!Q50</f>
        <v/>
      </c>
      <c r="C48" s="5">
        <f t="shared" si="5"/>
        <v>0</v>
      </c>
      <c r="D48" s="776">
        <f>名簿!D50</f>
        <v>0</v>
      </c>
      <c r="E48" s="19">
        <f>名簿!E50</f>
        <v>0</v>
      </c>
      <c r="F48" s="205" t="str">
        <f>名簿!BN50</f>
        <v/>
      </c>
      <c r="G48" s="19" t="str">
        <f>名簿!Z50</f>
        <v/>
      </c>
      <c r="H48" s="122" t="str">
        <f t="shared" si="0"/>
        <v/>
      </c>
      <c r="I48" s="361" t="str">
        <f>名簿!O50</f>
        <v/>
      </c>
      <c r="J48" s="385">
        <f>名簿!I50</f>
        <v>0</v>
      </c>
      <c r="K48" s="684">
        <f>名簿!K50</f>
        <v>0</v>
      </c>
      <c r="L48" s="409" t="str">
        <f>名簿!BQ50</f>
        <v>00</v>
      </c>
      <c r="M48" s="19" t="s">
        <v>457</v>
      </c>
      <c r="N48" s="689">
        <v>23</v>
      </c>
      <c r="O48" s="202"/>
      <c r="P48" s="201" t="str">
        <f>IF(O48="","",IF(I48=1,VLOOKUP(O48,男子種目コード!$V$1:$W$5,2,FALSE),IF(I48=2,VLOOKUP(O48,女子種目コード!$V$1:$W$5,2,FALSE))))</f>
        <v/>
      </c>
      <c r="Q48" s="299" t="str">
        <f>IF(O48="","",HLOOKUP(O48,名簿!$AB$8:$BG$58,43,FALSE))</f>
        <v/>
      </c>
      <c r="R48" s="362">
        <v>0</v>
      </c>
      <c r="S48" s="401">
        <v>2</v>
      </c>
      <c r="T48" s="200"/>
      <c r="U48" s="201" t="str">
        <f>IF(T48="","",IF(I48=1,VLOOKUP(T48,男子種目コード!$V$1:$W$5,2,FALSE),IF(I48=2,VLOOKUP(T48,女子種目コード!$V$1:$W$5,2,FALSE))))</f>
        <v/>
      </c>
      <c r="V48" s="299" t="str">
        <f>IF(T48="","",HLOOKUP(T48,名簿!$AB$8:$BG$58,43,FALSE))</f>
        <v/>
      </c>
      <c r="W48" s="204"/>
      <c r="X48" s="205" t="str">
        <f>IF(W48="","",IF(I48=1,VLOOKUP(W48,男子種目コード!$D$2:$E$30,2,FALSE),IF(I48=2,VLOOKUP(W48,女子種目コード!$D$2:$E$30,2,FALSE))))</f>
        <v/>
      </c>
      <c r="Y48" s="454"/>
      <c r="Z48" s="362"/>
      <c r="AA48" s="362"/>
      <c r="AB48" s="459"/>
      <c r="AC48" s="463" t="str">
        <f>IF(AB48="","",IF(I48=1,VLOOKUP(AB48,男子種目コード!$V$1:$W$5,2,FALSE),IF(I48=2,VLOOKUP(AB48,女子種目コード!$V$1:$W$5,2,FALSE))))</f>
        <v/>
      </c>
      <c r="AD48" s="454"/>
      <c r="AE48" s="362">
        <v>0</v>
      </c>
      <c r="AF48" s="362">
        <v>2</v>
      </c>
      <c r="AG48" s="203"/>
      <c r="AH48" s="7" t="str">
        <f>IF(AG48="","",IF(I48=1,VLOOKUP(AG48,男子種目コード!$A$78:$B$81,2,FALSE),IF(I48=2,VLOOKUP(AG48,女子種目コード!$A$78:$B$81,2,FALSE))))</f>
        <v/>
      </c>
      <c r="AI48" s="454"/>
      <c r="AJ48" s="362">
        <v>0</v>
      </c>
      <c r="AK48" s="401">
        <v>2</v>
      </c>
      <c r="AL48" s="354">
        <v>0</v>
      </c>
      <c r="AM48" s="354"/>
      <c r="AN48" s="103"/>
      <c r="AO48" s="358"/>
      <c r="AP48" s="103" t="str">
        <f t="shared" si="14"/>
        <v/>
      </c>
      <c r="AQ48" s="103" t="str">
        <f t="shared" si="6"/>
        <v/>
      </c>
      <c r="AR48" s="103"/>
      <c r="AS48" s="103"/>
      <c r="AT48" s="240" t="str">
        <f t="shared" si="7"/>
        <v/>
      </c>
      <c r="AU48" s="240">
        <f t="shared" si="1"/>
        <v>0</v>
      </c>
      <c r="AV48" s="240">
        <f t="shared" si="2"/>
        <v>0</v>
      </c>
      <c r="AW48" s="240">
        <f t="shared" si="3"/>
        <v>0</v>
      </c>
      <c r="AX48" s="240">
        <f t="shared" si="8"/>
        <v>0</v>
      </c>
      <c r="AY48" s="238"/>
      <c r="AZ48" s="238"/>
      <c r="BA48" s="4"/>
      <c r="BB48" s="4">
        <f t="shared" si="9"/>
        <v>0</v>
      </c>
      <c r="BC48" s="4">
        <f t="shared" si="10"/>
        <v>0</v>
      </c>
      <c r="BD48" s="4" t="str">
        <f t="shared" si="11"/>
        <v/>
      </c>
      <c r="BE48" s="4" t="str">
        <f t="shared" si="12"/>
        <v/>
      </c>
      <c r="BF48" s="627"/>
      <c r="BG48" s="627"/>
      <c r="BH48" s="626"/>
      <c r="BI48" s="627"/>
      <c r="BJ48" s="626"/>
      <c r="BK48" s="627"/>
      <c r="BL48" s="626"/>
      <c r="BM48" s="146"/>
      <c r="BN48" s="412"/>
      <c r="BO48" s="146"/>
    </row>
    <row r="49" spans="1:67">
      <c r="A49" s="5">
        <f t="shared" si="4"/>
        <v>0</v>
      </c>
      <c r="B49" s="18" t="str">
        <f>名簿!Q51</f>
        <v/>
      </c>
      <c r="C49" s="5">
        <f t="shared" si="5"/>
        <v>0</v>
      </c>
      <c r="D49" s="776">
        <f>名簿!D51</f>
        <v>0</v>
      </c>
      <c r="E49" s="19">
        <f>名簿!E51</f>
        <v>0</v>
      </c>
      <c r="F49" s="205" t="str">
        <f>名簿!BN51</f>
        <v/>
      </c>
      <c r="G49" s="19" t="str">
        <f>名簿!Z51</f>
        <v/>
      </c>
      <c r="H49" s="122" t="str">
        <f t="shared" si="0"/>
        <v/>
      </c>
      <c r="I49" s="361" t="str">
        <f>名簿!O51</f>
        <v/>
      </c>
      <c r="J49" s="385">
        <f>名簿!I51</f>
        <v>0</v>
      </c>
      <c r="K49" s="684">
        <f>名簿!K51</f>
        <v>0</v>
      </c>
      <c r="L49" s="409" t="str">
        <f>名簿!BQ51</f>
        <v>00</v>
      </c>
      <c r="M49" s="19" t="s">
        <v>457</v>
      </c>
      <c r="N49" s="689">
        <v>23</v>
      </c>
      <c r="O49" s="202"/>
      <c r="P49" s="201" t="str">
        <f>IF(O49="","",IF(I49=1,VLOOKUP(O49,男子種目コード!$V$1:$W$5,2,FALSE),IF(I49=2,VLOOKUP(O49,女子種目コード!$V$1:$W$5,2,FALSE))))</f>
        <v/>
      </c>
      <c r="Q49" s="299" t="str">
        <f>IF(O49="","",HLOOKUP(O49,名簿!$AB$8:$BG$58,44,FALSE))</f>
        <v/>
      </c>
      <c r="R49" s="362">
        <v>0</v>
      </c>
      <c r="S49" s="401">
        <v>2</v>
      </c>
      <c r="T49" s="200"/>
      <c r="U49" s="201" t="str">
        <f>IF(T49="","",IF(I49=1,VLOOKUP(T49,男子種目コード!$V$1:$W$5,2,FALSE),IF(I49=2,VLOOKUP(T49,女子種目コード!$V$1:$W$5,2,FALSE))))</f>
        <v/>
      </c>
      <c r="V49" s="299" t="str">
        <f>IF(T49="","",HLOOKUP(T49,名簿!$AB$8:$BG$58,44,FALSE))</f>
        <v/>
      </c>
      <c r="W49" s="204"/>
      <c r="X49" s="205" t="str">
        <f>IF(W49="","",IF(I49=1,VLOOKUP(W49,男子種目コード!$D$2:$E$30,2,FALSE),IF(I49=2,VLOOKUP(W49,女子種目コード!$D$2:$E$30,2,FALSE))))</f>
        <v/>
      </c>
      <c r="Y49" s="454"/>
      <c r="Z49" s="362"/>
      <c r="AA49" s="362"/>
      <c r="AB49" s="459"/>
      <c r="AC49" s="463" t="str">
        <f>IF(AB49="","",IF(I49=1,VLOOKUP(AB49,男子種目コード!$V$1:$W$5,2,FALSE),IF(I49=2,VLOOKUP(AB49,女子種目コード!$V$1:$W$5,2,FALSE))))</f>
        <v/>
      </c>
      <c r="AD49" s="454"/>
      <c r="AE49" s="362">
        <v>0</v>
      </c>
      <c r="AF49" s="362">
        <v>2</v>
      </c>
      <c r="AG49" s="203"/>
      <c r="AH49" s="7" t="str">
        <f>IF(AG49="","",IF(I49=1,VLOOKUP(AG49,男子種目コード!$A$78:$B$81,2,FALSE),IF(I49=2,VLOOKUP(AG49,女子種目コード!$A$78:$B$81,2,FALSE))))</f>
        <v/>
      </c>
      <c r="AI49" s="454"/>
      <c r="AJ49" s="362">
        <v>0</v>
      </c>
      <c r="AK49" s="401">
        <v>2</v>
      </c>
      <c r="AL49" s="354">
        <v>0</v>
      </c>
      <c r="AM49" s="354"/>
      <c r="AN49" s="103"/>
      <c r="AO49" s="358"/>
      <c r="AP49" s="103" t="str">
        <f t="shared" si="14"/>
        <v/>
      </c>
      <c r="AQ49" s="103" t="str">
        <f t="shared" si="6"/>
        <v/>
      </c>
      <c r="AR49" s="103"/>
      <c r="AS49" s="103"/>
      <c r="AT49" s="240" t="str">
        <f t="shared" si="7"/>
        <v/>
      </c>
      <c r="AU49" s="240">
        <f t="shared" si="1"/>
        <v>0</v>
      </c>
      <c r="AV49" s="240">
        <f t="shared" si="2"/>
        <v>0</v>
      </c>
      <c r="AW49" s="240">
        <f t="shared" si="3"/>
        <v>0</v>
      </c>
      <c r="AX49" s="240">
        <f t="shared" si="8"/>
        <v>0</v>
      </c>
      <c r="AY49" s="633"/>
      <c r="AZ49" s="238"/>
      <c r="BA49" s="4"/>
      <c r="BB49" s="4">
        <f t="shared" si="9"/>
        <v>0</v>
      </c>
      <c r="BC49" s="4">
        <f t="shared" si="10"/>
        <v>0</v>
      </c>
      <c r="BD49" s="4" t="str">
        <f t="shared" si="11"/>
        <v/>
      </c>
      <c r="BE49" s="4" t="str">
        <f t="shared" si="12"/>
        <v/>
      </c>
      <c r="BF49" s="627"/>
      <c r="BG49" s="627"/>
      <c r="BH49" s="626"/>
      <c r="BI49" s="627"/>
      <c r="BJ49" s="626"/>
      <c r="BK49" s="627"/>
      <c r="BL49" s="626"/>
      <c r="BM49" s="146"/>
      <c r="BN49" s="412"/>
      <c r="BO49" s="146"/>
    </row>
    <row r="50" spans="1:67">
      <c r="A50" s="5">
        <f t="shared" si="4"/>
        <v>0</v>
      </c>
      <c r="B50" s="18" t="str">
        <f>名簿!Q52</f>
        <v/>
      </c>
      <c r="C50" s="5">
        <f t="shared" si="5"/>
        <v>0</v>
      </c>
      <c r="D50" s="776">
        <f>名簿!D52</f>
        <v>0</v>
      </c>
      <c r="E50" s="19">
        <f>名簿!E52</f>
        <v>0</v>
      </c>
      <c r="F50" s="205" t="str">
        <f>名簿!BN52</f>
        <v/>
      </c>
      <c r="G50" s="19" t="str">
        <f>名簿!Z52</f>
        <v/>
      </c>
      <c r="H50" s="122" t="str">
        <f t="shared" si="0"/>
        <v/>
      </c>
      <c r="I50" s="361" t="str">
        <f>名簿!O52</f>
        <v/>
      </c>
      <c r="J50" s="385">
        <f>名簿!I52</f>
        <v>0</v>
      </c>
      <c r="K50" s="684">
        <f>名簿!K52</f>
        <v>0</v>
      </c>
      <c r="L50" s="409" t="str">
        <f>名簿!BQ52</f>
        <v>00</v>
      </c>
      <c r="M50" s="19" t="s">
        <v>457</v>
      </c>
      <c r="N50" s="689">
        <v>23</v>
      </c>
      <c r="O50" s="202"/>
      <c r="P50" s="201" t="str">
        <f>IF(O50="","",IF(I50=1,VLOOKUP(O50,男子種目コード!$V$1:$W$5,2,FALSE),IF(I50=2,VLOOKUP(O50,女子種目コード!$V$1:$W$5,2,FALSE))))</f>
        <v/>
      </c>
      <c r="Q50" s="299" t="str">
        <f>IF(O50="","",HLOOKUP(O50,名簿!$AB$8:$BG$58,45,FALSE))</f>
        <v/>
      </c>
      <c r="R50" s="362">
        <v>0</v>
      </c>
      <c r="S50" s="401">
        <v>2</v>
      </c>
      <c r="T50" s="200"/>
      <c r="U50" s="201" t="str">
        <f>IF(T50="","",IF(I50=1,VLOOKUP(T50,男子種目コード!$V$1:$W$5,2,FALSE),IF(I50=2,VLOOKUP(T50,女子種目コード!$V$1:$W$5,2,FALSE))))</f>
        <v/>
      </c>
      <c r="V50" s="299" t="str">
        <f>IF(T50="","",HLOOKUP(T50,名簿!$AB$8:$BG$58,45,FALSE))</f>
        <v/>
      </c>
      <c r="W50" s="204"/>
      <c r="X50" s="205" t="str">
        <f>IF(W50="","",IF(I50=1,VLOOKUP(W50,男子種目コード!$D$2:$E$30,2,FALSE),IF(I50=2,VLOOKUP(W50,女子種目コード!$D$2:$E$30,2,FALSE))))</f>
        <v/>
      </c>
      <c r="Y50" s="454"/>
      <c r="Z50" s="362"/>
      <c r="AA50" s="362"/>
      <c r="AB50" s="459"/>
      <c r="AC50" s="463" t="str">
        <f>IF(AB50="","",IF(I50=1,VLOOKUP(AB50,男子種目コード!$V$1:$W$5,2,FALSE),IF(I50=2,VLOOKUP(AB50,女子種目コード!$V$1:$W$5,2,FALSE))))</f>
        <v/>
      </c>
      <c r="AD50" s="454"/>
      <c r="AE50" s="362">
        <v>0</v>
      </c>
      <c r="AF50" s="362">
        <v>2</v>
      </c>
      <c r="AG50" s="203"/>
      <c r="AH50" s="7" t="str">
        <f>IF(AG50="","",IF(I50=1,VLOOKUP(AG50,男子種目コード!$A$78:$B$81,2,FALSE),IF(I50=2,VLOOKUP(AG50,女子種目コード!$A$78:$B$81,2,FALSE))))</f>
        <v/>
      </c>
      <c r="AI50" s="454"/>
      <c r="AJ50" s="362">
        <v>0</v>
      </c>
      <c r="AK50" s="401">
        <v>2</v>
      </c>
      <c r="AL50" s="354">
        <v>0</v>
      </c>
      <c r="AM50" s="354"/>
      <c r="AN50" s="103"/>
      <c r="AO50" s="358"/>
      <c r="AP50" s="103" t="str">
        <f t="shared" si="14"/>
        <v/>
      </c>
      <c r="AQ50" s="103" t="str">
        <f t="shared" si="6"/>
        <v/>
      </c>
      <c r="AR50" s="103"/>
      <c r="AS50" s="103"/>
      <c r="AT50" s="240" t="str">
        <f t="shared" si="7"/>
        <v/>
      </c>
      <c r="AU50" s="240">
        <f t="shared" si="1"/>
        <v>0</v>
      </c>
      <c r="AV50" s="240">
        <f t="shared" si="2"/>
        <v>0</v>
      </c>
      <c r="AW50" s="240">
        <f t="shared" si="3"/>
        <v>0</v>
      </c>
      <c r="AX50" s="240">
        <f t="shared" si="8"/>
        <v>0</v>
      </c>
      <c r="AY50" s="238"/>
      <c r="AZ50" s="238"/>
      <c r="BA50" s="4"/>
      <c r="BB50" s="4">
        <f t="shared" si="9"/>
        <v>0</v>
      </c>
      <c r="BC50" s="4">
        <f t="shared" si="10"/>
        <v>0</v>
      </c>
      <c r="BD50" s="4" t="str">
        <f t="shared" si="11"/>
        <v/>
      </c>
      <c r="BE50" s="4" t="str">
        <f t="shared" si="12"/>
        <v/>
      </c>
      <c r="BF50" s="627"/>
      <c r="BG50" s="627"/>
      <c r="BH50" s="626"/>
      <c r="BI50" s="627"/>
      <c r="BJ50" s="626"/>
      <c r="BK50" s="627"/>
      <c r="BL50" s="626"/>
      <c r="BM50" s="146"/>
      <c r="BN50" s="412"/>
      <c r="BO50" s="146"/>
    </row>
    <row r="51" spans="1:67">
      <c r="A51" s="5">
        <f t="shared" si="4"/>
        <v>0</v>
      </c>
      <c r="B51" s="18" t="str">
        <f>名簿!Q53</f>
        <v/>
      </c>
      <c r="C51" s="5">
        <f t="shared" si="5"/>
        <v>0</v>
      </c>
      <c r="D51" s="776">
        <f>名簿!D53</f>
        <v>0</v>
      </c>
      <c r="E51" s="19">
        <f>名簿!E53</f>
        <v>0</v>
      </c>
      <c r="F51" s="205" t="str">
        <f>名簿!BN53</f>
        <v/>
      </c>
      <c r="G51" s="19" t="str">
        <f>名簿!Z53</f>
        <v/>
      </c>
      <c r="H51" s="122" t="str">
        <f t="shared" si="0"/>
        <v/>
      </c>
      <c r="I51" s="361" t="str">
        <f>名簿!O53</f>
        <v/>
      </c>
      <c r="J51" s="385">
        <f>名簿!I53</f>
        <v>0</v>
      </c>
      <c r="K51" s="684">
        <f>名簿!K53</f>
        <v>0</v>
      </c>
      <c r="L51" s="409" t="str">
        <f>名簿!BQ53</f>
        <v>00</v>
      </c>
      <c r="M51" s="19" t="s">
        <v>457</v>
      </c>
      <c r="N51" s="689">
        <v>23</v>
      </c>
      <c r="O51" s="202"/>
      <c r="P51" s="201" t="str">
        <f>IF(O51="","",IF(I51=1,VLOOKUP(O51,男子種目コード!$V$1:$W$5,2,FALSE),IF(I51=2,VLOOKUP(O51,女子種目コード!$V$1:$W$5,2,FALSE))))</f>
        <v/>
      </c>
      <c r="Q51" s="299" t="str">
        <f>IF(O51="","",HLOOKUP(O51,名簿!$AB$8:$BG$58,46,FALSE))</f>
        <v/>
      </c>
      <c r="R51" s="362">
        <v>0</v>
      </c>
      <c r="S51" s="401">
        <v>2</v>
      </c>
      <c r="T51" s="200"/>
      <c r="U51" s="201" t="str">
        <f>IF(T51="","",IF(I51=1,VLOOKUP(T51,男子種目コード!$V$1:$W$5,2,FALSE),IF(I51=2,VLOOKUP(T51,女子種目コード!$V$1:$W$5,2,FALSE))))</f>
        <v/>
      </c>
      <c r="V51" s="299" t="str">
        <f>IF(T51="","",HLOOKUP(T51,名簿!$AB$8:$BG$58,46,FALSE))</f>
        <v/>
      </c>
      <c r="W51" s="204"/>
      <c r="X51" s="205" t="str">
        <f>IF(W51="","",IF(I51=1,VLOOKUP(W51,男子種目コード!$D$2:$E$30,2,FALSE),IF(I51=2,VLOOKUP(W51,女子種目コード!$D$2:$E$30,2,FALSE))))</f>
        <v/>
      </c>
      <c r="Y51" s="454"/>
      <c r="Z51" s="362"/>
      <c r="AA51" s="362"/>
      <c r="AB51" s="459"/>
      <c r="AC51" s="463" t="str">
        <f>IF(AB51="","",IF(I51=1,VLOOKUP(AB51,男子種目コード!$V$1:$W$5,2,FALSE),IF(I51=2,VLOOKUP(AB51,女子種目コード!$V$1:$W$5,2,FALSE))))</f>
        <v/>
      </c>
      <c r="AD51" s="454"/>
      <c r="AE51" s="362">
        <v>0</v>
      </c>
      <c r="AF51" s="362">
        <v>2</v>
      </c>
      <c r="AG51" s="203"/>
      <c r="AH51" s="7" t="str">
        <f>IF(AG51="","",IF(I51=1,VLOOKUP(AG51,男子種目コード!$A$78:$B$81,2,FALSE),IF(I51=2,VLOOKUP(AG51,女子種目コード!$A$78:$B$81,2,FALSE))))</f>
        <v/>
      </c>
      <c r="AI51" s="454"/>
      <c r="AJ51" s="362">
        <v>0</v>
      </c>
      <c r="AK51" s="401">
        <v>2</v>
      </c>
      <c r="AL51" s="354">
        <v>0</v>
      </c>
      <c r="AM51" s="354"/>
      <c r="AN51" s="103"/>
      <c r="AO51" s="358"/>
      <c r="AP51" s="103" t="str">
        <f t="shared" si="14"/>
        <v/>
      </c>
      <c r="AQ51" s="103" t="str">
        <f t="shared" si="6"/>
        <v/>
      </c>
      <c r="AR51" s="103"/>
      <c r="AS51" s="103"/>
      <c r="AT51" s="240" t="str">
        <f t="shared" si="7"/>
        <v/>
      </c>
      <c r="AU51" s="240">
        <f t="shared" si="1"/>
        <v>0</v>
      </c>
      <c r="AV51" s="240">
        <f t="shared" si="2"/>
        <v>0</v>
      </c>
      <c r="AW51" s="240">
        <f t="shared" si="3"/>
        <v>0</v>
      </c>
      <c r="AX51" s="240">
        <f t="shared" si="8"/>
        <v>0</v>
      </c>
      <c r="AY51" s="238"/>
      <c r="AZ51" s="99"/>
      <c r="BA51" s="4"/>
      <c r="BB51" s="4">
        <f t="shared" si="9"/>
        <v>0</v>
      </c>
      <c r="BC51" s="4">
        <f t="shared" si="10"/>
        <v>0</v>
      </c>
      <c r="BD51" s="4" t="str">
        <f t="shared" si="11"/>
        <v/>
      </c>
      <c r="BE51" s="4" t="str">
        <f t="shared" si="12"/>
        <v/>
      </c>
      <c r="BF51" s="627"/>
      <c r="BG51" s="627"/>
      <c r="BH51" s="626"/>
      <c r="BI51" s="627"/>
      <c r="BJ51" s="626"/>
      <c r="BK51" s="627"/>
      <c r="BL51" s="626"/>
      <c r="BM51" s="146"/>
      <c r="BN51" s="412"/>
      <c r="BO51" s="146"/>
    </row>
    <row r="52" spans="1:67">
      <c r="A52" s="5">
        <f t="shared" si="4"/>
        <v>0</v>
      </c>
      <c r="B52" s="18" t="str">
        <f>名簿!Q54</f>
        <v/>
      </c>
      <c r="C52" s="5">
        <f t="shared" si="5"/>
        <v>0</v>
      </c>
      <c r="D52" s="776">
        <f>名簿!D54</f>
        <v>0</v>
      </c>
      <c r="E52" s="19">
        <f>名簿!E54</f>
        <v>0</v>
      </c>
      <c r="F52" s="205" t="str">
        <f>名簿!BN54</f>
        <v/>
      </c>
      <c r="G52" s="19" t="str">
        <f>名簿!Z54</f>
        <v/>
      </c>
      <c r="H52" s="122" t="str">
        <f t="shared" si="0"/>
        <v/>
      </c>
      <c r="I52" s="361" t="str">
        <f>名簿!O54</f>
        <v/>
      </c>
      <c r="J52" s="385">
        <f>名簿!I54</f>
        <v>0</v>
      </c>
      <c r="K52" s="684">
        <f>名簿!K54</f>
        <v>0</v>
      </c>
      <c r="L52" s="409" t="str">
        <f>名簿!BQ54</f>
        <v>00</v>
      </c>
      <c r="M52" s="19" t="s">
        <v>457</v>
      </c>
      <c r="N52" s="689">
        <v>23</v>
      </c>
      <c r="O52" s="202"/>
      <c r="P52" s="201" t="str">
        <f>IF(O52="","",IF(I52=1,VLOOKUP(O52,男子種目コード!$V$1:$W$5,2,FALSE),IF(I52=2,VLOOKUP(O52,女子種目コード!$V$1:$W$5,2,FALSE))))</f>
        <v/>
      </c>
      <c r="Q52" s="299" t="str">
        <f>IF(O52="","",HLOOKUP(O52,名簿!$AB$8:$BG$58,47,FALSE))</f>
        <v/>
      </c>
      <c r="R52" s="362">
        <v>0</v>
      </c>
      <c r="S52" s="401">
        <v>2</v>
      </c>
      <c r="T52" s="200"/>
      <c r="U52" s="201" t="str">
        <f>IF(T52="","",IF(I52=1,VLOOKUP(T52,男子種目コード!$V$1:$W$5,2,FALSE),IF(I52=2,VLOOKUP(T52,女子種目コード!$V$1:$W$5,2,FALSE))))</f>
        <v/>
      </c>
      <c r="V52" s="299" t="str">
        <f>IF(T52="","",HLOOKUP(T52,名簿!$AB$8:$BG$58,47,FALSE))</f>
        <v/>
      </c>
      <c r="W52" s="204"/>
      <c r="X52" s="205" t="str">
        <f>IF(W52="","",IF(I52=1,VLOOKUP(W52,男子種目コード!$D$2:$E$30,2,FALSE),IF(I52=2,VLOOKUP(W52,女子種目コード!$D$2:$E$30,2,FALSE))))</f>
        <v/>
      </c>
      <c r="Y52" s="454"/>
      <c r="Z52" s="362"/>
      <c r="AA52" s="362"/>
      <c r="AB52" s="459"/>
      <c r="AC52" s="463" t="str">
        <f>IF(AB52="","",IF(I52=1,VLOOKUP(AB52,男子種目コード!$V$1:$W$5,2,FALSE),IF(I52=2,VLOOKUP(AB52,女子種目コード!$V$1:$W$5,2,FALSE))))</f>
        <v/>
      </c>
      <c r="AD52" s="454"/>
      <c r="AE52" s="362">
        <v>0</v>
      </c>
      <c r="AF52" s="362">
        <v>2</v>
      </c>
      <c r="AG52" s="203"/>
      <c r="AH52" s="7" t="str">
        <f>IF(AG52="","",IF(I52=1,VLOOKUP(AG52,男子種目コード!$A$78:$B$81,2,FALSE),IF(I52=2,VLOOKUP(AG52,女子種目コード!$A$78:$B$81,2,FALSE))))</f>
        <v/>
      </c>
      <c r="AI52" s="454"/>
      <c r="AJ52" s="362">
        <v>0</v>
      </c>
      <c r="AK52" s="401">
        <v>2</v>
      </c>
      <c r="AL52" s="354">
        <v>0</v>
      </c>
      <c r="AM52" s="354"/>
      <c r="AN52" s="103"/>
      <c r="AO52" s="358"/>
      <c r="AP52" s="103" t="str">
        <f t="shared" si="14"/>
        <v/>
      </c>
      <c r="AQ52" s="103" t="str">
        <f t="shared" si="6"/>
        <v/>
      </c>
      <c r="AR52" s="103"/>
      <c r="AS52" s="103"/>
      <c r="AT52" s="240" t="str">
        <f t="shared" si="7"/>
        <v/>
      </c>
      <c r="AU52" s="240">
        <f t="shared" si="1"/>
        <v>0</v>
      </c>
      <c r="AV52" s="240">
        <f t="shared" si="2"/>
        <v>0</v>
      </c>
      <c r="AW52" s="240">
        <f t="shared" si="3"/>
        <v>0</v>
      </c>
      <c r="AX52" s="240">
        <f t="shared" si="8"/>
        <v>0</v>
      </c>
      <c r="AY52" s="238"/>
      <c r="AZ52" s="99"/>
      <c r="BA52" s="4"/>
      <c r="BB52" s="4">
        <f t="shared" si="9"/>
        <v>0</v>
      </c>
      <c r="BC52" s="4">
        <f t="shared" si="10"/>
        <v>0</v>
      </c>
      <c r="BD52" s="4" t="str">
        <f t="shared" si="11"/>
        <v/>
      </c>
      <c r="BE52" s="4" t="str">
        <f t="shared" si="12"/>
        <v/>
      </c>
      <c r="BF52" s="627"/>
      <c r="BG52" s="627"/>
      <c r="BH52" s="626"/>
      <c r="BI52" s="627"/>
      <c r="BJ52" s="626"/>
      <c r="BK52" s="627"/>
      <c r="BL52" s="626"/>
      <c r="BM52" s="146"/>
      <c r="BN52" s="412"/>
      <c r="BO52" s="146"/>
    </row>
    <row r="53" spans="1:67">
      <c r="A53" s="5">
        <f t="shared" si="4"/>
        <v>0</v>
      </c>
      <c r="B53" s="18" t="str">
        <f>名簿!Q55</f>
        <v/>
      </c>
      <c r="C53" s="5">
        <f t="shared" si="5"/>
        <v>0</v>
      </c>
      <c r="D53" s="776">
        <f>名簿!D55</f>
        <v>0</v>
      </c>
      <c r="E53" s="19">
        <f>名簿!E55</f>
        <v>0</v>
      </c>
      <c r="F53" s="205" t="str">
        <f>名簿!BN55</f>
        <v/>
      </c>
      <c r="G53" s="19" t="str">
        <f>名簿!Z55</f>
        <v/>
      </c>
      <c r="H53" s="122" t="str">
        <f t="shared" si="0"/>
        <v/>
      </c>
      <c r="I53" s="361" t="str">
        <f>名簿!O55</f>
        <v/>
      </c>
      <c r="J53" s="385">
        <f>名簿!I55</f>
        <v>0</v>
      </c>
      <c r="K53" s="684">
        <f>名簿!K55</f>
        <v>0</v>
      </c>
      <c r="L53" s="409" t="str">
        <f>名簿!BQ55</f>
        <v>00</v>
      </c>
      <c r="M53" s="19" t="s">
        <v>457</v>
      </c>
      <c r="N53" s="689">
        <v>23</v>
      </c>
      <c r="O53" s="202"/>
      <c r="P53" s="201" t="str">
        <f>IF(O53="","",IF(I53=1,VLOOKUP(O53,男子種目コード!$V$1:$W$5,2,FALSE),IF(I53=2,VLOOKUP(O53,女子種目コード!$V$1:$W$5,2,FALSE))))</f>
        <v/>
      </c>
      <c r="Q53" s="299" t="str">
        <f>IF(O53="","",HLOOKUP(O53,名簿!$AB$8:$BG$58,48,FALSE))</f>
        <v/>
      </c>
      <c r="R53" s="362">
        <v>0</v>
      </c>
      <c r="S53" s="401">
        <v>2</v>
      </c>
      <c r="T53" s="200"/>
      <c r="U53" s="201" t="str">
        <f>IF(T53="","",IF(I53=1,VLOOKUP(T53,男子種目コード!$V$1:$W$5,2,FALSE),IF(I53=2,VLOOKUP(T53,女子種目コード!$V$1:$W$5,2,FALSE))))</f>
        <v/>
      </c>
      <c r="V53" s="299" t="str">
        <f>IF(T53="","",HLOOKUP(T53,名簿!$AB$8:$BG$58,48,FALSE))</f>
        <v/>
      </c>
      <c r="W53" s="204"/>
      <c r="X53" s="205" t="str">
        <f>IF(W53="","",IF(I53=1,VLOOKUP(W53,男子種目コード!$D$2:$E$30,2,FALSE),IF(I53=2,VLOOKUP(W53,女子種目コード!$D$2:$E$30,2,FALSE))))</f>
        <v/>
      </c>
      <c r="Y53" s="454"/>
      <c r="Z53" s="362"/>
      <c r="AA53" s="362"/>
      <c r="AB53" s="459"/>
      <c r="AC53" s="463" t="str">
        <f>IF(AB53="","",IF(I53=1,VLOOKUP(AB53,男子種目コード!$V$1:$W$5,2,FALSE),IF(I53=2,VLOOKUP(AB53,女子種目コード!$V$1:$W$5,2,FALSE))))</f>
        <v/>
      </c>
      <c r="AD53" s="454"/>
      <c r="AE53" s="362">
        <v>0</v>
      </c>
      <c r="AF53" s="362">
        <v>2</v>
      </c>
      <c r="AG53" s="203"/>
      <c r="AH53" s="7" t="str">
        <f>IF(AG53="","",IF(I53=1,VLOOKUP(AG53,男子種目コード!$A$78:$B$81,2,FALSE),IF(I53=2,VLOOKUP(AG53,女子種目コード!$A$78:$B$81,2,FALSE))))</f>
        <v/>
      </c>
      <c r="AI53" s="454"/>
      <c r="AJ53" s="362">
        <v>0</v>
      </c>
      <c r="AK53" s="401">
        <v>2</v>
      </c>
      <c r="AL53" s="354">
        <v>0</v>
      </c>
      <c r="AM53" s="354"/>
      <c r="AN53" s="103"/>
      <c r="AO53" s="358"/>
      <c r="AP53" s="103" t="str">
        <f t="shared" si="14"/>
        <v/>
      </c>
      <c r="AQ53" s="103" t="str">
        <f t="shared" si="6"/>
        <v/>
      </c>
      <c r="AR53" s="103"/>
      <c r="AS53" s="103"/>
      <c r="AT53" s="240" t="str">
        <f t="shared" si="7"/>
        <v/>
      </c>
      <c r="AU53" s="240">
        <f t="shared" si="1"/>
        <v>0</v>
      </c>
      <c r="AV53" s="240">
        <f t="shared" si="2"/>
        <v>0</v>
      </c>
      <c r="AW53" s="240">
        <f t="shared" si="3"/>
        <v>0</v>
      </c>
      <c r="AX53" s="240">
        <f t="shared" si="8"/>
        <v>0</v>
      </c>
      <c r="AY53" s="238"/>
      <c r="AZ53" s="99"/>
      <c r="BA53" s="4"/>
      <c r="BB53" s="4">
        <f t="shared" si="9"/>
        <v>0</v>
      </c>
      <c r="BC53" s="4">
        <f t="shared" si="10"/>
        <v>0</v>
      </c>
      <c r="BD53" s="4" t="str">
        <f t="shared" si="11"/>
        <v/>
      </c>
      <c r="BE53" s="4" t="str">
        <f t="shared" si="12"/>
        <v/>
      </c>
      <c r="BF53" s="627"/>
      <c r="BG53" s="627"/>
      <c r="BH53" s="626"/>
      <c r="BI53" s="627"/>
      <c r="BJ53" s="626"/>
      <c r="BK53" s="627"/>
      <c r="BL53" s="626"/>
      <c r="BM53" s="146"/>
      <c r="BN53" s="412"/>
      <c r="BO53" s="146"/>
    </row>
    <row r="54" spans="1:67">
      <c r="A54" s="5">
        <f t="shared" si="4"/>
        <v>0</v>
      </c>
      <c r="B54" s="18" t="str">
        <f>名簿!Q56</f>
        <v/>
      </c>
      <c r="C54" s="5">
        <f t="shared" si="5"/>
        <v>0</v>
      </c>
      <c r="D54" s="776">
        <f>名簿!D56</f>
        <v>0</v>
      </c>
      <c r="E54" s="19">
        <f>名簿!E56</f>
        <v>0</v>
      </c>
      <c r="F54" s="205" t="str">
        <f>名簿!BN56</f>
        <v/>
      </c>
      <c r="G54" s="19" t="str">
        <f>名簿!Z56</f>
        <v/>
      </c>
      <c r="H54" s="122" t="str">
        <f t="shared" si="0"/>
        <v/>
      </c>
      <c r="I54" s="361" t="str">
        <f>名簿!O56</f>
        <v/>
      </c>
      <c r="J54" s="385">
        <f>名簿!I56</f>
        <v>0</v>
      </c>
      <c r="K54" s="684">
        <f>名簿!K56</f>
        <v>0</v>
      </c>
      <c r="L54" s="409" t="str">
        <f>名簿!BQ56</f>
        <v>00</v>
      </c>
      <c r="M54" s="19" t="s">
        <v>457</v>
      </c>
      <c r="N54" s="689">
        <v>23</v>
      </c>
      <c r="O54" s="202"/>
      <c r="P54" s="201" t="str">
        <f>IF(O54="","",IF(I54=1,VLOOKUP(O54,男子種目コード!$V$1:$W$5,2,FALSE),IF(I54=2,VLOOKUP(O54,女子種目コード!$V$1:$W$5,2,FALSE))))</f>
        <v/>
      </c>
      <c r="Q54" s="299" t="str">
        <f>IF(O54="","",HLOOKUP(O54,名簿!$AB$8:$BG$58,49,FALSE))</f>
        <v/>
      </c>
      <c r="R54" s="362">
        <v>0</v>
      </c>
      <c r="S54" s="401">
        <v>2</v>
      </c>
      <c r="T54" s="200"/>
      <c r="U54" s="201" t="str">
        <f>IF(T54="","",IF(I54=1,VLOOKUP(T54,男子種目コード!$V$1:$W$5,2,FALSE),IF(I54=2,VLOOKUP(T54,女子種目コード!$V$1:$W$5,2,FALSE))))</f>
        <v/>
      </c>
      <c r="V54" s="299" t="str">
        <f>IF(T54="","",HLOOKUP(T54,名簿!$AB$8:$BG$58,49,FALSE))</f>
        <v/>
      </c>
      <c r="W54" s="204"/>
      <c r="X54" s="205" t="str">
        <f>IF(W54="","",IF(I54=1,VLOOKUP(W54,男子種目コード!$D$2:$E$30,2,FALSE),IF(I54=2,VLOOKUP(W54,女子種目コード!$D$2:$E$30,2,FALSE))))</f>
        <v/>
      </c>
      <c r="Y54" s="454"/>
      <c r="Z54" s="362"/>
      <c r="AA54" s="362"/>
      <c r="AB54" s="459"/>
      <c r="AC54" s="463" t="str">
        <f>IF(AB54="","",IF(I54=1,VLOOKUP(AB54,男子種目コード!$V$1:$W$5,2,FALSE),IF(I54=2,VLOOKUP(AB54,女子種目コード!$V$1:$W$5,2,FALSE))))</f>
        <v/>
      </c>
      <c r="AD54" s="454"/>
      <c r="AE54" s="362">
        <v>0</v>
      </c>
      <c r="AF54" s="362">
        <v>2</v>
      </c>
      <c r="AG54" s="203"/>
      <c r="AH54" s="7" t="str">
        <f>IF(AG54="","",IF(I54=1,VLOOKUP(AG54,男子種目コード!$A$78:$B$81,2,FALSE),IF(I54=2,VLOOKUP(AG54,女子種目コード!$A$78:$B$81,2,FALSE))))</f>
        <v/>
      </c>
      <c r="AI54" s="454"/>
      <c r="AJ54" s="362">
        <v>0</v>
      </c>
      <c r="AK54" s="401">
        <v>2</v>
      </c>
      <c r="AL54" s="354">
        <v>0</v>
      </c>
      <c r="AM54" s="354"/>
      <c r="AN54" s="103"/>
      <c r="AO54" s="358"/>
      <c r="AP54" s="103" t="str">
        <f t="shared" si="14"/>
        <v/>
      </c>
      <c r="AQ54" s="103" t="str">
        <f t="shared" si="6"/>
        <v/>
      </c>
      <c r="AR54" s="103"/>
      <c r="AS54" s="103"/>
      <c r="AT54" s="240" t="str">
        <f t="shared" si="7"/>
        <v/>
      </c>
      <c r="AU54" s="240">
        <f t="shared" si="1"/>
        <v>0</v>
      </c>
      <c r="AV54" s="240">
        <f t="shared" si="2"/>
        <v>0</v>
      </c>
      <c r="AW54" s="240">
        <f t="shared" si="3"/>
        <v>0</v>
      </c>
      <c r="AX54" s="240">
        <f t="shared" si="8"/>
        <v>0</v>
      </c>
      <c r="AY54" s="238"/>
      <c r="AZ54" s="99"/>
      <c r="BA54" s="4"/>
      <c r="BB54" s="4">
        <f t="shared" si="9"/>
        <v>0</v>
      </c>
      <c r="BC54" s="4">
        <f t="shared" si="10"/>
        <v>0</v>
      </c>
      <c r="BD54" s="4" t="str">
        <f t="shared" si="11"/>
        <v/>
      </c>
      <c r="BE54" s="4" t="str">
        <f t="shared" si="12"/>
        <v/>
      </c>
      <c r="BF54" s="627"/>
      <c r="BG54" s="627"/>
      <c r="BH54" s="626"/>
      <c r="BI54" s="627"/>
      <c r="BJ54" s="626"/>
      <c r="BK54" s="627"/>
      <c r="BL54" s="626"/>
      <c r="BM54" s="146"/>
      <c r="BN54" s="412"/>
      <c r="BO54" s="146"/>
    </row>
    <row r="55" spans="1:67">
      <c r="A55" s="5">
        <f t="shared" si="4"/>
        <v>0</v>
      </c>
      <c r="B55" s="18" t="str">
        <f>名簿!Q57</f>
        <v/>
      </c>
      <c r="C55" s="5">
        <f t="shared" si="5"/>
        <v>0</v>
      </c>
      <c r="D55" s="776">
        <f>名簿!D57</f>
        <v>0</v>
      </c>
      <c r="E55" s="19">
        <f>名簿!E57</f>
        <v>0</v>
      </c>
      <c r="F55" s="205" t="str">
        <f>名簿!BN57</f>
        <v/>
      </c>
      <c r="G55" s="19" t="str">
        <f>名簿!Z57</f>
        <v/>
      </c>
      <c r="H55" s="122" t="str">
        <f t="shared" si="0"/>
        <v/>
      </c>
      <c r="I55" s="361" t="str">
        <f>名簿!O57</f>
        <v/>
      </c>
      <c r="J55" s="385">
        <f>名簿!I57</f>
        <v>0</v>
      </c>
      <c r="K55" s="684">
        <f>名簿!K57</f>
        <v>0</v>
      </c>
      <c r="L55" s="409" t="str">
        <f>名簿!BQ57</f>
        <v>00</v>
      </c>
      <c r="M55" s="19" t="s">
        <v>457</v>
      </c>
      <c r="N55" s="689">
        <v>23</v>
      </c>
      <c r="O55" s="202"/>
      <c r="P55" s="201" t="str">
        <f>IF(O55="","",IF(I55=1,VLOOKUP(O55,男子種目コード!$V$1:$W$5,2,FALSE),IF(I55=2,VLOOKUP(O55,女子種目コード!$V$1:$W$5,2,FALSE))))</f>
        <v/>
      </c>
      <c r="Q55" s="299" t="str">
        <f>IF(O55="","",HLOOKUP(O55,名簿!$AB$8:$BG$58,50,FALSE))</f>
        <v/>
      </c>
      <c r="R55" s="362">
        <v>0</v>
      </c>
      <c r="S55" s="401">
        <v>2</v>
      </c>
      <c r="T55" s="200"/>
      <c r="U55" s="201" t="str">
        <f>IF(T55="","",IF(I55=1,VLOOKUP(T55,男子種目コード!$V$1:$W$5,2,FALSE),IF(I55=2,VLOOKUP(T55,女子種目コード!$V$1:$W$5,2,FALSE))))</f>
        <v/>
      </c>
      <c r="V55" s="299" t="str">
        <f>IF(T55="","",HLOOKUP(T55,名簿!$AB$8:$BG$58,50,FALSE))</f>
        <v/>
      </c>
      <c r="W55" s="204"/>
      <c r="X55" s="205" t="str">
        <f>IF(W55="","",IF(I55=1,VLOOKUP(W55,男子種目コード!$D$2:$E$30,2,FALSE),IF(I55=2,VLOOKUP(W55,女子種目コード!$D$2:$E$30,2,FALSE))))</f>
        <v/>
      </c>
      <c r="Y55" s="454"/>
      <c r="Z55" s="362"/>
      <c r="AA55" s="362"/>
      <c r="AB55" s="459"/>
      <c r="AC55" s="463" t="str">
        <f>IF(AB55="","",IF(I55=1,VLOOKUP(AB55,男子種目コード!$V$1:$W$5,2,FALSE),IF(I55=2,VLOOKUP(AB55,女子種目コード!$V$1:$W$5,2,FALSE))))</f>
        <v/>
      </c>
      <c r="AD55" s="454"/>
      <c r="AE55" s="362">
        <v>0</v>
      </c>
      <c r="AF55" s="362">
        <v>2</v>
      </c>
      <c r="AG55" s="203"/>
      <c r="AH55" s="7" t="str">
        <f>IF(AG55="","",IF(I55=1,VLOOKUP(AG55,男子種目コード!$A$78:$B$81,2,FALSE),IF(I55=2,VLOOKUP(AG55,女子種目コード!$A$78:$B$81,2,FALSE))))</f>
        <v/>
      </c>
      <c r="AI55" s="454"/>
      <c r="AJ55" s="362">
        <v>0</v>
      </c>
      <c r="AK55" s="401">
        <v>2</v>
      </c>
      <c r="AL55" s="354">
        <v>0</v>
      </c>
      <c r="AM55" s="354"/>
      <c r="AN55" s="103"/>
      <c r="AO55" s="358"/>
      <c r="AP55" s="103" t="str">
        <f t="shared" si="14"/>
        <v/>
      </c>
      <c r="AQ55" s="103" t="str">
        <f t="shared" si="6"/>
        <v/>
      </c>
      <c r="AR55" s="103"/>
      <c r="AS55" s="103"/>
      <c r="AT55" s="240" t="str">
        <f t="shared" si="7"/>
        <v/>
      </c>
      <c r="AU55" s="240">
        <f t="shared" si="1"/>
        <v>0</v>
      </c>
      <c r="AV55" s="240">
        <f t="shared" si="2"/>
        <v>0</v>
      </c>
      <c r="AW55" s="240">
        <f t="shared" si="3"/>
        <v>0</v>
      </c>
      <c r="AX55" s="240">
        <f t="shared" si="8"/>
        <v>0</v>
      </c>
      <c r="AY55" s="99"/>
      <c r="AZ55" s="99"/>
      <c r="BA55" s="4"/>
      <c r="BB55" s="4">
        <f t="shared" si="9"/>
        <v>0</v>
      </c>
      <c r="BC55" s="4">
        <f t="shared" si="10"/>
        <v>0</v>
      </c>
      <c r="BD55" s="4" t="str">
        <f t="shared" si="11"/>
        <v/>
      </c>
      <c r="BE55" s="4" t="str">
        <f t="shared" si="12"/>
        <v/>
      </c>
      <c r="BF55" s="627"/>
      <c r="BG55" s="627"/>
      <c r="BH55" s="626"/>
      <c r="BI55" s="627"/>
      <c r="BJ55" s="626"/>
      <c r="BK55" s="627"/>
      <c r="BL55" s="626"/>
      <c r="BM55" s="146"/>
      <c r="BN55" s="412"/>
      <c r="BO55" s="146"/>
    </row>
    <row r="56" spans="1:67" ht="14.25" thickBot="1">
      <c r="A56" s="5">
        <f t="shared" si="4"/>
        <v>0</v>
      </c>
      <c r="B56" s="18" t="str">
        <f>名簿!Q58</f>
        <v/>
      </c>
      <c r="C56" s="5">
        <f t="shared" si="5"/>
        <v>0</v>
      </c>
      <c r="D56" s="777">
        <f>名簿!D58</f>
        <v>0</v>
      </c>
      <c r="E56" s="20">
        <f>名簿!E58</f>
        <v>0</v>
      </c>
      <c r="F56" s="208" t="str">
        <f>名簿!BN58</f>
        <v/>
      </c>
      <c r="G56" s="20" t="str">
        <f>名簿!Z58</f>
        <v/>
      </c>
      <c r="H56" s="123" t="str">
        <f t="shared" si="0"/>
        <v/>
      </c>
      <c r="I56" s="366" t="str">
        <f>名簿!O58</f>
        <v/>
      </c>
      <c r="J56" s="386">
        <f>名簿!I58</f>
        <v>0</v>
      </c>
      <c r="K56" s="511">
        <f>名簿!K58</f>
        <v>0</v>
      </c>
      <c r="L56" s="410" t="str">
        <f>名簿!BQ58</f>
        <v>00</v>
      </c>
      <c r="M56" s="20" t="s">
        <v>457</v>
      </c>
      <c r="N56" s="690">
        <v>23</v>
      </c>
      <c r="O56" s="478"/>
      <c r="P56" s="189" t="str">
        <f>IF(O56="","",IF(I56=1,VLOOKUP(O56,男子種目コード!$V$1:$W$5,2,FALSE),IF(I56=2,VLOOKUP(O56,女子種目コード!$V$1:$W$5,2,FALSE))))</f>
        <v/>
      </c>
      <c r="Q56" s="300" t="str">
        <f>IF(O56="","",HLOOKUP(O56,名簿!$AB$8:$BG$58,51,FALSE))</f>
        <v/>
      </c>
      <c r="R56" s="367">
        <v>0</v>
      </c>
      <c r="S56" s="402">
        <v>2</v>
      </c>
      <c r="T56" s="188"/>
      <c r="U56" s="189" t="str">
        <f>IF(T56="","",IF(I56=1,VLOOKUP(T56,男子種目コード!$V$1:$W$5,2,FALSE),IF(I56=2,VLOOKUP(T56,女子種目コード!$V$1:$W$5,2,FALSE))))</f>
        <v/>
      </c>
      <c r="V56" s="300" t="str">
        <f>IF(T56="","",HLOOKUP(T56,名簿!$AB$8:$BG$58,51,FALSE))</f>
        <v/>
      </c>
      <c r="W56" s="207"/>
      <c r="X56" s="208" t="str">
        <f>IF(W56="","",IF(I56=1,VLOOKUP(W56,男子種目コード!$D$2:$E$30,2,FALSE),IF(I56=2,VLOOKUP(W56,女子種目コード!$D$2:$E$30,2,FALSE))))</f>
        <v/>
      </c>
      <c r="Y56" s="456"/>
      <c r="Z56" s="367"/>
      <c r="AA56" s="367"/>
      <c r="AB56" s="632"/>
      <c r="AC56" s="463" t="str">
        <f>IF(AB56="","",IF(I56=1,VLOOKUP(AB56,男子種目コード!$V$1:$W$5,2,FALSE),IF(I56=2,VLOOKUP(AB56,女子種目コード!$V$1:$W$5,2,FALSE))))</f>
        <v/>
      </c>
      <c r="AD56" s="456"/>
      <c r="AE56" s="367">
        <v>0</v>
      </c>
      <c r="AF56" s="367">
        <v>2</v>
      </c>
      <c r="AG56" s="206"/>
      <c r="AH56" s="7" t="str">
        <f>IF(AG56="","",IF(I56=1,VLOOKUP(AG56,男子種目コード!$A$78:$B$81,2,FALSE),IF(I56=2,VLOOKUP(AG56,女子種目コード!$A$78:$B$81,2,FALSE))))</f>
        <v/>
      </c>
      <c r="AI56" s="454"/>
      <c r="AJ56" s="362">
        <v>0</v>
      </c>
      <c r="AK56" s="401">
        <v>2</v>
      </c>
      <c r="AL56" s="354">
        <v>0</v>
      </c>
      <c r="AM56" s="354"/>
      <c r="AN56" s="103"/>
      <c r="AO56" s="358"/>
      <c r="AP56" s="103" t="str">
        <f t="shared" si="14"/>
        <v/>
      </c>
      <c r="AQ56" s="103" t="str">
        <f t="shared" si="6"/>
        <v/>
      </c>
      <c r="AR56" s="103"/>
      <c r="AS56" s="103"/>
      <c r="AT56" s="240" t="str">
        <f t="shared" si="7"/>
        <v/>
      </c>
      <c r="AU56" s="240">
        <f t="shared" si="1"/>
        <v>0</v>
      </c>
      <c r="AV56" s="240">
        <f t="shared" si="2"/>
        <v>0</v>
      </c>
      <c r="AW56" s="240">
        <f t="shared" si="3"/>
        <v>0</v>
      </c>
      <c r="AX56" s="240">
        <f t="shared" si="8"/>
        <v>0</v>
      </c>
      <c r="AY56" s="99"/>
      <c r="AZ56" s="99"/>
      <c r="BA56" s="4"/>
      <c r="BB56" s="4">
        <f t="shared" si="9"/>
        <v>0</v>
      </c>
      <c r="BC56" s="4">
        <f t="shared" si="10"/>
        <v>0</v>
      </c>
      <c r="BD56" s="4" t="str">
        <f t="shared" si="11"/>
        <v/>
      </c>
      <c r="BE56" s="4" t="str">
        <f t="shared" si="12"/>
        <v/>
      </c>
      <c r="BF56" s="627"/>
      <c r="BG56" s="627"/>
      <c r="BH56" s="626"/>
      <c r="BI56" s="627"/>
      <c r="BJ56" s="626"/>
      <c r="BK56" s="627"/>
      <c r="BL56" s="626"/>
      <c r="BM56" s="146"/>
      <c r="BN56" s="412"/>
      <c r="BO56" s="146"/>
    </row>
    <row r="57" spans="1:67" s="103" customFormat="1">
      <c r="A57" s="428"/>
      <c r="C57" s="428"/>
      <c r="E57" s="146"/>
      <c r="F57" s="146"/>
      <c r="G57" s="147"/>
      <c r="H57" s="148"/>
      <c r="I57" s="148"/>
      <c r="J57" s="154"/>
      <c r="K57" s="154"/>
      <c r="L57" s="146"/>
      <c r="M57" s="198"/>
      <c r="N57" s="149"/>
      <c r="O57" s="197"/>
      <c r="P57" s="198"/>
      <c r="Q57" s="149"/>
      <c r="R57" s="197"/>
      <c r="S57" s="198"/>
      <c r="T57" s="152"/>
      <c r="U57" s="197"/>
      <c r="V57" s="198"/>
      <c r="W57" s="152"/>
      <c r="X57" s="197"/>
      <c r="Y57" s="198"/>
      <c r="Z57" s="152"/>
      <c r="AA57" s="197"/>
      <c r="AB57" s="154"/>
      <c r="AC57" s="154"/>
      <c r="AD57" s="146"/>
      <c r="AE57" s="155"/>
      <c r="AF57" s="146"/>
      <c r="AG57" s="146"/>
      <c r="AH57" s="146"/>
      <c r="AI57" s="146"/>
      <c r="AJ57" s="146"/>
      <c r="AK57" s="146"/>
      <c r="AL57" s="146"/>
      <c r="AM57" s="146"/>
      <c r="AN57" s="146"/>
      <c r="AO57" s="146"/>
      <c r="AP57" s="146"/>
      <c r="AQ57" s="146"/>
      <c r="AR57" s="146"/>
      <c r="AS57" s="146"/>
      <c r="AT57" s="146"/>
      <c r="AU57" s="412"/>
      <c r="AV57" s="146"/>
      <c r="AW57" s="412"/>
      <c r="AX57" s="146"/>
      <c r="AY57" s="412"/>
      <c r="AZ57" s="146"/>
      <c r="BA57" s="412"/>
      <c r="BB57" s="412">
        <f>SUM(BB7:BB56)</f>
        <v>0</v>
      </c>
      <c r="BC57" s="146">
        <f>SUM(BC7:BC56)</f>
        <v>0</v>
      </c>
      <c r="BD57" s="146">
        <f>SUM(BD7:BD56)</f>
        <v>0</v>
      </c>
      <c r="BE57" s="146">
        <f>SUM(BE7:BE56)</f>
        <v>0</v>
      </c>
      <c r="BF57" s="627"/>
      <c r="BG57" s="627"/>
      <c r="BH57" s="627"/>
      <c r="BI57" s="627"/>
      <c r="BJ57" s="627"/>
      <c r="BK57" s="627"/>
      <c r="BL57" s="627"/>
      <c r="BM57" s="146"/>
      <c r="BN57" s="146"/>
      <c r="BO57" s="146"/>
    </row>
    <row r="58" spans="1:67" s="103" customFormat="1">
      <c r="A58" s="428"/>
      <c r="C58" s="428"/>
      <c r="E58" s="146"/>
      <c r="F58" s="146"/>
      <c r="G58" s="147"/>
      <c r="H58" s="148"/>
      <c r="I58" s="148"/>
      <c r="J58" s="154"/>
      <c r="K58" s="154"/>
      <c r="L58" s="146"/>
      <c r="M58" s="198"/>
      <c r="N58" s="149"/>
      <c r="O58" s="197"/>
      <c r="P58" s="198"/>
      <c r="Q58" s="149"/>
      <c r="R58" s="197"/>
      <c r="S58" s="198"/>
      <c r="T58" s="152"/>
      <c r="U58" s="197"/>
      <c r="V58" s="198"/>
      <c r="W58" s="152"/>
      <c r="X58" s="197"/>
      <c r="Y58" s="198"/>
      <c r="Z58" s="152"/>
      <c r="AA58" s="197"/>
      <c r="AB58" s="154"/>
      <c r="AC58" s="154"/>
      <c r="AD58" s="146"/>
      <c r="AE58" s="155"/>
      <c r="AF58" s="146"/>
      <c r="AG58" s="146"/>
      <c r="AH58" s="146"/>
      <c r="AI58" s="146"/>
      <c r="AJ58" s="146"/>
      <c r="AK58" s="146"/>
      <c r="AL58" s="146"/>
      <c r="AM58" s="146"/>
      <c r="AN58" s="146"/>
      <c r="AO58" s="146"/>
      <c r="AP58" s="146"/>
      <c r="AQ58" s="146"/>
      <c r="AR58" s="146"/>
      <c r="AS58" s="146"/>
      <c r="AT58" s="146"/>
      <c r="AU58" s="412"/>
      <c r="AV58" s="146"/>
      <c r="AW58" s="412"/>
      <c r="AX58" s="146"/>
      <c r="AY58" s="412"/>
      <c r="AZ58" s="146"/>
      <c r="BA58" s="412"/>
      <c r="BB58" s="412"/>
      <c r="BC58" s="146"/>
      <c r="BD58" s="146"/>
      <c r="BE58" s="146"/>
      <c r="BF58" s="627"/>
      <c r="BG58" s="627"/>
      <c r="BH58" s="627"/>
      <c r="BI58" s="627"/>
      <c r="BJ58" s="627"/>
      <c r="BK58" s="627"/>
      <c r="BL58" s="627"/>
      <c r="BM58" s="146"/>
      <c r="BN58" s="146"/>
      <c r="BO58" s="146"/>
    </row>
    <row r="59" spans="1:67" s="103" customFormat="1">
      <c r="A59" s="428"/>
      <c r="C59" s="428"/>
      <c r="E59" s="146"/>
      <c r="F59" s="146"/>
      <c r="G59" s="147"/>
      <c r="H59" s="148"/>
      <c r="I59" s="148"/>
      <c r="J59" s="154"/>
      <c r="K59" s="154"/>
      <c r="L59" s="146"/>
      <c r="M59" s="198"/>
      <c r="N59" s="149"/>
      <c r="O59" s="197"/>
      <c r="P59" s="198"/>
      <c r="Q59" s="149"/>
      <c r="R59" s="197"/>
      <c r="S59" s="198"/>
      <c r="T59" s="152"/>
      <c r="U59" s="197"/>
      <c r="V59" s="198"/>
      <c r="W59" s="152"/>
      <c r="X59" s="197"/>
      <c r="Y59" s="198"/>
      <c r="Z59" s="152"/>
      <c r="AA59" s="197"/>
      <c r="AB59" s="154"/>
      <c r="AC59" s="154"/>
      <c r="AD59" s="146"/>
      <c r="AE59" s="155"/>
      <c r="AF59" s="146"/>
      <c r="AG59" s="146"/>
      <c r="AH59" s="146"/>
      <c r="AI59" s="146"/>
      <c r="AJ59" s="146"/>
      <c r="AK59" s="146"/>
      <c r="AL59" s="146"/>
      <c r="AM59" s="146"/>
      <c r="AN59" s="146"/>
      <c r="AO59" s="146"/>
      <c r="AP59" s="146"/>
      <c r="AQ59" s="146"/>
      <c r="AR59" s="146"/>
      <c r="AS59" s="146"/>
      <c r="AT59" s="146"/>
      <c r="AU59" s="412"/>
      <c r="AV59" s="146"/>
      <c r="AW59" s="412"/>
      <c r="AX59" s="146"/>
      <c r="AY59" s="412"/>
      <c r="AZ59" s="146"/>
      <c r="BA59" s="412"/>
      <c r="BB59" s="412"/>
      <c r="BC59" s="146"/>
      <c r="BD59" s="146"/>
      <c r="BE59" s="146"/>
      <c r="BF59" s="627"/>
      <c r="BG59" s="627"/>
      <c r="BH59" s="627"/>
      <c r="BI59" s="627"/>
      <c r="BJ59" s="627"/>
      <c r="BK59" s="627"/>
      <c r="BL59" s="627"/>
      <c r="BM59" s="146"/>
      <c r="BN59" s="146"/>
      <c r="BO59" s="146"/>
    </row>
    <row r="60" spans="1:67" s="103" customFormat="1">
      <c r="A60" s="428"/>
      <c r="C60" s="428"/>
      <c r="E60" s="146"/>
      <c r="F60" s="146"/>
      <c r="G60" s="147"/>
      <c r="H60" s="148"/>
      <c r="I60" s="148"/>
      <c r="J60" s="154"/>
      <c r="K60" s="154"/>
      <c r="L60" s="146"/>
      <c r="M60" s="198"/>
      <c r="N60" s="149"/>
      <c r="O60" s="197"/>
      <c r="P60" s="198"/>
      <c r="Q60" s="149"/>
      <c r="R60" s="197"/>
      <c r="S60" s="198"/>
      <c r="T60" s="152"/>
      <c r="U60" s="197"/>
      <c r="V60" s="198"/>
      <c r="W60" s="152"/>
      <c r="X60" s="197"/>
      <c r="Y60" s="198"/>
      <c r="Z60" s="152"/>
      <c r="AA60" s="197"/>
      <c r="AB60" s="154"/>
      <c r="AC60" s="154"/>
      <c r="AD60" s="146"/>
      <c r="AE60" s="155"/>
      <c r="AF60" s="146"/>
      <c r="AG60" s="146"/>
      <c r="AH60" s="146"/>
      <c r="AI60" s="146"/>
      <c r="AJ60" s="146"/>
      <c r="AK60" s="146"/>
      <c r="AL60" s="146"/>
      <c r="AM60" s="146"/>
      <c r="AN60" s="146"/>
      <c r="AO60" s="146"/>
      <c r="AP60" s="146"/>
      <c r="AQ60" s="146"/>
      <c r="AR60" s="146"/>
      <c r="AS60" s="146"/>
      <c r="AT60" s="146"/>
      <c r="AU60" s="412"/>
      <c r="AV60" s="146"/>
      <c r="AW60" s="412"/>
      <c r="AX60" s="146"/>
      <c r="AY60" s="412"/>
      <c r="AZ60" s="146"/>
      <c r="BA60" s="412"/>
      <c r="BB60" s="412"/>
      <c r="BC60" s="146"/>
      <c r="BD60" s="146"/>
      <c r="BE60" s="146"/>
      <c r="BF60" s="627"/>
      <c r="BG60" s="627"/>
      <c r="BH60" s="627"/>
      <c r="BI60" s="627"/>
      <c r="BJ60" s="627"/>
      <c r="BK60" s="627"/>
      <c r="BL60" s="627"/>
      <c r="BM60" s="146"/>
      <c r="BN60" s="146"/>
      <c r="BO60" s="146"/>
    </row>
    <row r="61" spans="1:67" s="103" customFormat="1">
      <c r="A61" s="428"/>
      <c r="C61" s="428"/>
      <c r="E61" s="146"/>
      <c r="F61" s="146"/>
      <c r="G61" s="147"/>
      <c r="H61" s="148"/>
      <c r="I61" s="148"/>
      <c r="J61" s="154"/>
      <c r="K61" s="154"/>
      <c r="L61" s="146"/>
      <c r="M61" s="198"/>
      <c r="N61" s="149"/>
      <c r="O61" s="197"/>
      <c r="P61" s="198"/>
      <c r="Q61" s="149"/>
      <c r="R61" s="197"/>
      <c r="S61" s="198"/>
      <c r="T61" s="152"/>
      <c r="U61" s="197"/>
      <c r="V61" s="198"/>
      <c r="W61" s="152"/>
      <c r="X61" s="197"/>
      <c r="Y61" s="198"/>
      <c r="Z61" s="152"/>
      <c r="AA61" s="197"/>
      <c r="AB61" s="154"/>
      <c r="AC61" s="154"/>
      <c r="AD61" s="146"/>
      <c r="AE61" s="155"/>
      <c r="AF61" s="146"/>
      <c r="AG61" s="146"/>
      <c r="AH61" s="146"/>
      <c r="AI61" s="146"/>
      <c r="AJ61" s="146"/>
      <c r="AK61" s="146"/>
      <c r="AL61" s="146"/>
      <c r="AM61" s="146"/>
      <c r="AN61" s="146"/>
      <c r="AO61" s="146"/>
      <c r="AP61" s="146"/>
      <c r="AQ61" s="146"/>
      <c r="AR61" s="146"/>
      <c r="AS61" s="146"/>
      <c r="AT61" s="146"/>
      <c r="AU61" s="412"/>
      <c r="AV61" s="146"/>
      <c r="AW61" s="412"/>
      <c r="AX61" s="146"/>
      <c r="AY61" s="412"/>
      <c r="AZ61" s="146"/>
      <c r="BA61" s="412"/>
      <c r="BB61" s="412"/>
      <c r="BC61" s="146"/>
      <c r="BD61" s="146"/>
      <c r="BE61" s="146"/>
      <c r="BF61" s="627"/>
      <c r="BG61" s="627"/>
      <c r="BH61" s="627"/>
      <c r="BI61" s="627"/>
      <c r="BJ61" s="627"/>
      <c r="BK61" s="627"/>
      <c r="BL61" s="627"/>
      <c r="BM61" s="146"/>
      <c r="BN61" s="146"/>
      <c r="BO61" s="146"/>
    </row>
    <row r="62" spans="1:67" s="103" customFormat="1">
      <c r="A62" s="428"/>
      <c r="C62" s="428"/>
      <c r="E62" s="146"/>
      <c r="F62" s="146"/>
      <c r="G62" s="147"/>
      <c r="H62" s="148"/>
      <c r="I62" s="148"/>
      <c r="J62" s="154"/>
      <c r="K62" s="154"/>
      <c r="L62" s="146"/>
      <c r="M62" s="198"/>
      <c r="N62" s="149"/>
      <c r="O62" s="197"/>
      <c r="P62" s="198"/>
      <c r="Q62" s="149"/>
      <c r="R62" s="197"/>
      <c r="S62" s="198"/>
      <c r="T62" s="152"/>
      <c r="U62" s="197"/>
      <c r="V62" s="198"/>
      <c r="W62" s="152"/>
      <c r="X62" s="197"/>
      <c r="Y62" s="198"/>
      <c r="Z62" s="152"/>
      <c r="AA62" s="197"/>
      <c r="AB62" s="154"/>
      <c r="AC62" s="154"/>
      <c r="AD62" s="146"/>
      <c r="AE62" s="155"/>
      <c r="AF62" s="146"/>
      <c r="AG62" s="146"/>
      <c r="AH62" s="146"/>
      <c r="AI62" s="146"/>
      <c r="AJ62" s="146"/>
      <c r="AK62" s="146"/>
      <c r="AL62" s="146"/>
      <c r="AM62" s="146"/>
      <c r="AN62" s="146"/>
      <c r="AO62" s="146"/>
      <c r="AP62" s="146"/>
      <c r="AQ62" s="146"/>
      <c r="AR62" s="146"/>
      <c r="AS62" s="146"/>
      <c r="AT62" s="146"/>
      <c r="AU62" s="412"/>
      <c r="AV62" s="146"/>
      <c r="AW62" s="412"/>
      <c r="AX62" s="146"/>
      <c r="AY62" s="412"/>
      <c r="AZ62" s="146"/>
      <c r="BA62" s="412"/>
      <c r="BB62" s="412"/>
      <c r="BC62" s="146"/>
      <c r="BD62" s="146"/>
      <c r="BE62" s="146"/>
      <c r="BF62" s="627"/>
      <c r="BG62" s="627"/>
      <c r="BH62" s="627"/>
      <c r="BI62" s="627"/>
      <c r="BJ62" s="627"/>
      <c r="BK62" s="627"/>
      <c r="BL62" s="627"/>
      <c r="BM62" s="146"/>
      <c r="BN62" s="146"/>
      <c r="BO62" s="146"/>
    </row>
    <row r="63" spans="1:67" s="103" customFormat="1">
      <c r="A63" s="428"/>
      <c r="C63" s="428"/>
      <c r="E63" s="146"/>
      <c r="F63" s="146"/>
      <c r="G63" s="147"/>
      <c r="H63" s="148"/>
      <c r="I63" s="148"/>
      <c r="J63" s="154"/>
      <c r="K63" s="154"/>
      <c r="L63" s="146"/>
      <c r="M63" s="198"/>
      <c r="N63" s="149"/>
      <c r="O63" s="197"/>
      <c r="P63" s="198"/>
      <c r="Q63" s="149"/>
      <c r="R63" s="197"/>
      <c r="S63" s="198"/>
      <c r="T63" s="152"/>
      <c r="U63" s="197"/>
      <c r="V63" s="198"/>
      <c r="W63" s="152"/>
      <c r="X63" s="197"/>
      <c r="Y63" s="198"/>
      <c r="Z63" s="152"/>
      <c r="AA63" s="197"/>
      <c r="AB63" s="154"/>
      <c r="AC63" s="154"/>
      <c r="AD63" s="146"/>
      <c r="AE63" s="155"/>
      <c r="AF63" s="146"/>
      <c r="AG63" s="146"/>
      <c r="AH63" s="146"/>
      <c r="AI63" s="146"/>
      <c r="AJ63" s="146"/>
      <c r="AK63" s="146"/>
      <c r="AL63" s="146"/>
      <c r="AM63" s="146"/>
      <c r="AN63" s="146"/>
      <c r="AO63" s="146"/>
      <c r="AP63" s="146"/>
      <c r="AQ63" s="146"/>
      <c r="AR63" s="146"/>
      <c r="AS63" s="146"/>
      <c r="AT63" s="146"/>
      <c r="AU63" s="412"/>
      <c r="AV63" s="146"/>
      <c r="AW63" s="412"/>
      <c r="AX63" s="146"/>
      <c r="AY63" s="412"/>
      <c r="AZ63" s="146"/>
      <c r="BA63" s="412"/>
      <c r="BB63" s="412"/>
      <c r="BC63" s="146"/>
      <c r="BD63" s="146"/>
      <c r="BE63" s="146"/>
      <c r="BF63" s="627"/>
      <c r="BG63" s="627"/>
      <c r="BH63" s="627"/>
      <c r="BI63" s="627"/>
      <c r="BJ63" s="627"/>
      <c r="BK63" s="627"/>
      <c r="BL63" s="627"/>
      <c r="BM63" s="146"/>
      <c r="BN63" s="146"/>
      <c r="BO63" s="146"/>
    </row>
    <row r="64" spans="1:67" s="103" customFormat="1">
      <c r="A64" s="428"/>
      <c r="C64" s="428"/>
      <c r="E64" s="146"/>
      <c r="F64" s="146"/>
      <c r="G64" s="147"/>
      <c r="H64" s="148"/>
      <c r="I64" s="148"/>
      <c r="J64" s="154"/>
      <c r="K64" s="154"/>
      <c r="L64" s="146"/>
      <c r="M64" s="198"/>
      <c r="N64" s="149"/>
      <c r="O64" s="197"/>
      <c r="P64" s="198"/>
      <c r="Q64" s="149"/>
      <c r="R64" s="197"/>
      <c r="S64" s="198"/>
      <c r="T64" s="152"/>
      <c r="U64" s="197"/>
      <c r="V64" s="198"/>
      <c r="W64" s="152"/>
      <c r="X64" s="197"/>
      <c r="Y64" s="198"/>
      <c r="Z64" s="152"/>
      <c r="AA64" s="197"/>
      <c r="AB64" s="154"/>
      <c r="AC64" s="154"/>
      <c r="AD64" s="146"/>
      <c r="AE64" s="155"/>
      <c r="AF64" s="146"/>
      <c r="AG64" s="146"/>
      <c r="AH64" s="146"/>
      <c r="AI64" s="146"/>
      <c r="AJ64" s="146"/>
      <c r="AK64" s="146"/>
      <c r="AL64" s="146"/>
      <c r="AM64" s="146"/>
      <c r="AN64" s="146"/>
      <c r="AO64" s="146"/>
      <c r="AP64" s="146"/>
      <c r="AQ64" s="146"/>
      <c r="AR64" s="146"/>
      <c r="AS64" s="146"/>
      <c r="AT64" s="146"/>
      <c r="AU64" s="412"/>
      <c r="AV64" s="146"/>
      <c r="AW64" s="412"/>
      <c r="AX64" s="146"/>
      <c r="AY64" s="412"/>
      <c r="AZ64" s="146"/>
      <c r="BA64" s="412"/>
      <c r="BB64" s="412"/>
      <c r="BC64" s="146"/>
      <c r="BD64" s="146"/>
      <c r="BE64" s="146"/>
      <c r="BF64" s="627"/>
      <c r="BG64" s="627"/>
      <c r="BH64" s="627"/>
      <c r="BI64" s="627"/>
      <c r="BJ64" s="627"/>
      <c r="BK64" s="627"/>
      <c r="BL64" s="627"/>
      <c r="BM64" s="146"/>
      <c r="BN64" s="146"/>
      <c r="BO64" s="146"/>
    </row>
    <row r="65" spans="1:67" s="103" customFormat="1" ht="12" customHeight="1">
      <c r="A65" s="428"/>
      <c r="C65" s="428"/>
      <c r="E65" s="146"/>
      <c r="F65" s="146"/>
      <c r="G65" s="147"/>
      <c r="H65" s="148"/>
      <c r="I65" s="148"/>
      <c r="J65" s="154"/>
      <c r="K65" s="154"/>
      <c r="L65" s="146"/>
      <c r="M65" s="198"/>
      <c r="N65" s="149"/>
      <c r="O65" s="197"/>
      <c r="P65" s="198"/>
      <c r="Q65" s="149"/>
      <c r="R65" s="197"/>
      <c r="S65" s="198"/>
      <c r="T65" s="152"/>
      <c r="U65" s="197"/>
      <c r="V65" s="198"/>
      <c r="W65" s="152"/>
      <c r="X65" s="197"/>
      <c r="Y65" s="198"/>
      <c r="Z65" s="152"/>
      <c r="AA65" s="197"/>
      <c r="AB65" s="154"/>
      <c r="AC65" s="154"/>
      <c r="AD65" s="146"/>
      <c r="AE65" s="155"/>
      <c r="AF65" s="146"/>
      <c r="AG65" s="146"/>
      <c r="AH65" s="146"/>
      <c r="AI65" s="146"/>
      <c r="AJ65" s="146"/>
      <c r="AK65" s="146"/>
      <c r="AL65" s="146"/>
      <c r="AM65" s="146"/>
      <c r="AN65" s="146"/>
      <c r="AO65" s="146"/>
      <c r="AP65" s="146"/>
      <c r="AQ65" s="146"/>
      <c r="AR65" s="146"/>
      <c r="AS65" s="146"/>
      <c r="AT65" s="146"/>
      <c r="AU65" s="412"/>
      <c r="AV65" s="146"/>
      <c r="AW65" s="412"/>
      <c r="AX65" s="146"/>
      <c r="AY65" s="412"/>
      <c r="AZ65" s="146"/>
      <c r="BA65" s="412"/>
      <c r="BB65" s="412"/>
      <c r="BC65" s="146"/>
      <c r="BD65" s="146"/>
      <c r="BE65" s="146"/>
      <c r="BF65" s="627"/>
      <c r="BG65" s="627"/>
      <c r="BH65" s="627"/>
      <c r="BI65" s="627"/>
      <c r="BJ65" s="627"/>
      <c r="BK65" s="627"/>
      <c r="BL65" s="627"/>
      <c r="BM65" s="146"/>
      <c r="BN65" s="146"/>
      <c r="BO65" s="146"/>
    </row>
    <row r="66" spans="1:67" s="103" customFormat="1" ht="1.5" hidden="1" customHeight="1">
      <c r="A66" s="428"/>
      <c r="C66" s="428"/>
      <c r="G66" s="352"/>
      <c r="H66" s="353"/>
      <c r="I66" s="353"/>
      <c r="J66" s="354"/>
      <c r="K66" s="354"/>
      <c r="M66" s="11"/>
      <c r="N66" s="355"/>
      <c r="O66" s="129"/>
      <c r="P66" s="11"/>
      <c r="Q66" s="355"/>
      <c r="R66" s="129"/>
      <c r="S66" s="11"/>
      <c r="T66" s="357"/>
      <c r="U66" s="129"/>
      <c r="V66" s="11" t="s">
        <v>210</v>
      </c>
      <c r="W66" s="357"/>
      <c r="X66" s="129"/>
      <c r="Y66" s="11"/>
      <c r="Z66" s="357"/>
      <c r="AA66" s="129"/>
      <c r="AB66" s="549">
        <f>COUNTIF($AB$7:$AB$56,"男子A")</f>
        <v>0</v>
      </c>
      <c r="AC66" s="549">
        <f>COUNTIF($AB$7:$AB$56,"男子A")</f>
        <v>0</v>
      </c>
      <c r="AD66" s="549">
        <f>COUNTIF($AB$7:$AB$56,"男子A")</f>
        <v>0</v>
      </c>
      <c r="AE66" s="549">
        <f>COUNTIF($AB$7:$AB$56,"男子A")</f>
        <v>0</v>
      </c>
      <c r="AF66" s="549">
        <f>COUNTIF($AB$7:$AB$56,"男子A")</f>
        <v>0</v>
      </c>
      <c r="AG66" s="549">
        <f>COUNTIF($AG$7:$AG$56,"男子A")</f>
        <v>0</v>
      </c>
      <c r="AU66" s="413"/>
      <c r="AW66" s="413"/>
      <c r="AY66" s="413"/>
      <c r="BA66" s="413"/>
      <c r="BB66" s="413"/>
      <c r="BF66" s="4"/>
      <c r="BG66" s="4"/>
    </row>
    <row r="67" spans="1:67" s="103" customFormat="1" hidden="1">
      <c r="A67" s="428"/>
      <c r="C67" s="428"/>
      <c r="G67" s="352"/>
      <c r="H67" s="353"/>
      <c r="I67" s="353"/>
      <c r="J67" s="354"/>
      <c r="K67" s="354"/>
      <c r="M67" s="11"/>
      <c r="N67" s="355"/>
      <c r="O67" s="129"/>
      <c r="P67" s="11"/>
      <c r="Q67" s="355"/>
      <c r="R67" s="129"/>
      <c r="S67" s="11"/>
      <c r="T67" s="357"/>
      <c r="U67" s="129"/>
      <c r="V67" s="11" t="s">
        <v>211</v>
      </c>
      <c r="W67" s="357"/>
      <c r="X67" s="129"/>
      <c r="Y67" s="11"/>
      <c r="Z67" s="357"/>
      <c r="AA67" s="129"/>
      <c r="AB67" s="549">
        <f>COUNTIF($AB$7:$AB$56,"男子B")</f>
        <v>0</v>
      </c>
      <c r="AC67" s="549">
        <f>COUNTIF($AB$7:$AB$56,"男子B")</f>
        <v>0</v>
      </c>
      <c r="AD67" s="549">
        <f>COUNTIF($AB$7:$AB$56,"男子B")</f>
        <v>0</v>
      </c>
      <c r="AE67" s="549">
        <f>COUNTIF($AB$7:$AB$56,"男子B")</f>
        <v>0</v>
      </c>
      <c r="AF67" s="549">
        <f>COUNTIF($AB$7:$AB$56,"男子B")</f>
        <v>0</v>
      </c>
      <c r="AG67" s="549">
        <f>COUNTIF($AG$7:$AG$56,"男子B")</f>
        <v>0</v>
      </c>
      <c r="AU67" s="413"/>
      <c r="AW67" s="413"/>
      <c r="AY67" s="413"/>
      <c r="BA67" s="413"/>
      <c r="BB67" s="413"/>
      <c r="BF67" s="4"/>
      <c r="BG67" s="4"/>
    </row>
    <row r="68" spans="1:67" s="103" customFormat="1" hidden="1">
      <c r="A68" s="428"/>
      <c r="C68" s="428"/>
      <c r="G68" s="352"/>
      <c r="H68" s="353"/>
      <c r="I68" s="353"/>
      <c r="J68" s="354"/>
      <c r="K68" s="354"/>
      <c r="M68" s="11"/>
      <c r="N68" s="355"/>
      <c r="O68" s="129"/>
      <c r="P68" s="11"/>
      <c r="Q68" s="355"/>
      <c r="R68" s="129"/>
      <c r="S68" s="11"/>
      <c r="T68" s="357"/>
      <c r="U68" s="129"/>
      <c r="V68" s="11" t="s">
        <v>212</v>
      </c>
      <c r="W68" s="357"/>
      <c r="X68" s="129"/>
      <c r="Y68" s="11"/>
      <c r="Z68" s="357"/>
      <c r="AA68" s="129"/>
      <c r="AB68" s="549">
        <f>COUNTIF($AB$7:$AB$56,"男子C")</f>
        <v>0</v>
      </c>
      <c r="AC68" s="549">
        <f>COUNTIF($AB$7:$AB$56,"男子C")</f>
        <v>0</v>
      </c>
      <c r="AD68" s="549">
        <f>COUNTIF($AB$7:$AB$56,"男子C")</f>
        <v>0</v>
      </c>
      <c r="AE68" s="549">
        <f>COUNTIF($AB$7:$AB$56,"男子C")</f>
        <v>0</v>
      </c>
      <c r="AF68" s="549">
        <f>COUNTIF($AB$7:$AB$56,"男子C")</f>
        <v>0</v>
      </c>
      <c r="AG68" s="549">
        <f>COUNTIF($AG$7:$AG$56,"男子C")</f>
        <v>0</v>
      </c>
      <c r="AU68" s="413"/>
      <c r="AW68" s="413"/>
      <c r="AY68" s="413"/>
      <c r="BA68" s="413"/>
      <c r="BB68" s="413"/>
      <c r="BF68" s="4"/>
      <c r="BG68" s="4"/>
    </row>
    <row r="69" spans="1:67" s="103" customFormat="1" hidden="1">
      <c r="A69" s="428"/>
      <c r="C69" s="428"/>
      <c r="G69" s="352"/>
      <c r="H69" s="353"/>
      <c r="I69" s="353"/>
      <c r="J69" s="354"/>
      <c r="K69" s="354"/>
      <c r="M69" s="11"/>
      <c r="N69" s="355"/>
      <c r="O69" s="129"/>
      <c r="P69" s="11"/>
      <c r="Q69" s="355"/>
      <c r="R69" s="129"/>
      <c r="S69" s="11"/>
      <c r="T69" s="357"/>
      <c r="U69" s="129"/>
      <c r="V69" s="11" t="s">
        <v>341</v>
      </c>
      <c r="W69" s="357"/>
      <c r="X69" s="129"/>
      <c r="Y69" s="11"/>
      <c r="Z69" s="357"/>
      <c r="AA69" s="129"/>
      <c r="AB69" s="549">
        <f>COUNTIF($AB$7:$AB$56,"男子D")</f>
        <v>0</v>
      </c>
      <c r="AC69" s="549">
        <f>COUNTIF($AB$7:$AB$56,"男子D")</f>
        <v>0</v>
      </c>
      <c r="AD69" s="549">
        <f>COUNTIF($AB$7:$AB$56,"男子D")</f>
        <v>0</v>
      </c>
      <c r="AE69" s="549">
        <f>COUNTIF($AB$7:$AB$56,"男子D")</f>
        <v>0</v>
      </c>
      <c r="AF69" s="549">
        <f>COUNTIF($AB$7:$AB$56,"男子D")</f>
        <v>0</v>
      </c>
      <c r="AG69" s="549">
        <f>COUNTIF($AG$7:$AG$56,"男子D")</f>
        <v>0</v>
      </c>
      <c r="AU69" s="413"/>
      <c r="AW69" s="413"/>
      <c r="AY69" s="413"/>
      <c r="BA69" s="413"/>
      <c r="BB69" s="413"/>
      <c r="BF69" s="4"/>
      <c r="BG69" s="4"/>
    </row>
    <row r="70" spans="1:67" s="103" customFormat="1" hidden="1">
      <c r="A70" s="428"/>
      <c r="C70" s="428"/>
      <c r="G70" s="352"/>
      <c r="H70" s="353"/>
      <c r="I70" s="353"/>
      <c r="J70" s="354"/>
      <c r="K70" s="354"/>
      <c r="M70" s="11"/>
      <c r="N70" s="355"/>
      <c r="O70" s="129"/>
      <c r="P70" s="11"/>
      <c r="Q70" s="355"/>
      <c r="R70" s="129"/>
      <c r="S70" s="11"/>
      <c r="T70" s="357"/>
      <c r="U70" s="129"/>
      <c r="V70" s="11" t="s">
        <v>213</v>
      </c>
      <c r="W70" s="357"/>
      <c r="X70" s="129"/>
      <c r="Y70" s="11"/>
      <c r="Z70" s="357"/>
      <c r="AA70" s="129"/>
      <c r="AB70" s="549">
        <f>COUNTIF($AB$7:$AB$56,"女子A")</f>
        <v>0</v>
      </c>
      <c r="AC70" s="549"/>
      <c r="AD70" s="550"/>
      <c r="AE70" s="551"/>
      <c r="AF70" s="550"/>
      <c r="AG70" s="549">
        <f>COUNTIF($AG$7:$AG$56,"女子A")</f>
        <v>0</v>
      </c>
      <c r="AU70" s="413"/>
      <c r="AW70" s="413"/>
      <c r="AY70" s="413"/>
      <c r="BA70" s="413"/>
      <c r="BB70" s="413"/>
      <c r="BF70" s="4"/>
      <c r="BG70" s="4"/>
    </row>
    <row r="71" spans="1:67" hidden="1">
      <c r="V71" s="11" t="s">
        <v>214</v>
      </c>
      <c r="AB71" s="549">
        <f>COUNTIF($AB$7:$AB$56,"女子B")</f>
        <v>0</v>
      </c>
      <c r="AC71" s="552"/>
      <c r="AD71" s="553"/>
      <c r="AE71" s="554"/>
      <c r="AF71" s="553"/>
      <c r="AG71" s="549">
        <f>COUNTIF($AG$7:$AG$56,"女子B")</f>
        <v>0</v>
      </c>
    </row>
    <row r="72" spans="1:67" hidden="1">
      <c r="V72" s="11" t="s">
        <v>215</v>
      </c>
      <c r="AB72" s="549">
        <f>COUNTIF($AB$7:$AB$56,"女子C")</f>
        <v>0</v>
      </c>
      <c r="AC72" s="552"/>
      <c r="AD72" s="553"/>
      <c r="AE72" s="554"/>
      <c r="AF72" s="553"/>
      <c r="AG72" s="549">
        <f>COUNTIF($AG$7:$AG$56,"女子C")</f>
        <v>0</v>
      </c>
    </row>
    <row r="73" spans="1:67" hidden="1">
      <c r="V73" s="11" t="s">
        <v>342</v>
      </c>
      <c r="AB73" s="549">
        <f>COUNTIF($AB$7:$AB$56,"女子D")</f>
        <v>0</v>
      </c>
      <c r="AC73" s="552"/>
      <c r="AD73" s="553"/>
      <c r="AE73" s="554"/>
      <c r="AF73" s="553"/>
      <c r="AG73" s="549">
        <f>COUNTIF($AG$7:$AG$56,"女子D")</f>
        <v>0</v>
      </c>
    </row>
    <row r="74" spans="1:67" hidden="1"/>
  </sheetData>
  <sheetProtection password="83D4" sheet="1" objects="1" scenarios="1"/>
  <mergeCells count="4">
    <mergeCell ref="T1:V1"/>
    <mergeCell ref="O4:Q4"/>
    <mergeCell ref="BF6:BG6"/>
    <mergeCell ref="G1:Q1"/>
  </mergeCells>
  <phoneticPr fontId="5"/>
  <conditionalFormatting sqref="F7:F56">
    <cfRule type="expression" dxfId="86" priority="82" stopIfTrue="1">
      <formula>I7=2</formula>
    </cfRule>
  </conditionalFormatting>
  <conditionalFormatting sqref="J7:J56">
    <cfRule type="expression" dxfId="85" priority="81" stopIfTrue="1">
      <formula>I7=2</formula>
    </cfRule>
  </conditionalFormatting>
  <conditionalFormatting sqref="E7:E56">
    <cfRule type="expression" dxfId="84" priority="80" stopIfTrue="1">
      <formula>I7=2</formula>
    </cfRule>
  </conditionalFormatting>
  <conditionalFormatting sqref="G7:G56">
    <cfRule type="expression" dxfId="83" priority="79" stopIfTrue="1">
      <formula>I7=2</formula>
    </cfRule>
  </conditionalFormatting>
  <conditionalFormatting sqref="I7:I56">
    <cfRule type="cellIs" dxfId="82" priority="78" stopIfTrue="1" operator="equal">
      <formula>2</formula>
    </cfRule>
  </conditionalFormatting>
  <conditionalFormatting sqref="O7:O56">
    <cfRule type="expression" dxfId="81" priority="76" stopIfTrue="1">
      <formula>ISNA(P7)</formula>
    </cfRule>
    <cfRule type="expression" dxfId="80" priority="77" stopIfTrue="1">
      <formula>I7=""</formula>
    </cfRule>
  </conditionalFormatting>
  <conditionalFormatting sqref="T7:T56">
    <cfRule type="expression" dxfId="79" priority="74" stopIfTrue="1">
      <formula>ISNA(U7)</formula>
    </cfRule>
    <cfRule type="expression" dxfId="78" priority="75" stopIfTrue="1">
      <formula>I7=""</formula>
    </cfRule>
  </conditionalFormatting>
  <conditionalFormatting sqref="Q7:Q56">
    <cfRule type="expression" dxfId="77" priority="73" stopIfTrue="1">
      <formula>I7=""</formula>
    </cfRule>
  </conditionalFormatting>
  <conditionalFormatting sqref="V7:V56">
    <cfRule type="expression" dxfId="76" priority="72" stopIfTrue="1">
      <formula>I7=""</formula>
    </cfRule>
  </conditionalFormatting>
  <conditionalFormatting sqref="AB7:AB56">
    <cfRule type="expression" dxfId="75" priority="71" stopIfTrue="1">
      <formula>I7=""</formula>
    </cfRule>
  </conditionalFormatting>
  <conditionalFormatting sqref="AD7:AD56">
    <cfRule type="expression" dxfId="74" priority="69" stopIfTrue="1">
      <formula>ISNA(AG7)</formula>
    </cfRule>
    <cfRule type="expression" dxfId="73" priority="70" stopIfTrue="1">
      <formula>COUNTIF(#REF!,7)</formula>
    </cfRule>
  </conditionalFormatting>
  <conditionalFormatting sqref="AG7:AG56">
    <cfRule type="expression" dxfId="72" priority="67" stopIfTrue="1">
      <formula>ISNA(AH7)</formula>
    </cfRule>
    <cfRule type="expression" dxfId="71" priority="68" stopIfTrue="1">
      <formula>I7=""</formula>
    </cfRule>
  </conditionalFormatting>
  <conditionalFormatting sqref="Q7 V7">
    <cfRule type="expression" dxfId="70" priority="66" stopIfTrue="1">
      <formula>$I$7=""</formula>
    </cfRule>
  </conditionalFormatting>
  <conditionalFormatting sqref="Q8 V8">
    <cfRule type="expression" dxfId="69" priority="65" stopIfTrue="1">
      <formula>$I$8=""</formula>
    </cfRule>
  </conditionalFormatting>
  <conditionalFormatting sqref="Q9 V9">
    <cfRule type="expression" dxfId="68" priority="64" stopIfTrue="1">
      <formula>$I$9=""</formula>
    </cfRule>
  </conditionalFormatting>
  <conditionalFormatting sqref="Q10 V10">
    <cfRule type="expression" dxfId="67" priority="63" stopIfTrue="1">
      <formula>$I$10=""</formula>
    </cfRule>
  </conditionalFormatting>
  <conditionalFormatting sqref="Q11 V11">
    <cfRule type="expression" dxfId="66" priority="62" stopIfTrue="1">
      <formula>$I$11=""</formula>
    </cfRule>
  </conditionalFormatting>
  <conditionalFormatting sqref="Q12 V12">
    <cfRule type="expression" dxfId="65" priority="61" stopIfTrue="1">
      <formula>$I$12=""</formula>
    </cfRule>
  </conditionalFormatting>
  <conditionalFormatting sqref="Q13 V13">
    <cfRule type="expression" dxfId="64" priority="60" stopIfTrue="1">
      <formula>$I$13=""</formula>
    </cfRule>
  </conditionalFormatting>
  <conditionalFormatting sqref="Q14 V14">
    <cfRule type="expression" dxfId="63" priority="59" stopIfTrue="1">
      <formula>$I$14=""</formula>
    </cfRule>
  </conditionalFormatting>
  <conditionalFormatting sqref="Q15 V15">
    <cfRule type="expression" dxfId="62" priority="58" stopIfTrue="1">
      <formula>$I$15=""</formula>
    </cfRule>
  </conditionalFormatting>
  <conditionalFormatting sqref="Q16 V16">
    <cfRule type="expression" dxfId="61" priority="57" stopIfTrue="1">
      <formula>$I$16=""</formula>
    </cfRule>
  </conditionalFormatting>
  <conditionalFormatting sqref="Q17 V17">
    <cfRule type="expression" dxfId="60" priority="56" stopIfTrue="1">
      <formula>$I$17=""</formula>
    </cfRule>
  </conditionalFormatting>
  <conditionalFormatting sqref="Q18 V18">
    <cfRule type="expression" dxfId="59" priority="55" stopIfTrue="1">
      <formula>$I$18=""</formula>
    </cfRule>
  </conditionalFormatting>
  <conditionalFormatting sqref="Q19 V19">
    <cfRule type="expression" dxfId="58" priority="54" stopIfTrue="1">
      <formula>$I$19=""</formula>
    </cfRule>
  </conditionalFormatting>
  <conditionalFormatting sqref="Q20 V20">
    <cfRule type="expression" dxfId="57" priority="53" stopIfTrue="1">
      <formula>$I$20=""</formula>
    </cfRule>
  </conditionalFormatting>
  <conditionalFormatting sqref="Q21 V21">
    <cfRule type="expression" dxfId="56" priority="52" stopIfTrue="1">
      <formula>$I$21=""</formula>
    </cfRule>
  </conditionalFormatting>
  <conditionalFormatting sqref="Q22 V22">
    <cfRule type="expression" dxfId="55" priority="51" stopIfTrue="1">
      <formula>$I$22=""</formula>
    </cfRule>
  </conditionalFormatting>
  <conditionalFormatting sqref="Q23 V23">
    <cfRule type="expression" dxfId="54" priority="50" stopIfTrue="1">
      <formula>$I$23=""</formula>
    </cfRule>
  </conditionalFormatting>
  <conditionalFormatting sqref="Q24 V24">
    <cfRule type="expression" dxfId="53" priority="49" stopIfTrue="1">
      <formula>$I$24=""</formula>
    </cfRule>
  </conditionalFormatting>
  <conditionalFormatting sqref="Q25 V25">
    <cfRule type="expression" dxfId="52" priority="48" stopIfTrue="1">
      <formula>$I$25=""</formula>
    </cfRule>
  </conditionalFormatting>
  <conditionalFormatting sqref="Q26 V26">
    <cfRule type="expression" dxfId="51" priority="47" stopIfTrue="1">
      <formula>$I$26=""</formula>
    </cfRule>
  </conditionalFormatting>
  <conditionalFormatting sqref="Q27 V27">
    <cfRule type="expression" dxfId="50" priority="46" stopIfTrue="1">
      <formula>$I$27=""</formula>
    </cfRule>
  </conditionalFormatting>
  <conditionalFormatting sqref="Q28 V28">
    <cfRule type="expression" dxfId="49" priority="45" stopIfTrue="1">
      <formula>$I$28=""</formula>
    </cfRule>
  </conditionalFormatting>
  <conditionalFormatting sqref="Q29 V29">
    <cfRule type="expression" dxfId="48" priority="44" stopIfTrue="1">
      <formula>$I$29=""</formula>
    </cfRule>
  </conditionalFormatting>
  <conditionalFormatting sqref="Q30 V30">
    <cfRule type="expression" dxfId="47" priority="43" stopIfTrue="1">
      <formula>$I$30=""</formula>
    </cfRule>
  </conditionalFormatting>
  <conditionalFormatting sqref="Q31 V31">
    <cfRule type="expression" dxfId="46" priority="42" stopIfTrue="1">
      <formula>$I$31=""</formula>
    </cfRule>
  </conditionalFormatting>
  <conditionalFormatting sqref="Q32 V32">
    <cfRule type="expression" dxfId="45" priority="41" stopIfTrue="1">
      <formula>$I$32=""</formula>
    </cfRule>
  </conditionalFormatting>
  <conditionalFormatting sqref="Q33 V33">
    <cfRule type="expression" dxfId="44" priority="40" stopIfTrue="1">
      <formula>$I$33=""</formula>
    </cfRule>
  </conditionalFormatting>
  <conditionalFormatting sqref="Q34 V34">
    <cfRule type="expression" dxfId="43" priority="39" stopIfTrue="1">
      <formula>$I$34=""</formula>
    </cfRule>
  </conditionalFormatting>
  <conditionalFormatting sqref="Q35 V35">
    <cfRule type="expression" dxfId="42" priority="38" stopIfTrue="1">
      <formula>$I$35=""</formula>
    </cfRule>
  </conditionalFormatting>
  <conditionalFormatting sqref="Q47 V47">
    <cfRule type="expression" dxfId="41" priority="37" stopIfTrue="1">
      <formula>$I$47=""</formula>
    </cfRule>
  </conditionalFormatting>
  <conditionalFormatting sqref="Q48 V48">
    <cfRule type="expression" dxfId="40" priority="36" stopIfTrue="1">
      <formula>$I$48=""</formula>
    </cfRule>
  </conditionalFormatting>
  <conditionalFormatting sqref="Q49 V49">
    <cfRule type="expression" dxfId="39" priority="35" stopIfTrue="1">
      <formula>$I$49=""</formula>
    </cfRule>
  </conditionalFormatting>
  <conditionalFormatting sqref="Q50 V50">
    <cfRule type="expression" dxfId="38" priority="34" stopIfTrue="1">
      <formula>$I$50=""</formula>
    </cfRule>
  </conditionalFormatting>
  <conditionalFormatting sqref="Q51 V51">
    <cfRule type="expression" dxfId="37" priority="33" stopIfTrue="1">
      <formula>$I$51=""</formula>
    </cfRule>
  </conditionalFormatting>
  <conditionalFormatting sqref="Q52 V52">
    <cfRule type="expression" dxfId="36" priority="32" stopIfTrue="1">
      <formula>$I$52=""</formula>
    </cfRule>
  </conditionalFormatting>
  <conditionalFormatting sqref="Q53 V53">
    <cfRule type="expression" dxfId="35" priority="31" stopIfTrue="1">
      <formula>$I$53=""</formula>
    </cfRule>
  </conditionalFormatting>
  <conditionalFormatting sqref="Q54 V54">
    <cfRule type="expression" dxfId="34" priority="30" stopIfTrue="1">
      <formula>$I$54=""</formula>
    </cfRule>
  </conditionalFormatting>
  <conditionalFormatting sqref="Q55 V55">
    <cfRule type="expression" dxfId="33" priority="29" stopIfTrue="1">
      <formula>$I$55=""</formula>
    </cfRule>
  </conditionalFormatting>
  <conditionalFormatting sqref="Q56 V56">
    <cfRule type="expression" dxfId="32" priority="28" stopIfTrue="1">
      <formula>$I$56=""</formula>
    </cfRule>
  </conditionalFormatting>
  <conditionalFormatting sqref="Q36 V36">
    <cfRule type="expression" dxfId="31" priority="27" stopIfTrue="1">
      <formula>$I$36=""</formula>
    </cfRule>
  </conditionalFormatting>
  <conditionalFormatting sqref="Q37 V37">
    <cfRule type="expression" dxfId="30" priority="26" stopIfTrue="1">
      <formula>$I$37=""</formula>
    </cfRule>
  </conditionalFormatting>
  <conditionalFormatting sqref="Q38 V38">
    <cfRule type="expression" dxfId="29" priority="25" stopIfTrue="1">
      <formula>$I$38=""</formula>
    </cfRule>
  </conditionalFormatting>
  <conditionalFormatting sqref="Q39 V39">
    <cfRule type="expression" dxfId="28" priority="24" stopIfTrue="1">
      <formula>$I$39=""</formula>
    </cfRule>
  </conditionalFormatting>
  <conditionalFormatting sqref="Q40 V40">
    <cfRule type="expression" dxfId="27" priority="23" stopIfTrue="1">
      <formula>$I$40=""</formula>
    </cfRule>
  </conditionalFormatting>
  <conditionalFormatting sqref="Q41 V41">
    <cfRule type="expression" dxfId="26" priority="22" stopIfTrue="1">
      <formula>$I$41=""</formula>
    </cfRule>
  </conditionalFormatting>
  <conditionalFormatting sqref="Q42 V42">
    <cfRule type="expression" dxfId="25" priority="21" stopIfTrue="1">
      <formula>$I$42=""</formula>
    </cfRule>
  </conditionalFormatting>
  <conditionalFormatting sqref="Q43 V43">
    <cfRule type="expression" dxfId="24" priority="20" stopIfTrue="1">
      <formula>$I$43=""</formula>
    </cfRule>
  </conditionalFormatting>
  <conditionalFormatting sqref="Q44 V44">
    <cfRule type="expression" dxfId="23" priority="19" stopIfTrue="1">
      <formula>$I$44=""</formula>
    </cfRule>
  </conditionalFormatting>
  <conditionalFormatting sqref="Q45 V45">
    <cfRule type="expression" dxfId="22" priority="18" stopIfTrue="1">
      <formula>$I$45=""</formula>
    </cfRule>
  </conditionalFormatting>
  <conditionalFormatting sqref="Q46 V46">
    <cfRule type="expression" dxfId="21" priority="17" stopIfTrue="1">
      <formula>$I$46=""</formula>
    </cfRule>
  </conditionalFormatting>
  <conditionalFormatting sqref="BH8:BI13">
    <cfRule type="expression" dxfId="20" priority="16" stopIfTrue="1">
      <formula>$AB$66&gt;6</formula>
    </cfRule>
  </conditionalFormatting>
  <conditionalFormatting sqref="BH16:BI21">
    <cfRule type="expression" dxfId="19" priority="15" stopIfTrue="1">
      <formula>$AB$67&gt;6</formula>
    </cfRule>
  </conditionalFormatting>
  <conditionalFormatting sqref="BH24:BI29">
    <cfRule type="expression" dxfId="18" priority="14" stopIfTrue="1">
      <formula>$AB$68&gt;6</formula>
    </cfRule>
  </conditionalFormatting>
  <conditionalFormatting sqref="BH32:BI37">
    <cfRule type="expression" dxfId="17" priority="13" stopIfTrue="1">
      <formula>$AB$69&gt;6</formula>
    </cfRule>
  </conditionalFormatting>
  <conditionalFormatting sqref="BL8:BM13">
    <cfRule type="expression" dxfId="16" priority="12" stopIfTrue="1">
      <formula>$AB$70&gt;6</formula>
    </cfRule>
  </conditionalFormatting>
  <conditionalFormatting sqref="BL16:BM21">
    <cfRule type="expression" dxfId="15" priority="11" stopIfTrue="1">
      <formula>$AB$71&gt;6</formula>
    </cfRule>
  </conditionalFormatting>
  <conditionalFormatting sqref="BL24:BM29">
    <cfRule type="expression" dxfId="14" priority="10" stopIfTrue="1">
      <formula>$AB$72&gt;6</formula>
    </cfRule>
  </conditionalFormatting>
  <conditionalFormatting sqref="BL32:BM37">
    <cfRule type="expression" dxfId="13" priority="9" stopIfTrue="1">
      <formula>$AB$73&gt;6</formula>
    </cfRule>
  </conditionalFormatting>
  <conditionalFormatting sqref="BN8:BO13">
    <cfRule type="expression" dxfId="12" priority="8" stopIfTrue="1">
      <formula>$AG$70&gt;6</formula>
    </cfRule>
  </conditionalFormatting>
  <conditionalFormatting sqref="BN16:BO21">
    <cfRule type="expression" dxfId="11" priority="7" stopIfTrue="1">
      <formula>$AG$71&gt;6</formula>
    </cfRule>
  </conditionalFormatting>
  <conditionalFormatting sqref="BN24:BO29">
    <cfRule type="expression" dxfId="10" priority="6" stopIfTrue="1">
      <formula>$AG$72&gt;6</formula>
    </cfRule>
  </conditionalFormatting>
  <conditionalFormatting sqref="BN32:BO37">
    <cfRule type="expression" dxfId="9" priority="5" stopIfTrue="1">
      <formula>$AG$73&gt;6</formula>
    </cfRule>
  </conditionalFormatting>
  <conditionalFormatting sqref="BJ8:BK13">
    <cfRule type="expression" dxfId="8" priority="4" stopIfTrue="1">
      <formula>$AG$66&gt;6</formula>
    </cfRule>
  </conditionalFormatting>
  <conditionalFormatting sqref="BJ16:BK21">
    <cfRule type="expression" dxfId="7" priority="3" stopIfTrue="1">
      <formula>$AG$67&gt;6</formula>
    </cfRule>
  </conditionalFormatting>
  <conditionalFormatting sqref="BJ24:BK29">
    <cfRule type="expression" dxfId="6" priority="2" stopIfTrue="1">
      <formula>$AG$68&gt;6</formula>
    </cfRule>
  </conditionalFormatting>
  <conditionalFormatting sqref="BJ32:BK37">
    <cfRule type="expression" dxfId="5" priority="1" stopIfTrue="1">
      <formula>$AG$69&gt;6</formula>
    </cfRule>
  </conditionalFormatting>
  <dataValidations count="13">
    <dataValidation type="list" allowBlank="1" showInputMessage="1" showErrorMessage="1" prompt="ここは1600mRです" sqref="AG7:AG56">
      <formula1>IF(I7=1,$BA$6:$BA$9,$BA$10:$BA$13)</formula1>
    </dataValidation>
    <dataValidation type="list" allowBlank="1" showInputMessage="1" showErrorMessage="1" prompt="ここは400mRです_x000a_" sqref="AB7:AB56">
      <formula1>IF(I7=1,$BA$6,$BA$7)</formula1>
    </dataValidation>
    <dataValidation allowBlank="1" showInputMessage="1" showErrorMessage="1" prompt="ここでは入力できません_x000a_選手入力で所属を選択して下さい_x000a_" sqref="F1"/>
    <dataValidation imeMode="halfAlpha" allowBlank="1" showInputMessage="1" showErrorMessage="1" prompt="半角英数字入力_x000a_例_x000a_41秒00→41.50_x000a_3分20秒11→3.20.11" sqref="AI7:AI56 AD7:AD56"/>
    <dataValidation allowBlank="1" sqref="Q2:Q3 T2:T3"/>
    <dataValidation imeMode="disabled" allowBlank="1" showInputMessage="1" prompt="記録は半角英数字で_x000a_例_x000a_11秒11→11.11_x000a_1分50秒00→1.50.00_x000a_15m50→15m50_x000a__x000a_" sqref="Q7:Q56 V7:V56"/>
    <dataValidation type="list" allowBlank="1" showInputMessage="1" showErrorMessage="1" prompt="種目を選択して下さい" sqref="W7:W56">
      <formula1>$AO$6:$AO$26</formula1>
    </dataValidation>
    <dataValidation allowBlank="1" showInputMessage="1" showErrorMessage="1" prompt="#N/Aが表示された時は入力ミスです" sqref="X7:X56 U7:U56"/>
    <dataValidation imeMode="halfAlpha" allowBlank="1" showInputMessage="1" showErrorMessage="1" prompt="半角英数字入力_x000a_例_x000a_10秒50→10.50_x000a_1分55秒11→1.55.11_x000a_7m50→7m50" sqref="Y7:Y56"/>
    <dataValidation allowBlank="1" showInputMessage="1" showErrorMessage="1" prompt="#N/Aが表示された時は選択ミスです" sqref="P7:P56"/>
    <dataValidation imeMode="disabled" allowBlank="1" sqref="O57:O65536 V6 Q6"/>
    <dataValidation type="list" allowBlank="1" showErrorMessage="1" prompt="種目を選択して下さい" sqref="O7:O56">
      <formula1>IF(I7=1,$AY$6:$AY$7,$AZ$6:$AZ$7)</formula1>
    </dataValidation>
    <dataValidation type="list" allowBlank="1" showErrorMessage="1" prompt="種目を選択して下さい" sqref="T7:T56">
      <formula1>IF(I7=1,$AY$6:$AY$7,$AZ$6:$AZ$7)</formula1>
    </dataValidation>
  </dataValidations>
  <printOptions horizontalCentered="1"/>
  <pageMargins left="0.59055118110236227" right="0.59055118110236227" top="0.59055118110236227" bottom="0.39370078740157483" header="0.31496062992125984" footer="0.51181102362204722"/>
  <pageSetup paperSize="9" scale="80" orientation="portrait" verticalDpi="300" r:id="rId1"/>
  <headerFooter alignWithMargins="0">
    <oddHeader>&amp;R&amp;D　&amp;T</oddHeader>
    <oddFooter>&amp;L&amp;P&amp;R三重陸上競技協会</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注意</vt:lpstr>
      <vt:lpstr>説明</vt:lpstr>
      <vt:lpstr>メニュー</vt:lpstr>
      <vt:lpstr>名簿</vt:lpstr>
      <vt:lpstr>大会申込</vt:lpstr>
      <vt:lpstr>国体1次</vt:lpstr>
      <vt:lpstr>県選</vt:lpstr>
      <vt:lpstr>ロードレース</vt:lpstr>
      <vt:lpstr>SF</vt:lpstr>
      <vt:lpstr>振込票貼付用紙</vt:lpstr>
      <vt:lpstr>男子種目コード</vt:lpstr>
      <vt:lpstr>女子種目コード</vt:lpstr>
      <vt:lpstr>作業</vt:lpstr>
      <vt:lpstr>所属コード</vt:lpstr>
      <vt:lpstr>所属地コード</vt:lpstr>
      <vt:lpstr>SF!Print_Area</vt:lpstr>
      <vt:lpstr>ロードレース!Print_Area</vt:lpstr>
      <vt:lpstr>県選!Print_Area</vt:lpstr>
      <vt:lpstr>国体1次!Print_Area</vt:lpstr>
      <vt:lpstr>振込票貼付用紙!Print_Area</vt:lpstr>
      <vt:lpstr>名簿!Print_Area</vt:lpstr>
      <vt:lpstr>SF!Print_Titles</vt:lpstr>
      <vt:lpstr>県選!Print_Titles</vt:lpstr>
      <vt:lpstr>国体1次!Print_Titles</vt:lpstr>
      <vt:lpstr>名簿!Print_Titles</vt:lpstr>
    </vt:vector>
  </TitlesOfParts>
  <Company>三重陸上競技協会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2016univ申込ver1</dc:title>
  <dc:creator>三重陸上競技協会情報部</dc:creator>
  <cp:lastModifiedBy>NANS21</cp:lastModifiedBy>
  <cp:lastPrinted>2015-11-11T01:42:19Z</cp:lastPrinted>
  <dcterms:created xsi:type="dcterms:W3CDTF">2003-01-04T11:51:22Z</dcterms:created>
  <dcterms:modified xsi:type="dcterms:W3CDTF">2017-06-15T03:54:56Z</dcterms:modified>
</cp:coreProperties>
</file>